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3695" windowHeight="1402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33" i="43" l="1"/>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C28"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B11" i="76"/>
  <c r="M8" i="15"/>
  <c r="F13" i="67"/>
  <c r="C76" i="15"/>
  <c r="F42" i="15"/>
  <c r="E11" i="76"/>
  <c r="F40" i="67"/>
  <c r="AO11" i="1"/>
  <c r="F4" i="73"/>
  <c r="B9" i="76"/>
  <c r="M23" i="67"/>
  <c r="M22" i="15"/>
  <c r="E13" i="76"/>
  <c r="F5" i="73"/>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AO7" i="1"/>
  <c r="F13" i="15"/>
  <c r="D34" i="9"/>
  <c r="M9" i="15"/>
  <c r="D2" i="34"/>
  <c r="AO12" i="1"/>
  <c r="L48" i="15"/>
  <c r="E7" i="76"/>
  <c r="D26" i="43" l="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C46" i="15" l="1"/>
  <c r="B2" i="15"/>
  <c r="B3" i="15" s="1"/>
  <c r="Q65" i="15"/>
  <c r="Q75" i="15" s="1"/>
  <c r="C83" i="15"/>
  <c r="C82" i="15" s="1"/>
  <c r="Q56" i="15"/>
  <c r="Q62" i="15" s="1"/>
  <c r="Q47" i="15"/>
  <c r="Q53"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B5" i="74"/>
  <c r="C5" i="74"/>
  <c r="D5" i="74"/>
  <c r="B6" i="74"/>
  <c r="C6" i="74"/>
  <c r="D6" i="74"/>
  <c r="D14" i="74"/>
  <c r="E14" i="74"/>
  <c r="F14" i="74"/>
  <c r="G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<sst xmlns="http://schemas.openxmlformats.org/spreadsheetml/2006/main" count="7727" uniqueCount="3112">
  <si>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</si>
  <si>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</si>
  <si>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</si>
  <si>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</si>
  <si>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</si>
  <si>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</si>
  <si>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</si>
  <si>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</si>
  <si>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</si>
  <si>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</si>
  <si>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</si>
  <si>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</si>
  <si>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</si>
  <si>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</si>
  <si>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</si>
  <si>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</si>
  <si>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</si>
  <si>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</si>
  <si>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</si>
  <si>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</si>
  <si>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</si>
  <si>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</si>
  <si>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</si>
  <si>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</si>
  <si>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</si>
  <si>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</si>
  <si>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</si>
  <si>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</si>
  <si>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</si>
  <si>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</si>
  <si>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</si>
  <si>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</si>
  <si>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</si>
  <si>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</si>
  <si>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</si>
  <si>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</si>
  <si>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</si>
  <si>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</si>
  <si>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</si>
  <si>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</si>
  <si>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</si>
  <si>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</si>
  <si>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</si>
  <si>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</si>
  <si>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</si>
  <si>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</si>
  <si>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</si>
  <si>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</si>
  <si>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</si>
  <si>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</si>
  <si>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</si>
  <si>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</si>
  <si>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</si>
  <si>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</si>
  <si>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</si>
  <si>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</si>
  <si>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</si>
  <si>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</si>
  <si>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</si>
  <si>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</si>
  <si>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</si>
  <si>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</si>
  <si>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</si>
  <si>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</si>
  <si>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</si>
  <si>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</si>
  <si>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</si>
  <si>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</si>
  <si>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</si>
  <si>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</si>
  <si>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</si>
  <si>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</si>
  <si>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</si>
  <si>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</si>
  <si>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</si>
  <si>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</si>
  <si>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</si>
  <si>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</si>
  <si>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</si>
  <si>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</si>
  <si>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</si>
  <si>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</si>
  <si>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</si>
  <si>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</si>
  <si>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</si>
  <si>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</si>
  <si>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</si>
  <si>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</si>
  <si>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</si>
  <si>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</si>
  <si>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</si>
  <si>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</si>
  <si>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</si>
  <si>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</si>
  <si>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</si>
  <si>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</si>
  <si>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</si>
  <si>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</si>
  <si>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</si>
  <si>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</si>
  <si>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</si>
  <si>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</si>
  <si>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</si>
  <si>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</si>
  <si>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</si>
  <si>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</si>
  <si>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</si>
  <si>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</si>
  <si>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</si>
  <si>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</si>
  <si>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</si>
  <si>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</si>
  <si>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</si>
  <si>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</si>
  <si>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</si>
  <si>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</si>
  <si>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</si>
  <si>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</si>
  <si>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</si>
  <si>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</si>
  <si>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</si>
  <si>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</si>
  <si>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</si>
  <si>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</si>
  <si>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</si>
  <si>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</si>
  <si>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</si>
  <si>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</si>
  <si>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</si>
  <si>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</si>
  <si>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</si>
  <si>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</si>
  <si>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</si>
  <si>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</si>
  <si>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</si>
  <si>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</si>
  <si>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</si>
  <si>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</si>
  <si>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</si>
  <si>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</si>
  <si>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</si>
  <si>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</si>
  <si>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</si>
  <si>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</si>
  <si>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</si>
  <si>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</si>
  <si>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</si>
  <si>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</si>
  <si>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</si>
  <si>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</si>
  <si>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</si>
  <si>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</si>
  <si>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</si>
  <si>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</si>
  <si>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</si>
  <si>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</si>
  <si>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</si>
  <si>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</si>
  <si>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</si>
  <si>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</si>
  <si>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</si>
  <si>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</si>
  <si>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</si>
  <si>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</si>
  <si>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</si>
  <si>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</si>
  <si>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</si>
  <si>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</si>
  <si>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</si>
  <si>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</si>
  <si>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</si>
  <si>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</si>
  <si>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</si>
  <si>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</si>
  <si>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</si>
  <si>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</si>
  <si>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</si>
  <si>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</si>
  <si>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</si>
  <si>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</si>
  <si>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</si>
  <si>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</si>
  <si>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</si>
  <si>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</si>
  <si>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</si>
  <si>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</si>
  <si>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</si>
  <si>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</si>
  <si>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</si>
  <si>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</si>
  <si>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</si>
  <si>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</si>
  <si>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</si>
  <si>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</si>
  <si>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</si>
  <si>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</si>
  <si>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</si>
  <si>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</si>
  <si>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</si>
  <si>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</si>
  <si>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</si>
  <si>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</si>
  <si>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</si>
  <si>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</si>
  <si>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</si>
  <si>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</si>
  <si>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</si>
  <si>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</si>
  <si>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</si>
  <si>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</si>
  <si>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</si>
  <si>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</si>
  <si>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</si>
  <si>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</si>
  <si>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</si>
  <si>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</si>
  <si>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</si>
  <si>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</si>
  <si>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</si>
  <si>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</si>
  <si>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</si>
  <si>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</si>
  <si>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</si>
  <si>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</si>
  <si>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</si>
  <si>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</si>
  <si>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</si>
  <si>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</si>
  <si>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</si>
  <si>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</si>
  <si>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</si>
  <si>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</si>
  <si>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</si>
  <si>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</si>
  <si>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</si>
  <si>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</si>
  <si>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</si>
  <si>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</si>
  <si>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</si>
  <si>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</si>
  <si>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</si>
  <si>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</si>
  <si>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</si>
  <si>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</si>
  <si>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</si>
  <si>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</si>
  <si>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</si>
  <si>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</si>
  <si>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</si>
  <si>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</si>
  <si>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</si>
  <si>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</si>
  <si>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</si>
  <si>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</si>
  <si>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</si>
  <si>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</si>
  <si>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</si>
  <si>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</si>
  <si>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</si>
  <si>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</si>
  <si>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</si>
  <si>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</si>
  <si>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</si>
  <si>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</si>
  <si>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</si>
  <si>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</si>
  <si>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</si>
  <si>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</si>
  <si>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</si>
  <si>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</si>
  <si>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</si>
  <si>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</si>
  <si>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</si>
  <si>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</si>
  <si>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</si>
  <si>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</si>
  <si>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</si>
  <si>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</si>
  <si>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</si>
  <si>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</si>
  <si>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</si>
  <si>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</si>
  <si>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</si>
  <si>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</si>
  <si>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</si>
  <si>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</si>
  <si>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</si>
  <si>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</si>
  <si>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</si>
  <si>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</si>
  <si>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</si>
  <si>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</si>
  <si>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</si>
  <si>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</si>
  <si>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</si>
  <si>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</si>
  <si>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</si>
  <si>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</si>
  <si>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</si>
  <si>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</si>
  <si>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</si>
  <si>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</si>
  <si>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</si>
  <si>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</si>
  <si>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</si>
  <si>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</si>
  <si>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</si>
  <si>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</si>
  <si>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</si>
  <si>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</si>
  <si>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</si>
  <si>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</si>
  <si>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</si>
  <si>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</si>
  <si>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</si>
  <si>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</si>
  <si>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</si>
  <si>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</si>
  <si>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</si>
  <si>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</si>
  <si>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</si>
  <si>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</si>
  <si>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</si>
  <si>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</si>
  <si>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</si>
  <si>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</si>
  <si>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</si>
  <si>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</si>
  <si>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</si>
  <si>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</si>
  <si>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</si>
  <si>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</si>
  <si>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</si>
  <si>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</si>
  <si>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</si>
  <si>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</si>
  <si>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</si>
  <si>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</si>
  <si>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</si>
  <si>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</si>
  <si>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</si>
  <si>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</si>
  <si>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</si>
  <si>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</si>
  <si>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</si>
  <si>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</si>
  <si>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</si>
  <si>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</si>
  <si>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</si>
  <si>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</si>
  <si>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</si>
  <si>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</si>
  <si>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</si>
  <si>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</si>
  <si>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</si>
  <si>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</si>
  <si>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</si>
  <si>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</si>
  <si>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</si>
  <si>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</si>
  <si>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</si>
  <si>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</si>
  <si>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</si>
  <si>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</si>
  <si>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</si>
  <si>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</si>
  <si>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</si>
  <si>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</si>
  <si>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</si>
  <si>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</si>
  <si>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</si>
  <si>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</si>
  <si>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</si>
  <si>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</si>
  <si>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</si>
  <si>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</si>
  <si>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</si>
  <si>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</si>
  <si>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</si>
  <si>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</si>
  <si>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</si>
  <si>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</si>
  <si>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</si>
  <si>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</si>
  <si>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</si>
  <si>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</si>
  <si>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</si>
  <si>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</si>
  <si>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</si>
  <si>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</si>
  <si>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</si>
  <si>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</si>
  <si>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</si>
  <si>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</si>
  <si>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</si>
  <si>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</si>
  <si>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</si>
  <si>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</si>
  <si>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</si>
  <si>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</si>
  <si>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</si>
  <si>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</si>
  <si>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</si>
  <si>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</si>
  <si>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</si>
  <si>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</si>
  <si>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</si>
  <si>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</si>
  <si>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</si>
  <si>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</si>
  <si>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</si>
  <si>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</si>
  <si>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</si>
  <si>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</si>
  <si>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</si>
  <si>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</si>
  <si>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</si>
  <si>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</si>
  <si>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</si>
  <si>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</si>
  <si>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</si>
  <si>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</si>
  <si>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</si>
  <si>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</si>
  <si>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</si>
  <si>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</si>
  <si>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</si>
  <si>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</si>
  <si>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</si>
  <si>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</si>
  <si>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</si>
  <si>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</si>
  <si>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</si>
  <si>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</si>
  <si>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</si>
  <si>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</si>
  <si>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</si>
  <si>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</si>
  <si>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</si>
  <si>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</si>
  <si>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</si>
  <si>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</si>
  <si>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</si>
  <si>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</si>
  <si>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</si>
  <si>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</si>
  <si>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</si>
  <si>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</si>
  <si>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</si>
  <si>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</si>
  <si>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</si>
  <si>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</si>
  <si>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</si>
  <si>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</si>
  <si>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</si>
  <si>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</si>
  <si>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</si>
  <si>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</si>
  <si>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</si>
  <si>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</si>
  <si>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</si>
  <si>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</si>
  <si>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</si>
  <si>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</si>
  <si>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</si>
  <si>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</si>
  <si>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</si>
  <si>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</si>
  <si>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</si>
  <si>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</si>
  <si>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</si>
  <si>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</si>
  <si>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</si>
  <si>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</si>
  <si>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</si>
  <si>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</si>
  <si>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</si>
  <si>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</si>
  <si>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</si>
  <si>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</si>
  <si>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</si>
  <si>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</si>
  <si>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</si>
  <si>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</si>
  <si>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</si>
  <si>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</si>
  <si>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</si>
  <si>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</si>
  <si>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</si>
  <si>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</si>
  <si>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</si>
  <si>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</si>
  <si>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</si>
  <si>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</si>
  <si>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</si>
  <si>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</si>
  <si>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</si>
  <si>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</si>
  <si>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</si>
  <si>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</si>
  <si>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</si>
  <si>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</si>
  <si>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</si>
  <si>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</si>
  <si>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</si>
  <si>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</si>
  <si>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</si>
  <si>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</si>
  <si>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</si>
  <si>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</si>
  <si>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</si>
  <si>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</si>
  <si>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</si>
  <si>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</si>
  <si>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</si>
  <si>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</si>
  <si>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</si>
  <si>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</si>
  <si>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</si>
  <si>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</si>
  <si>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</si>
  <si>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</si>
  <si>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</si>
  <si>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</si>
  <si>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</si>
  <si>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</si>
  <si>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</si>
  <si>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</si>
  <si>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</si>
  <si>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</si>
  <si>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</si>
  <si>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</si>
  <si>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</si>
  <si>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</si>
  <si>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</si>
  <si>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</si>
  <si>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</si>
  <si>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</si>
  <si>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</si>
  <si>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</si>
  <si>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</si>
  <si>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</si>
  <si>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</si>
  <si>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</si>
  <si>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</si>
  <si>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</si>
  <si>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</si>
  <si>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</si>
  <si>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</si>
  <si>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</si>
  <si>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</si>
  <si>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</si>
  <si>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</si>
  <si>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</si>
  <si>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</si>
  <si>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</si>
  <si>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</si>
  <si>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</si>
  <si>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</si>
  <si>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</si>
  <si>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</si>
  <si>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</si>
  <si>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</si>
  <si>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</si>
  <si>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</si>
  <si>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</si>
  <si>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</si>
  <si>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</si>
  <si>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</si>
  <si>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</si>
  <si>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</si>
  <si>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</si>
  <si>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</si>
  <si>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</si>
  <si>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</si>
  <si>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</si>
  <si>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</si>
  <si>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</si>
  <si>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</si>
  <si>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</si>
  <si>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</si>
  <si>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</si>
  <si>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</si>
  <si>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</si>
  <si>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</si>
  <si>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</si>
  <si>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</si>
  <si>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</si>
  <si>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</si>
  <si>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</si>
  <si>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</si>
  <si>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</si>
  <si>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</si>
  <si>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</si>
  <si>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</si>
  <si>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</si>
  <si>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</si>
  <si>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</si>
  <si>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</si>
  <si>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</si>
  <si>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</si>
  <si>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</si>
  <si>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</si>
  <si>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</si>
  <si>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</si>
  <si>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</si>
  <si>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</si>
  <si>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</si>
  <si>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</si>
  <si>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</si>
  <si>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</si>
  <si>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</si>
  <si>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</si>
  <si>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</si>
  <si>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</si>
  <si>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</si>
  <si>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</si>
  <si>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</si>
  <si>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</si>
  <si>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</si>
  <si>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</si>
  <si>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</si>
  <si>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</si>
  <si>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</si>
  <si>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</si>
  <si>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</si>
  <si>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</si>
  <si>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</si>
  <si>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</si>
  <si>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</si>
  <si>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</si>
  <si>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</si>
  <si>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</si>
  <si>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</si>
  <si>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</si>
  <si>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</si>
  <si>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</si>
  <si>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</si>
  <si>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</si>
  <si>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</si>
  <si>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</si>
  <si>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</si>
  <si>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</si>
  <si>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</si>
  <si>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</si>
  <si>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</si>
  <si>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</si>
  <si>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</si>
  <si>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</si>
  <si>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</si>
  <si>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</si>
  <si>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</si>
  <si>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</si>
  <si>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</si>
  <si>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</si>
  <si>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</si>
  <si>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</si>
  <si>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</si>
  <si>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</si>
  <si>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</si>
  <si>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</si>
  <si>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</si>
  <si>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</si>
  <si>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</si>
  <si>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</si>
  <si>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</si>
  <si>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</si>
  <si>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</si>
  <si>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</si>
  <si>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</si>
  <si>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</si>
  <si>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</si>
  <si>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</si>
  <si>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</si>
  <si>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</si>
  <si>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</si>
  <si>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</si>
  <si>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</si>
  <si>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</si>
  <si>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</si>
  <si>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</si>
  <si>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</si>
  <si>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</si>
  <si>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</si>
  <si>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</si>
  <si>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</si>
  <si>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</si>
  <si>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</si>
  <si>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</si>
  <si>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</si>
  <si>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</si>
  <si>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</si>
  <si>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</si>
  <si>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</si>
  <si>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</si>
  <si>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</si>
  <si>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</si>
  <si>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</si>
  <si>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</si>
  <si>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</si>
  <si>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</si>
  <si>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</si>
  <si>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</si>
  <si>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</si>
  <si>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</si>
  <si>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</si>
  <si>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</si>
  <si>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</si>
  <si>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</si>
  <si>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</si>
  <si>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</si>
  <si>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</si>
  <si>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</si>
  <si>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</si>
  <si>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</si>
  <si>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</si>
  <si>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</si>
  <si>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</si>
  <si>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</si>
  <si>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</si>
  <si>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</si>
  <si>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</si>
  <si>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</si>
  <si>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</si>
  <si>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</si>
  <si>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</si>
  <si>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</si>
  <si>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</si>
  <si>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</si>
  <si>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</si>
  <si>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</si>
  <si>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</si>
  <si>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</si>
  <si>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</si>
  <si>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</si>
  <si>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</si>
  <si>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</si>
  <si>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</si>
  <si>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</si>
  <si>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</si>
  <si>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</si>
  <si>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</si>
  <si>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</si>
  <si>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</si>
  <si>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</si>
  <si>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</si>
  <si>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</si>
  <si>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</si>
  <si>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</si>
  <si>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</si>
  <si>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</si>
  <si>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</si>
  <si>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</si>
  <si>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</si>
  <si>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</si>
  <si>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</si>
  <si>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</si>
  <si>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</si>
  <si>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</si>
  <si>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</si>
  <si>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</si>
  <si>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</si>
  <si>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</si>
  <si>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</si>
  <si>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</si>
  <si>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</si>
  <si>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</si>
  <si>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</si>
  <si>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</si>
  <si>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</si>
  <si>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</si>
  <si>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</si>
  <si>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</si>
  <si>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</si>
  <si>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</si>
  <si>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</si>
  <si>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</si>
  <si>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</si>
  <si>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</si>
  <si>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</si>
  <si>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</si>
  <si>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</si>
  <si>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</si>
  <si>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</si>
  <si>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</si>
  <si>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</si>
  <si>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</si>
  <si>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</si>
  <si>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</si>
  <si>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</si>
  <si>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</si>
  <si>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</si>
  <si>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</si>
  <si>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</si>
  <si>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</si>
  <si>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</si>
  <si>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</si>
  <si>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</si>
  <si>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</si>
  <si>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</si>
  <si>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</si>
  <si>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</si>
  <si>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</si>
  <si>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</si>
  <si>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</si>
  <si>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</si>
  <si>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</si>
  <si>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</si>
  <si>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</si>
  <si>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</si>
  <si>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</si>
  <si>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</si>
  <si>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</si>
  <si>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</si>
  <si>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</si>
  <si>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</si>
  <si>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</si>
  <si>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</si>
  <si>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</si>
  <si>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</si>
  <si>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</si>
  <si>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</si>
  <si>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</si>
  <si>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</si>
  <si>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</si>
  <si>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</si>
  <si>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</si>
  <si>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</si>
  <si>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</si>
  <si>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</si>
  <si>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</si>
  <si>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</si>
  <si>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</si>
  <si>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</si>
  <si>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</si>
  <si>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</si>
  <si>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</si>
  <si>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</si>
  <si>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</si>
  <si>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</si>
  <si>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</si>
  <si>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</si>
  <si>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</si>
  <si>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</si>
  <si>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</si>
  <si>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</si>
  <si>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</si>
  <si>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</si>
  <si>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</si>
  <si>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</si>
  <si>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</si>
  <si>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</si>
  <si>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</si>
  <si>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</si>
  <si>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</si>
  <si>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</si>
  <si>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</si>
  <si>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</si>
  <si>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</si>
  <si>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</si>
  <si>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</si>
  <si>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</si>
  <si>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</si>
  <si>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</si>
  <si>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</si>
  <si>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</si>
  <si>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</si>
  <si>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</si>
  <si>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</si>
  <si>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</si>
  <si>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</si>
  <si>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</si>
  <si>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</si>
  <si>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</si>
  <si>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</si>
  <si>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</si>
  <si>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</si>
  <si>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</si>
  <si>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</si>
  <si>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</si>
  <si>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</si>
  <si>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</si>
  <si>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</si>
  <si>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</si>
  <si>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</si>
  <si>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</si>
  <si>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</si>
  <si>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</si>
  <si>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</si>
  <si>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</si>
  <si>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</si>
  <si>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</si>
  <si>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</si>
  <si>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</si>
  <si>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</si>
  <si>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</si>
  <si>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</si>
  <si>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</si>
  <si>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</si>
  <si>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</si>
  <si>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</si>
  <si>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</si>
  <si>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</si>
  <si>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</si>
  <si>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</si>
  <si>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</si>
  <si>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</si>
  <si>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</si>
  <si>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</si>
  <si>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</si>
  <si>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</si>
  <si>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</si>
  <si>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</si>
  <si>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</si>
  <si>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</si>
  <si>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</si>
  <si>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</si>
  <si>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</si>
  <si>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</si>
  <si>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</si>
  <si>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</si>
  <si>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</si>
  <si>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</si>
  <si>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</si>
  <si>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</si>
  <si>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</si>
  <si>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</si>
  <si>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</si>
  <si>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</si>
  <si>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</si>
  <si>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</si>
  <si>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</si>
  <si>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</si>
  <si>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</si>
  <si>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</si>
  <si>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</si>
  <si>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</si>
  <si>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</si>
  <si>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</si>
  <si>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</si>
  <si>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</si>
  <si>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</si>
  <si>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</si>
  <si>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</si>
  <si>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</si>
  <si>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</si>
  <si>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</si>
  <si>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</si>
  <si>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</si>
  <si>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</si>
  <si>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</si>
  <si>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</si>
  <si>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</si>
  <si>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</si>
  <si>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</si>
  <si>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</si>
  <si>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</si>
  <si>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</si>
  <si>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</si>
  <si>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</si>
  <si>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</si>
  <si>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</si>
  <si>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</si>
  <si>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</si>
  <si>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</si>
  <si>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</si>
  <si>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</si>
  <si>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</si>
  <si>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</si>
  <si>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</si>
  <si>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</si>
  <si>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</si>
  <si>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</si>
  <si>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</si>
  <si>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</si>
  <si>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</si>
  <si>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</si>
  <si>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</si>
  <si>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</si>
  <si>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</si>
  <si>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</si>
  <si>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</si>
  <si>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</si>
  <si>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</si>
  <si>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</si>
  <si>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</si>
  <si>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</si>
  <si>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</si>
  <si>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</si>
  <si>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</si>
  <si>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</si>
  <si>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</si>
  <si>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</si>
  <si>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</si>
  <si>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</si>
  <si>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</si>
  <si>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</si>
  <si>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</si>
  <si>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</si>
  <si>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</si>
  <si>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</si>
  <si>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</si>
  <si>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</si>
  <si>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</si>
  <si>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</si>
  <si>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</si>
  <si>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</si>
  <si>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</si>
  <si>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</si>
  <si>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</si>
  <si>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</si>
  <si>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</si>
  <si>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</si>
  <si>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</si>
  <si>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</si>
  <si>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</si>
  <si>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</si>
  <si>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</si>
  <si>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</si>
  <si>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</si>
  <si>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</si>
  <si>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</si>
  <si>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</si>
  <si>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</si>
  <si>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</si>
  <si>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</si>
  <si>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</si>
  <si>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</si>
  <si>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</si>
  <si>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</si>
  <si>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</si>
  <si>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</si>
  <si>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</si>
  <si>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</si>
  <si>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</si>
  <si>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</si>
  <si>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</si>
  <si>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</si>
  <si>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</si>
  <si>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</si>
  <si>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</si>
  <si>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</si>
  <si>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</si>
  <si>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</si>
  <si>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</si>
  <si>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</si>
  <si>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</si>
  <si>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</si>
  <si>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</si>
  <si>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</si>
  <si>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</si>
  <si>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</si>
  <si>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</si>
  <si>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</si>
  <si>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</si>
  <si>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</si>
  <si>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</si>
  <si>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</si>
  <si>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</si>
  <si>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</si>
  <si>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</si>
  <si>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</si>
  <si>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</si>
  <si>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</si>
  <si>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</si>
  <si>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</si>
  <si>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</si>
  <si>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</si>
  <si>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</si>
  <si>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</si>
  <si>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</si>
  <si>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</si>
  <si>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</si>
  <si>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</si>
  <si>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</si>
  <si>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</si>
  <si>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</si>
  <si>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</si>
  <si>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</si>
  <si>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</si>
  <si>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</si>
  <si>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</si>
  <si>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</si>
  <si>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</si>
  <si>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</si>
  <si>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</si>
  <si>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</si>
  <si>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</si>
  <si>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</si>
  <si>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</si>
  <si>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</si>
  <si>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</si>
  <si>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</si>
  <si>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</si>
  <si>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</si>
  <si>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</si>
  <si>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</si>
  <si>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</si>
  <si>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</si>
  <si>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</si>
  <si>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</si>
  <si>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</si>
  <si>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</si>
  <si>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</si>
  <si>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</si>
  <si>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</si>
  <si>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</si>
  <si>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</si>
  <si>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</si>
  <si>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</si>
  <si>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</si>
  <si>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</si>
  <si>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</si>
  <si>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</si>
  <si>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</si>
  <si>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</si>
  <si>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</si>
  <si>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</si>
  <si>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</si>
  <si>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</si>
  <si>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</si>
  <si>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</si>
  <si>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</si>
  <si>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</si>
  <si>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</si>
  <si>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</si>
  <si>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</si>
  <si>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</si>
  <si>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</si>
  <si>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</si>
  <si>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</si>
  <si>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</si>
  <si>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</si>
  <si>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</si>
  <si>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</si>
  <si>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</si>
  <si>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</si>
  <si>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</si>
  <si>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</si>
  <si>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</si>
  <si>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</si>
  <si>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</si>
  <si>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</si>
  <si>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</si>
  <si>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</si>
  <si>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</si>
  <si>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</si>
  <si>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</si>
  <si>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</si>
  <si>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</si>
  <si>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</si>
  <si>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</si>
  <si>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</si>
  <si>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</si>
  <si>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</si>
  <si>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</si>
  <si>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</si>
  <si>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</si>
  <si>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</si>
  <si>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</si>
  <si>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</si>
  <si>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</si>
  <si>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</si>
  <si>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</si>
  <si>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</si>
  <si>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</si>
  <si>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</si>
  <si>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</si>
  <si>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</si>
  <si>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</si>
  <si>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</si>
  <si>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</si>
  <si>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</si>
  <si>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</si>
  <si>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</si>
  <si>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</si>
  <si>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</si>
  <si>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</si>
  <si>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</si>
  <si>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</si>
  <si>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</si>
  <si>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</si>
  <si>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</si>
  <si>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</si>
  <si>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</si>
  <si>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</si>
  <si>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</si>
  <si>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</si>
  <si>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</si>
  <si>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</si>
  <si>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</si>
  <si>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</si>
  <si>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</si>
  <si>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</si>
  <si>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</si>
  <si>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</si>
  <si>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</si>
  <si>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</si>
  <si>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</si>
  <si>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</si>
  <si>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</si>
  <si>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</si>
  <si>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</si>
  <si>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</si>
  <si>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</si>
  <si>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</si>
  <si>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</si>
  <si>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</si>
  <si>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</si>
  <si>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</si>
  <si>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</si>
  <si>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</si>
  <si>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</si>
  <si>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</si>
  <si>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</si>
  <si>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</si>
  <si>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</si>
  <si>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</si>
  <si>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</si>
  <si>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</si>
  <si>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</si>
  <si>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</si>
  <si>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</si>
  <si>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</si>
  <si>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</si>
  <si>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</si>
  <si>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</si>
  <si>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</si>
  <si>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</si>
  <si>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</si>
  <si>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</si>
  <si>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</si>
  <si>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</si>
  <si>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</si>
  <si>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</si>
  <si>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</si>
  <si>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</si>
  <si>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</si>
  <si>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</si>
  <si>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</si>
  <si>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</si>
  <si>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</si>
  <si>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</si>
  <si>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</si>
  <si>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</si>
  <si>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</si>
  <si>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</si>
  <si>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</si>
  <si>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</si>
  <si>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</si>
  <si>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</si>
  <si>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</si>
  <si>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</si>
  <si>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</si>
  <si>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</si>
  <si>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</si>
  <si>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</si>
  <si>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</si>
  <si>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</si>
  <si>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</si>
  <si>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</si>
  <si>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</si>
  <si>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</si>
  <si>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</si>
  <si>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</si>
  <si>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</si>
  <si>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</si>
  <si>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</si>
  <si>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</si>
  <si>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</si>
  <si>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</si>
  <si>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</si>
  <si>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</si>
  <si>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</si>
  <si>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</si>
  <si>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</si>
  <si>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</si>
  <si>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</si>
  <si>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</si>
  <si>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</si>
  <si>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</si>
  <si>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</si>
  <si>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</si>
  <si>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</si>
  <si>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</si>
  <si>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</si>
  <si>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</si>
  <si>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</si>
  <si>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</si>
  <si>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</si>
  <si>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</si>
  <si>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</si>
  <si>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</si>
  <si>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</si>
  <si>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</si>
  <si>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</si>
  <si>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</si>
  <si>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</si>
  <si>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</si>
  <si>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</si>
  <si>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</si>
  <si>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</si>
  <si>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</si>
  <si>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</si>
  <si>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</si>
  <si>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</si>
  <si>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</si>
  <si>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</si>
  <si>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</si>
  <si>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</si>
  <si>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</si>
  <si>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</si>
  <si>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</si>
  <si>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</si>
  <si>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</si>
  <si>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</si>
  <si>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</si>
  <si>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</si>
  <si>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</si>
  <si>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</si>
  <si>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</si>
  <si>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</si>
  <si>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</si>
  <si>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</si>
  <si>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</si>
  <si>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</si>
  <si>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</si>
  <si>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</si>
  <si>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</si>
  <si>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</si>
  <si>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</si>
  <si>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</si>
  <si>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</si>
  <si>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</si>
  <si>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</si>
  <si>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</si>
  <si>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</si>
  <si>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</si>
  <si>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</si>
  <si>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</si>
  <si>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</si>
  <si>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</si>
  <si>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</si>
  <si>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</si>
  <si>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</si>
  <si>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</si>
  <si>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</si>
  <si>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</si>
  <si>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</si>
  <si>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</si>
  <si>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</si>
  <si>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</si>
  <si>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</si>
  <si>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</si>
  <si>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</si>
  <si>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</si>
  <si>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</si>
  <si>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</si>
  <si>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</si>
  <si>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</si>
  <si>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</si>
  <si>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</si>
  <si>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</si>
  <si>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</si>
  <si>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</si>
  <si>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</si>
  <si>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</si>
  <si>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</si>
  <si>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</si>
  <si>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</si>
  <si>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</si>
  <si>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</si>
  <si>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</si>
  <si>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</si>
  <si>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</si>
  <si>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</si>
  <si>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</si>
  <si>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</si>
  <si>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</si>
  <si>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</si>
  <si>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</si>
  <si>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</si>
  <si>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</si>
  <si>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</si>
  <si>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</si>
  <si>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</si>
  <si>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</si>
  <si>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</si>
  <si>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</si>
  <si>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</si>
  <si>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</si>
  <si>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</si>
  <si>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</si>
  <si>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</si>
  <si>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</si>
  <si>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</si>
  <si>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</si>
  <si>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</si>
  <si>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</si>
  <si>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</si>
  <si>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</si>
  <si>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</si>
  <si>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</si>
  <si>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</si>
  <si>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</si>
  <si>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</si>
  <si>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</si>
  <si>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</si>
  <si>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</si>
  <si>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</si>
  <si>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</si>
  <si>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</si>
  <si>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</si>
  <si>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</si>
  <si>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</si>
  <si>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</si>
  <si>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</si>
  <si>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</si>
  <si>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</si>
  <si>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</si>
  <si>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</si>
  <si>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</si>
  <si>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</si>
  <si>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</si>
  <si>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</si>
  <si>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</si>
  <si>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</si>
  <si>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</si>
  <si>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</si>
  <si>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</si>
  <si>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</si>
  <si>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</si>
  <si>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</si>
  <si>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</si>
  <si>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</si>
  <si>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</si>
  <si>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</si>
  <si>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</si>
  <si>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</si>
  <si>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</si>
  <si>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</si>
  <si>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</si>
  <si>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</si>
  <si>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</si>
  <si>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</si>
  <si>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</si>
  <si>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</si>
  <si>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</si>
  <si>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</si>
  <si>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</si>
  <si>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</si>
  <si>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</si>
  <si>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</si>
  <si>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</si>
  <si>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</si>
  <si>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</si>
  <si>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</si>
  <si>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</si>
  <si>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</si>
  <si>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</si>
  <si>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</si>
  <si>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</si>
  <si>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</si>
  <si>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</si>
  <si>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</si>
  <si>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</si>
  <si>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</si>
  <si>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</si>
  <si>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</si>
  <si>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</si>
  <si>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</si>
  <si>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</si>
  <si>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</si>
  <si>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</si>
  <si>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</si>
  <si>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</si>
  <si>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</si>
  <si>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</si>
  <si>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</si>
  <si>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</si>
  <si>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</si>
  <si>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</si>
  <si>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</si>
  <si>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</si>
  <si>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</si>
  <si>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</si>
  <si>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</si>
  <si>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</si>
  <si>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</si>
  <si>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</si>
  <si>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</si>
  <si>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</si>
  <si>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</si>
  <si>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</si>
  <si>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</si>
  <si>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</si>
  <si>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</si>
  <si>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</si>
  <si>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</si>
  <si>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</si>
  <si>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</si>
  <si>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</si>
  <si>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</si>
  <si>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</si>
  <si>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</si>
  <si>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</si>
  <si>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</si>
  <si>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</si>
  <si>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</si>
  <si>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</si>
  <si>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</si>
  <si>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</si>
  <si>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</si>
  <si>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</si>
  <si>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</si>
  <si>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</si>
  <si>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</si>
  <si>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</si>
  <si>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</si>
  <si>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</si>
  <si>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</si>
  <si>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</si>
  <si>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</si>
  <si>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</si>
  <si>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</si>
  <si>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</si>
  <si>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</si>
  <si>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</si>
  <si>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</si>
  <si>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</si>
  <si>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</si>
  <si>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</si>
  <si>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</si>
  <si>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</si>
  <si>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</si>
  <si>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</si>
  <si>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</si>
  <si>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</si>
  <si>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</si>
  <si>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</si>
  <si>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</si>
  <si>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</si>
  <si>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</si>
  <si>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</si>
  <si>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</si>
  <si>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</si>
  <si>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</si>
  <si>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</si>
  <si>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</si>
  <si>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</si>
  <si>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</si>
  <si>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</si>
  <si>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</si>
  <si>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</si>
  <si>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</si>
  <si>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</si>
  <si>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</si>
  <si>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</si>
  <si>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</si>
  <si>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</si>
  <si>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</si>
  <si>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</si>
  <si>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</si>
  <si>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</si>
  <si>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</si>
  <si>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</si>
  <si>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</si>
  <si>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</si>
  <si>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</si>
  <si>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</si>
  <si>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</si>
  <si>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</si>
  <si>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</si>
  <si>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</si>
  <si>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</si>
  <si>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</si>
  <si>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</si>
  <si>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</si>
  <si>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</si>
  <si>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</si>
  <si>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</si>
  <si>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</si>
  <si>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</si>
  <si>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</si>
  <si>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</si>
  <si>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</si>
  <si>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</si>
  <si>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</si>
  <si>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</si>
  <si>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</si>
  <si>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</si>
  <si>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</si>
  <si>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</si>
  <si>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</si>
  <si>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</si>
  <si>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</si>
  <si>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</si>
  <si>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</si>
  <si>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</si>
  <si>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</si>
  <si>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</si>
  <si>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</si>
  <si>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</si>
  <si>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</si>
  <si>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</si>
  <si>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</si>
  <si>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</si>
  <si>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</si>
  <si>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</si>
  <si>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</si>
  <si>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</si>
  <si>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</si>
  <si>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</si>
  <si>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</si>
  <si>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</si>
  <si>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</si>
  <si>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</si>
  <si>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</si>
  <si>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</si>
  <si>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</si>
  <si>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</si>
  <si>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</si>
  <si>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</si>
  <si>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</si>
  <si>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</si>
  <si>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</si>
  <si>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</si>
  <si>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</si>
  <si>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</si>
  <si>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</si>
  <si>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</si>
  <si>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</si>
  <si>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</si>
  <si>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</si>
  <si>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</si>
  <si>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</si>
  <si>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</si>
  <si>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</si>
  <si>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</si>
  <si>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</si>
  <si>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</si>
  <si>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</si>
  <si>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</si>
  <si>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</si>
  <si>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</si>
  <si>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</si>
  <si>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</si>
  <si>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</si>
  <si>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</si>
  <si>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</si>
  <si>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</si>
  <si>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</si>
  <si>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</si>
  <si>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</si>
  <si>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</si>
  <si>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</si>
  <si>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</si>
  <si>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</si>
  <si>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</si>
  <si>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</si>
  <si>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</si>
  <si>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</si>
  <si>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</si>
  <si>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</si>
  <si>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</si>
  <si>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</si>
  <si>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</si>
  <si>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</si>
  <si>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</si>
  <si>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</si>
  <si>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</si>
  <si>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</si>
  <si>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</si>
  <si>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</si>
  <si>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</si>
  <si>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</si>
  <si>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</si>
  <si>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</si>
  <si>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</si>
  <si>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</si>
  <si>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</si>
  <si>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</si>
  <si>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</si>
  <si>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</si>
  <si>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</si>
  <si>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</si>
  <si>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</si>
  <si>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</si>
  <si>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</si>
  <si>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</si>
  <si>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</si>
  <si>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</si>
  <si>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</si>
  <si>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</si>
  <si>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</si>
  <si>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</si>
  <si>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</si>
  <si>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</si>
  <si>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</si>
  <si>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</si>
  <si>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</si>
  <si>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</si>
  <si>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</si>
  <si>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</si>
  <si>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</si>
  <si>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</si>
  <si>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</si>
  <si>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</si>
  <si>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</si>
  <si>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</si>
  <si>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</si>
  <si>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</si>
  <si>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</si>
  <si>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</si>
  <si>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</si>
  <si>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</si>
  <si>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</si>
  <si>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</si>
  <si>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</si>
  <si>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</si>
  <si>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</si>
  <si>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</si>
  <si>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</si>
  <si>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</si>
  <si>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</si>
  <si>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</si>
  <si>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</si>
  <si>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</si>
  <si>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</si>
  <si>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</si>
  <si>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</si>
  <si>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</si>
  <si>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</si>
  <si>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</si>
  <si>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</si>
  <si>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</si>
  <si>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</si>
  <si>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</si>
  <si>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</si>
  <si>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</si>
  <si>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</si>
  <si>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</si>
  <si>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</si>
  <si>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</si>
  <si>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</si>
  <si>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</si>
  <si>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</si>
  <si>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</si>
  <si>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</si>
  <si>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</si>
  <si>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</si>
  <si>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</si>
  <si>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</si>
  <si>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</si>
  <si>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</si>
  <si>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</si>
  <si>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</si>
  <si>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</si>
  <si>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</si>
  <si>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</si>
  <si>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</si>
  <si>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</si>
  <si>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</si>
  <si>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</si>
  <si>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</si>
  <si>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</si>
  <si>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</si>
  <si>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</si>
  <si>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</si>
  <si>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</si>
  <si>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</si>
  <si>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</si>
  <si>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</si>
  <si>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</si>
  <si>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</si>
  <si>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</si>
  <si>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</si>
  <si>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</si>
  <si>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</si>
  <si>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</si>
  <si>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</si>
  <si>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</si>
  <si>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</si>
  <si>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</si>
  <si>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</si>
  <si>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</si>
  <si>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</si>
  <si>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</si>
  <si>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</si>
  <si>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</si>
  <si>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</si>
  <si>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</si>
  <si>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</si>
  <si>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</si>
  <si>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</si>
  <si>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</si>
  <si>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</si>
  <si>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</si>
  <si>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</si>
  <si>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</si>
  <si>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</si>
  <si>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</si>
  <si>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</si>
  <si>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</si>
  <si>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</si>
  <si>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</si>
  <si>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</si>
  <si>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</si>
  <si>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</si>
  <si>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</si>
  <si>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</si>
  <si>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</si>
  <si>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</si>
  <si>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</si>
  <si>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</si>
  <si>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</si>
  <si>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</si>
  <si>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</si>
  <si>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</si>
  <si>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</si>
  <si>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</si>
  <si>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</si>
  <si>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</si>
  <si>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</si>
  <si>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</si>
  <si>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</si>
  <si>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</si>
  <si>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</si>
  <si>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</si>
  <si>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</si>
  <si>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</si>
  <si>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</si>
  <si>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</si>
  <si>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</si>
  <si>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</si>
  <si>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</si>
  <si>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</si>
  <si>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</si>
  <si>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</si>
  <si>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</si>
  <si>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</si>
  <si>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</si>
  <si>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</si>
  <si>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</si>
  <si>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</si>
  <si>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</si>
  <si>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</si>
  <si>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</si>
  <si>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</si>
  <si>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</si>
  <si>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</si>
  <si>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</si>
  <si>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</si>
  <si>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</si>
  <si>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</si>
  <si>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</si>
  <si>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</si>
  <si>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</si>
  <si>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</si>
  <si>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</si>
  <si>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</si>
  <si>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</si>
  <si>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</si>
  <si>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</si>
  <si>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</si>
  <si>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</si>
  <si>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</si>
  <si>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</si>
  <si>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</si>
  <si>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</si>
  <si>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</si>
  <si>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</si>
  <si>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</si>
  <si>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</si>
  <si>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</si>
  <si>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</si>
  <si>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</si>
  <si>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</si>
  <si>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</si>
  <si>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</si>
  <si>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</si>
  <si>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</si>
  <si>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</si>
  <si>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</si>
  <si>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</si>
  <si>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</si>
  <si>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</si>
  <si>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</si>
  <si>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</si>
  <si>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</si>
  <si>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</si>
  <si>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</si>
  <si>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</si>
  <si>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</si>
  <si>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</si>
  <si>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</si>
  <si>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</si>
  <si>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</si>
  <si>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</si>
  <si>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</si>
  <si>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</si>
  <si>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</si>
  <si>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</si>
  <si>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</si>
  <si>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</si>
  <si>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</si>
  <si>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</si>
  <si>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</si>
  <si>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</si>
  <si>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</si>
  <si>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</si>
  <si>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</si>
  <si>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</si>
  <si>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</si>
  <si>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</si>
  <si>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</si>
  <si>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</si>
  <si>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</si>
  <si>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</si>
  <si>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</si>
  <si>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</si>
  <si>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</si>
  <si>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</si>
  <si>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</si>
  <si>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</si>
  <si>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</si>
  <si>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</si>
  <si>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</si>
  <si>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</si>
  <si>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</si>
  <si>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</si>
  <si>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</si>
  <si>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</si>
  <si>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</si>
  <si>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</si>
  <si>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</si>
  <si>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</si>
  <si>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</si>
  <si>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</si>
  <si>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</si>
  <si>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</si>
  <si>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</si>
  <si>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</si>
  <si>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</si>
  <si>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</si>
  <si>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</si>
  <si>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</si>
  <si>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</si>
  <si>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</si>
  <si>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</si>
  <si>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</si>
  <si>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</si>
  <si>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</si>
  <si>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</si>
  <si>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</si>
  <si>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</si>
  <si>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</si>
  <si>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</si>
  <si>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</si>
  <si>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</si>
  <si>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</si>
  <si>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</si>
  <si>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</si>
  <si>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</si>
  <si>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</si>
  <si>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</si>
  <si>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</si>
  <si>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</si>
  <si>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</si>
  <si>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</si>
  <si>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</si>
  <si>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</si>
  <si>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</si>
  <si>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</si>
  <si>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</si>
  <si>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</si>
  <si>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</si>
  <si>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</si>
  <si>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</si>
  <si>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</si>
  <si>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</si>
  <si>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</si>
  <si>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</si>
  <si>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</si>
  <si>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</si>
  <si>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</si>
  <si>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</si>
  <si>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</si>
  <si>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</si>
  <si>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</si>
  <si>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</si>
  <si>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</si>
  <si>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</si>
  <si>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</si>
  <si>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</si>
  <si>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</si>
  <si>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</si>
  <si>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</si>
  <si>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</si>
  <si>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</si>
  <si>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</si>
  <si>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</si>
  <si>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</si>
  <si>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</si>
  <si>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</si>
  <si>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</si>
  <si>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</si>
  <si>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</si>
  <si>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</si>
  <si>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</si>
  <si>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</si>
  <si>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</si>
  <si>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</si>
  <si>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</si>
  <si>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</si>
  <si>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</si>
  <si>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</si>
  <si>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</si>
  <si>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</si>
  <si>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</si>
  <si>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</si>
  <si>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</si>
  <si>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</si>
  <si>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</si>
  <si>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</si>
  <si>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</si>
  <si>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</si>
  <si>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</si>
  <si>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</si>
  <si>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</si>
  <si>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</si>
  <si>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</si>
  <si>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</si>
  <si>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</si>
  <si>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</si>
  <si>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</si>
  <si>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</si>
  <si>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</si>
  <si>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</si>
  <si>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</si>
  <si>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</si>
  <si>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</si>
  <si>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</si>
  <si>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</si>
  <si>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</si>
  <si>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</si>
  <si>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</si>
  <si>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</si>
  <si>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</si>
  <si>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</si>
  <si>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</si>
  <si>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</si>
  <si>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</si>
  <si>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</si>
  <si>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</si>
  <si>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</si>
  <si>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</si>
  <si>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</si>
  <si>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</si>
  <si>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</si>
  <si>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</si>
  <si>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</si>
  <si>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</si>
  <si>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</si>
  <si>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</si>
  <si>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</si>
  <si>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</si>
  <si>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</si>
  <si>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</si>
  <si>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</si>
  <si>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</si>
  <si>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</si>
  <si>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</si>
  <si>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</si>
  <si>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</si>
  <si>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</si>
  <si>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</si>
  <si>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</si>
  <si>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</si>
  <si>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</si>
  <si>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</si>
  <si>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</si>
  <si>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</si>
  <si>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</si>
  <si>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</si>
  <si>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</si>
  <si>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</si>
  <si>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</si>
  <si>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</si>
  <si>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</si>
  <si>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</si>
  <si>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</si>
  <si>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</si>
  <si>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</si>
  <si>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</si>
  <si>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</si>
  <si>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</si>
  <si>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</si>
  <si>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</si>
  <si>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</si>
  <si>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</si>
  <si>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</si>
  <si>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</si>
  <si>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</si>
  <si>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</si>
  <si>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</si>
  <si>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</si>
  <si>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</si>
  <si>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</si>
  <si>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</si>
  <si>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</si>
  <si>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</si>
  <si>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</si>
  <si>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</si>
  <si>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</si>
  <si>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</si>
  <si>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</si>
  <si>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</si>
  <si>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</si>
  <si>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</si>
  <si>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</si>
  <si>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</si>
  <si>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</si>
  <si>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</si>
  <si>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</si>
  <si>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</si>
  <si>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</si>
  <si>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</si>
  <si>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</si>
  <si>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</si>
  <si>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</si>
  <si>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</si>
  <si>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</si>
  <si>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</si>
  <si>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</si>
  <si>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</si>
  <si>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</si>
  <si>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</si>
  <si>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</si>
  <si>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</si>
  <si>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</si>
  <si>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</si>
  <si>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</si>
  <si>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</si>
  <si>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</si>
  <si>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</si>
  <si>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</si>
  <si>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</si>
  <si>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</si>
  <si>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</si>
  <si>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</si>
  <si>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</si>
  <si>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</si>
  <si>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</si>
  <si>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</si>
  <si>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</si>
  <si>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</si>
  <si>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</si>
  <si>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</si>
  <si>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</si>
  <si>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</si>
  <si>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</si>
  <si>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</si>
  <si>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</si>
  <si>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</si>
  <si>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</si>
  <si>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</si>
  <si>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</si>
  <si>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</si>
  <si>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</si>
  <si>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</si>
  <si>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</si>
  <si>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</si>
  <si>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</si>
  <si>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</si>
  <si>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</si>
  <si>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</si>
  <si>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</si>
  <si>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</si>
  <si>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</si>
  <si>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</si>
  <si>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</si>
  <si>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</si>
  <si>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</si>
  <si>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</si>
  <si>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</si>
  <si>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</si>
  <si>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</si>
  <si>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</si>
  <si>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</si>
  <si>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</si>
  <si>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</si>
  <si>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</si>
  <si>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</si>
  <si>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</si>
  <si>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</si>
  <si>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</si>
  <si>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</si>
  <si>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</si>
  <si>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</si>
  <si>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</si>
  <si>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</si>
  <si>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</si>
  <si>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</si>
  <si>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</si>
  <si>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</si>
  <si>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</si>
  <si>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</si>
  <si>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</si>
  <si>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</si>
  <si>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</si>
  <si>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</si>
  <si>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</si>
  <si>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</si>
  <si>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</si>
  <si>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</si>
  <si>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</si>
  <si>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</si>
  <si>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</si>
  <si>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</si>
  <si>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</si>
  <si>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</si>
  <si>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</si>
  <si>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</si>
  <si>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</si>
  <si>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</si>
  <si>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</si>
  <si>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</si>
  <si>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</si>
  <si>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</si>
  <si>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</si>
  <si>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</si>
  <si>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</si>
  <si>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</si>
  <si>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</si>
  <si>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</si>
  <si>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</si>
  <si>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</si>
  <si>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</si>
  <si>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</si>
  <si>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</si>
  <si>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</si>
  <si>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</si>
  <si>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</si>
  <si>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</si>
  <si>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</si>
  <si>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</si>
  <si>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</si>
  <si>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</si>
  <si>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</si>
  <si>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</si>
  <si>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</si>
  <si>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</si>
  <si>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</si>
  <si>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</si>
  <si>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</si>
  <si>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</si>
  <si>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</si>
  <si>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</si>
  <si>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</si>
  <si>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</si>
  <si>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</si>
  <si>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</si>
  <si>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</si>
  <si>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</si>
  <si>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</si>
  <si>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</si>
  <si>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</si>
  <si>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</si>
  <si>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</si>
  <si>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</si>
  <si>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</si>
  <si>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</si>
  <si>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</si>
  <si>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</si>
  <si>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</si>
  <si>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</si>
  <si>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</si>
  <si>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</si>
  <si>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</si>
  <si>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</si>
  <si>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</si>
  <si>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</si>
  <si>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</si>
  <si>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</si>
  <si>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</si>
  <si>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</si>
  <si>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</si>
  <si>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</si>
  <si>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</si>
  <si>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</si>
  <si>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</si>
  <si>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</si>
  <si>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</si>
  <si>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</si>
  <si>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</si>
  <si>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</si>
  <si>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</si>
  <si>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</si>
  <si>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</si>
  <si>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</si>
  <si>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</si>
  <si>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</si>
  <si>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</si>
  <si>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</si>
  <si>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</si>
  <si>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</si>
  <si>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</si>
  <si>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</si>
  <si>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</si>
  <si>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</si>
  <si>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</si>
  <si>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</si>
  <si>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</si>
  <si>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</si>
  <si>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</si>
  <si>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</si>
  <si>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</si>
  <si>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</si>
  <si>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</si>
  <si>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</si>
  <si>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</si>
  <si>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</si>
  <si>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</si>
  <si>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</si>
  <si>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</si>
  <si>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</si>
  <si>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</si>
  <si>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</si>
  <si>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</si>
  <si>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</si>
  <si>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</si>
  <si>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</si>
  <si>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</si>
  <si>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</si>
  <si>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</si>
  <si>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</si>
  <si>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</si>
  <si>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</si>
  <si>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</si>
  <si>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</si>
  <si>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</si>
  <si>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</si>
  <si>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</si>
  <si>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</si>
  <si>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</si>
  <si>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</si>
  <si>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</si>
  <si>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</si>
  <si>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</si>
  <si>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</si>
  <si>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</si>
  <si>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</si>
  <si>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</si>
  <si>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</si>
  <si>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</si>
  <si>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</si>
  <si>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</si>
  <si>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</si>
  <si>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</si>
  <si>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</si>
  <si>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</si>
  <si>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</si>
  <si>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</si>
  <si>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</si>
  <si>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</si>
  <si>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</si>
  <si>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</si>
  <si>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</si>
  <si>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</si>
  <si>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</si>
  <si>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</si>
  <si>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</si>
  <si>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</si>
  <si>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</si>
  <si>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</si>
  <si>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</si>
  <si>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</si>
  <si>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</si>
  <si>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</si>
  <si>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</si>
  <si>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</si>
  <si>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</si>
  <si>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</si>
  <si>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</si>
  <si>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</si>
  <si>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</si>
  <si>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</si>
  <si>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</si>
  <si>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</si>
  <si>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</si>
  <si>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</si>
  <si>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</si>
  <si>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</si>
  <si>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</si>
  <si>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</si>
  <si>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</si>
  <si>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</si>
  <si>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</si>
  <si>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</si>
  <si>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</si>
  <si>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</si>
  <si>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</si>
  <si>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</si>
  <si>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</si>
  <si>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</si>
  <si>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</si>
  <si>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</si>
  <si>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</si>
  <si>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</si>
  <si>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</si>
  <si>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</si>
  <si>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</si>
  <si>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</si>
  <si>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</si>
  <si>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</si>
  <si>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</si>
  <si>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</si>
  <si>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</si>
  <si>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</si>
  <si>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</si>
  <si>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</si>
  <si>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</si>
  <si>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</si>
  <si>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</si>
  <si>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</si>
  <si>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</si>
  <si>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</si>
  <si>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</si>
  <si>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</si>
  <si>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</si>
  <si>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</si>
  <si>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</si>
  <si>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</si>
  <si>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</si>
  <si>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</si>
  <si>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</si>
  <si>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</si>
  <si>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</si>
  <si>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</si>
  <si>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</si>
  <si>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</si>
  <si>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</si>
  <si>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</si>
  <si>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</si>
  <si>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</si>
  <si>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</si>
  <si>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</si>
  <si>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</si>
  <si>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</si>
  <si>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</si>
  <si>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</si>
  <si>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</si>
  <si>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</si>
  <si>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</si>
  <si>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</si>
  <si>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</si>
  <si>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</si>
  <si>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</si>
  <si>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</si>
  <si>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</si>
  <si>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</si>
  <si>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</si>
  <si>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</si>
  <si>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</si>
  <si>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</si>
  <si>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</si>
  <si>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</si>
  <si>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</si>
  <si>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</si>
  <si>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</si>
  <si>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</si>
  <si>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</si>
  <si>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</si>
  <si>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</si>
  <si>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</si>
  <si>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</si>
  <si>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</si>
  <si>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</si>
  <si>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</si>
  <si>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</si>
  <si>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</si>
  <si>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</si>
  <si>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</si>
  <si>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</si>
  <si>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</si>
  <si>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</si>
  <si>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</si>
  <si>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</si>
  <si>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</si>
  <si>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</si>
  <si>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</si>
  <si>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</si>
  <si>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</si>
  <si>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</si>
  <si>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</si>
  <si>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</si>
  <si>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</si>
  <si>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</si>
  <si>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</si>
  <si>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</si>
  <si>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</si>
  <si>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</si>
  <si>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</si>
  <si>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</si>
  <si>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</si>
  <si>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</si>
  <si>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</si>
  <si>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</si>
  <si>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</si>
  <si>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</si>
  <si>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</si>
  <si>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</si>
  <si>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</si>
  <si>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</si>
  <si>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</si>
  <si>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</si>
  <si>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</si>
  <si>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</si>
  <si>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</si>
  <si>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</si>
  <si>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</si>
  <si>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</si>
  <si>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</si>
  <si>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</si>
  <si>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</si>
  <si>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</si>
  <si>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</si>
  <si>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</si>
  <si>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</si>
  <si>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</si>
  <si>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</si>
  <si>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</si>
  <si>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</si>
  <si>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</si>
  <si>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</si>
  <si>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</si>
  <si>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</si>
  <si>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</si>
  <si>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</si>
  <si>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</si>
  <si>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</si>
  <si>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</si>
  <si>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</si>
  <si>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</si>
  <si>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</si>
  <si>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</si>
  <si>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</si>
  <si>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</si>
  <si>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</si>
  <si>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</si>
  <si>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</si>
  <si>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</si>
  <si>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</si>
  <si>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</si>
  <si>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</si>
  <si>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</si>
  <si>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</si>
  <si>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</si>
  <si>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</si>
  <si>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</si>
  <si>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</si>
  <si>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</si>
  <si>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</si>
  <si>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</si>
  <si>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</si>
  <si>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</si>
  <si>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</si>
  <si>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</si>
  <si>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</si>
  <si>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</si>
  <si>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</si>
  <si>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</si>
  <si>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</si>
  <si>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</si>
  <si>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</si>
  <si>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</si>
  <si>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</si>
  <si>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</si>
  <si>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</si>
  <si>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</si>
  <si>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</si>
  <si>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</si>
  <si>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</si>
  <si>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</si>
  <si>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</si>
  <si>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</si>
  <si>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</si>
  <si>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</si>
  <si>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</si>
  <si>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</si>
  <si>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</si>
  <si>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</si>
  <si>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</si>
  <si>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</si>
  <si>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</si>
  <si>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</si>
  <si>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</si>
  <si>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</si>
  <si>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</si>
  <si>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</si>
  <si>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</si>
  <si>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</si>
  <si>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</si>
  <si>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</si>
  <si>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</si>
  <si>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</si>
  <si>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</si>
  <si>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</si>
  <si>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</si>
  <si>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</si>
  <si>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</si>
  <si>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</si>
  <si>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</si>
  <si>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</si>
  <si>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</si>
  <si>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</si>
  <si>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</si>
  <si>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</si>
  <si>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</si>
  <si>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</si>
  <si>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</si>
  <si>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</si>
  <si>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</si>
  <si>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</si>
  <si>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</si>
  <si>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</si>
  <si>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</si>
  <si>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</si>
  <si>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</si>
  <si>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</si>
  <si>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</si>
  <si>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</si>
  <si>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</si>
  <si>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</si>
  <si>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</si>
  <si>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</si>
  <si>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</si>
  <si>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</si>
  <si>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</si>
  <si>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</si>
  <si>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</si>
  <si>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</si>
  <si>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</si>
  <si>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</si>
  <si>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</si>
  <si>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</si>
  <si>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</si>
  <si>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</si>
  <si>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</si>
  <si>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</si>
  <si>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</si>
  <si>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</si>
  <si>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</si>
  <si>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</si>
  <si>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</si>
  <si>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</si>
  <si>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</si>
  <si>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</si>
  <si>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</si>
  <si>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</si>
  <si>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</si>
  <si>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</si>
  <si>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</si>
  <si>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</si>
  <si>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</si>
  <si>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</si>
  <si>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</si>
  <si>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</si>
  <si>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</si>
  <si>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</si>
  <si>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</si>
  <si>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</si>
  <si>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</si>
  <si>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</si>
  <si>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</si>
  <si>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</si>
  <si>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</si>
  <si>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</si>
  <si>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</si>
  <si>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</si>
  <si>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</si>
  <si>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</si>
  <si>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</si>
  <si>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</si>
  <si>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</si>
  <si>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</si>
  <si>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</si>
  <si>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</si>
  <si>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</si>
  <si>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</si>
  <si>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</si>
  <si>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</si>
  <si>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</si>
  <si>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</si>
  <si>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</si>
  <si>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</si>
  <si>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</si>
  <si>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</si>
  <si>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</si>
  <si>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</si>
  <si>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</si>
  <si>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</si>
  <si>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</si>
  <si>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</si>
  <si>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</si>
  <si>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</si>
  <si>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</si>
  <si>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</si>
  <si>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</si>
  <si>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</si>
  <si>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</si>
  <si>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</si>
  <si>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</si>
  <si>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</si>
  <si>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</si>
  <si>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</si>
  <si>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</si>
  <si>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</si>
  <si>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</si>
  <si>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</si>
  <si>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</si>
  <si>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</si>
  <si>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</si>
  <si>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</si>
  <si>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</si>
  <si>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</si>
  <si>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</si>
  <si>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</si>
  <si>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</si>
  <si>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</si>
  <si>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</si>
  <si>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</si>
  <si>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</si>
  <si>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</si>
  <si>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</si>
  <si>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</si>
  <si>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</si>
  <si>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</si>
  <si>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</si>
  <si>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</si>
  <si>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</si>
  <si>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</si>
  <si>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</si>
  <si>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</si>
  <si>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</si>
  <si>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</si>
  <si>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</si>
  <si>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</si>
  <si>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</si>
  <si>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</si>
  <si>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</si>
  <si>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</si>
  <si>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</si>
  <si>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</si>
  <si>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</si>
  <si>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</si>
  <si>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</si>
  <si>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</si>
  <si>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</si>
  <si>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</si>
  <si>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</si>
  <si>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</si>
  <si>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</si>
  <si>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</si>
  <si>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</si>
  <si>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</si>
  <si>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</si>
  <si>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</si>
  <si>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</si>
  <si>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</si>
  <si>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</si>
  <si>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</si>
  <si>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</si>
  <si>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</si>
  <si>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</si>
  <si>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</si>
  <si>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</si>
  <si>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</si>
  <si>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</si>
  <si>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</si>
  <si>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</si>
  <si>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</si>
  <si>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</si>
  <si>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</si>
  <si>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</si>
  <si>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</si>
  <si>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</si>
  <si>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</si>
  <si>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</si>
  <si>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</si>
  <si>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</si>
  <si>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</si>
  <si>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</si>
  <si>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</si>
  <si>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</si>
  <si>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</si>
  <si>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</si>
  <si>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</si>
  <si>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</si>
  <si>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</si>
  <si>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</si>
  <si>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</si>
  <si>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</si>
  <si>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</si>
  <si>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</si>
  <si>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</si>
  <si>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</si>
  <si>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</si>
  <si>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</si>
  <si>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</si>
  <si>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</si>
  <si>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</si>
  <si>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</si>
  <si>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</si>
  <si>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</si>
  <si>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</si>
  <si>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</si>
  <si>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</si>
  <si>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</si>
  <si>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</si>
  <si>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</si>
  <si>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</si>
  <si>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</si>
  <si>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</si>
  <si>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</si>
  <si>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</si>
  <si>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</si>
  <si>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</si>
  <si>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</si>
  <si>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</si>
  <si>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</si>
  <si>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</si>
  <si>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</si>
  <si>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</si>
  <si>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</si>
  <si>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</si>
  <si>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</si>
  <si>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</si>
  <si>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</si>
  <si>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</si>
  <si>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</si>
  <si>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</si>
  <si>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</si>
  <si>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</si>
  <si>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</si>
  <si>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</si>
  <si>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</si>
  <si>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</si>
  <si>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</si>
  <si>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</si>
  <si>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</si>
  <si>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</si>
  <si>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</si>
  <si>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</si>
  <si>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</si>
  <si>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</si>
  <si>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</si>
  <si>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</si>
  <si>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</si>
  <si>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</si>
  <si>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</si>
  <si>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</si>
  <si>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</si>
  <si>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</si>
  <si>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</si>
  <si>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</si>
  <si>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</si>
  <si>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</si>
  <si>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</si>
  <si>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</si>
  <si>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</si>
  <si>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</si>
  <si>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</si>
  <si>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</si>
  <si>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</si>
  <si>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</si>
  <si>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</si>
  <si>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</si>
  <si>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</si>
  <si>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</si>
  <si>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</si>
  <si>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</si>
  <si>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</si>
  <si>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</si>
  <si>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</si>
  <si>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</si>
  <si>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</si>
  <si>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</si>
  <si>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</si>
  <si>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</si>
  <si>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</si>
  <si>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</si>
  <si>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</si>
  <si>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</si>
  <si>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</si>
  <si>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</si>
  <si>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</si>
  <si>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</si>
  <si>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</si>
  <si>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</si>
  <si>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</si>
  <si>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</si>
  <si>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</si>
  <si>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</si>
  <si>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</si>
  <si>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</si>
  <si>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</si>
  <si>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</si>
  <si>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</si>
  <si>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</si>
  <si>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</si>
  <si>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</si>
  <si>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</si>
  <si>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</si>
  <si>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</si>
  <si>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</si>
  <si>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</si>
  <si>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</si>
  <si>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</si>
  <si>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</si>
  <si>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</si>
  <si>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</si>
  <si>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</si>
  <si>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</si>
  <si>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</si>
  <si>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</si>
  <si>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</si>
  <si>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</si>
  <si>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</si>
  <si>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</si>
  <si>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</si>
  <si>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</si>
  <si>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</si>
  <si>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</si>
  <si>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</si>
  <si>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</si>
  <si>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</si>
  <si>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</si>
  <si>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</si>
  <si>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</si>
  <si>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</si>
  <si>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</si>
  <si>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</si>
  <si>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</si>
  <si>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</si>
  <si>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</si>
  <si>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</si>
  <si>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</si>
  <si>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</si>
  <si>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</si>
  <si>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</si>
  <si>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</si>
  <si>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</si>
  <si>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</si>
  <si>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</si>
  <si>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</si>
  <si>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</si>
  <si>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</si>
  <si>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</si>
  <si>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</si>
  <si>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</si>
  <si>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</si>
  <si>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</si>
  <si>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</si>
  <si>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</si>
  <si>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</si>
  <si>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</si>
  <si>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</si>
  <si>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</si>
  <si>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</si>
  <si>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</si>
  <si>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</si>
  <si>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</si>
  <si>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</si>
  <si>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</si>
  <si>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</si>
  <si>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</si>
  <si>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</si>
  <si>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</si>
  <si>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</si>
  <si>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</si>
  <si>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</si>
  <si>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</si>
  <si>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</si>
  <si>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</si>
  <si>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</si>
  <si>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</si>
  <si>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</si>
  <si>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</si>
  <si>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</si>
  <si>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</si>
  <si>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</si>
  <si>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</si>
  <si>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</si>
  <si>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</si>
  <si>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</si>
  <si>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</si>
  <si>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</si>
  <si>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</si>
  <si>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</si>
  <si>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</si>
  <si>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</si>
  <si>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</si>
  <si>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</si>
  <si>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</si>
  <si>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</si>
  <si>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</si>
  <si>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</si>
  <si>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</si>
  <si>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</si>
  <si>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</si>
  <si>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</si>
  <si>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</si>
  <si>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</si>
  <si>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</si>
  <si>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</si>
  <si>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</si>
  <si>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</si>
  <si>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</si>
  <si>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</si>
  <si>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</si>
  <si>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</si>
  <si>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</si>
  <si>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</si>
  <si>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</si>
  <si>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</si>
  <si>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</si>
  <si>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</si>
  <si>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</si>
  <si>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</si>
  <si>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</si>
  <si>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</si>
  <si>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</si>
  <si>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</si>
  <si>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</si>
  <si>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</si>
  <si>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</si>
  <si>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</si>
  <si>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</si>
  <si>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</si>
  <si>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</si>
  <si>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</si>
  <si>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</si>
  <si>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</si>
  <si>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</si>
  <si>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</si>
  <si>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</si>
  <si>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</si>
  <si>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</si>
  <si>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</si>
  <si>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</si>
  <si>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</si>
  <si>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</si>
  <si>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</si>
  <si>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</si>
  <si>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</si>
  <si>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</si>
  <si>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</si>
  <si>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</si>
  <si>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</si>
  <si>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</si>
  <si>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</si>
  <si>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</si>
  <si>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</si>
  <si>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</si>
  <si>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</si>
  <si>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</si>
  <si>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</si>
  <si>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</si>
  <si>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</si>
  <si>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</si>
  <si>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</si>
  <si>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</si>
  <si>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</si>
  <si>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</si>
  <si>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</si>
  <si>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</si>
  <si>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</si>
  <si>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</si>
  <si>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</si>
  <si>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</si>
  <si>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</si>
  <si>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</si>
  <si>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</si>
  <si>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</si>
  <si>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</si>
  <si>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</si>
  <si>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</si>
  <si>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</si>
  <si>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</si>
  <si>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</si>
  <si>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</si>
  <si>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</si>
  <si>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</si>
  <si>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</si>
  <si>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</si>
  <si>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抵押</t>
  </si>
  <si>
    <t>房地产抵押价值</t>
  </si>
  <si>
    <t>北京市</t>
  </si>
  <si>
    <t>企业</t>
  </si>
  <si>
    <t>估价对象容积率</t>
  </si>
  <si>
    <t>通路</t>
  </si>
  <si>
    <t>通电</t>
  </si>
  <si>
    <t>通讯</t>
  </si>
  <si>
    <t>通上水</t>
  </si>
  <si>
    <t>通下水</t>
  </si>
  <si>
    <t>燃气</t>
  </si>
  <si>
    <t>平整</t>
  </si>
  <si>
    <t>按公示增长率计算</t>
  </si>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</sst>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1">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3" fontId="48" fillId="0" borderId="1" xfId="0" applyNumberFormat="1" applyFont="1" applyFill="1" applyBorder="1" applyAlignment="1" applyProtection="1">
      <alignment horizontal="center" vertical="center" shrinkToFit="1"/>
      <protection locked="0"/>
    </xf>
    <xf numFmtId="177" fontId="62" fillId="5" borderId="1" xfId="1" applyNumberFormat="1" applyFont="1" applyFill="1" applyBorder="1" applyAlignment="1" applyProtection="1">
      <alignment horizontal="center" vertical="center"/>
      <protection locked="0"/>
    </xf>
    <xf numFmtId="184" fontId="54" fillId="5" borderId="9" xfId="0" applyFont="1" applyFill="1" applyBorder="1" applyAlignment="1" applyProtection="1">
      <alignment horizontal="center" vertical="center" wrapText="1"/>
      <protection locked="0"/>
    </xf>
    <xf numFmtId="184" fontId="54" fillId="5" borderId="28" xfId="0" applyFont="1" applyFill="1" applyBorder="1" applyAlignment="1" applyProtection="1">
      <alignment horizontal="center" vertical="center" wrapText="1"/>
      <protection locked="0"/>
    </xf>
    <xf numFmtId="0" fontId="98" fillId="6" borderId="1" xfId="0" applyNumberFormat="1" applyFont="1" applyFill="1" applyBorder="1" applyAlignment="1" applyProtection="1">
      <alignment horizontal="left" vertical="center"/>
      <protection locked="0"/>
    </xf>
    <xf numFmtId="184" fontId="99" fillId="5" borderId="1" xfId="0" applyFont="1" applyFill="1" applyBorder="1" applyAlignment="1" applyProtection="1">
      <alignment horizontal="center" vertical="center" wrapText="1"/>
      <protection locked="0"/>
    </xf>
    <xf numFmtId="184" fontId="113" fillId="5" borderId="1" xfId="0" applyFont="1" applyFill="1" applyBorder="1" applyAlignment="1" applyProtection="1">
      <alignment horizontal="center"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6890;&#24030;&#24037;&#1999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42642.17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北京市房地产抵押价值预评估</v>
      </c>
    </row>
    <row r="3" spans="1:2" s="2761" customFormat="1">
      <c r="A3" s="2759" t="s">
        <v>736</v>
      </c>
      <c r="B3" s="2760">
        <f>'预评函-封皮'!B40</f>
        <v>0</v>
      </c>
    </row>
    <row r="4" spans="1:2" s="2761" customFormat="1">
      <c r="A4" s="2759" t="s">
        <v>737</v>
      </c>
      <c r="B4" s="2760" t="str">
        <f>'预评函-封皮'!B46</f>
        <v>（注册号：0)、（注册号：0)</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受贵公司委托，我公司对北京市房地产抵押价值进行了预评估。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1" customFormat="1">
      <c r="A12" s="2759" t="s">
        <v>741</v>
      </c>
      <c r="B12" s="2760" t="str">
        <f>'预评函-1'!A15</f>
        <v>2022年8月11日</v>
      </c>
    </row>
    <row r="13" spans="1:2" s="2761" customFormat="1">
      <c r="A13" s="2759" t="s">
        <v>742</v>
      </c>
      <c r="B13" s="2760" t="str">
        <f>'预评函-1'!A18</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4" spans="1:2" s="2761" customFormat="1">
      <c r="A14" s="2759" t="s">
        <v>743</v>
      </c>
      <c r="B14" s="2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1" customFormat="1">
      <c r="A16" s="2759" t="s">
        <v>745</v>
      </c>
      <c r="B16" s="27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1" customFormat="1">
      <c r="A17" s="2759" t="s">
        <v>746</v>
      </c>
      <c r="B17" s="27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北京市房地产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房地产抵押价值</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估价师知悉的法定优先受偿款</v>
      </c>
    </row>
    <row r="58" spans="1:2" s="2758" customFormat="1" ht="15" thickTop="1">
      <c r="A58" s="2756" t="s">
        <v>766</v>
      </c>
      <c r="B58" s="2757" t="str">
        <f>'预评函-4'!A12</f>
        <v>2.本《评估意见函》仅供金融机构进行内部审核使用，不做其他目的之用。</v>
      </c>
    </row>
    <row r="59" spans="1:2" s="2761" customFormat="1">
      <c r="A59" s="2759" t="s">
        <v>767</v>
      </c>
      <c r="B59" s="2760" t="str">
        <f>'预评函-4'!A13</f>
        <v>3.抵押双方在办理抵押登记手续时，应使用本公司出具的正式《房地产评估报告》，特提醒报告使用者注意。</v>
      </c>
    </row>
    <row r="60" spans="1:2" s="2761" customFormat="1">
      <c r="A60" s="2759" t="s">
        <v>768</v>
      </c>
      <c r="B60" s="2760" t="str">
        <f>'预评函-4'!A14</f>
        <v>4.本次评估估价师所知悉的法定优先受偿款情况说明如下：</v>
      </c>
    </row>
    <row r="61" spans="1:2" s="2761" customFormat="1">
      <c r="A61" s="2759" t="s">
        <v>769</v>
      </c>
      <c r="B61" s="27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故，本次评估不存在估价师知悉的法定优先受偿款</v>
      </c>
    </row>
    <row r="65" spans="1:2" s="2761" customFormat="1">
      <c r="A65" s="2759" t="s">
        <v>772</v>
      </c>
      <c r="B65" s="27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f>'预评函-4'!A4</f>
        <v>0</v>
      </c>
    </row>
    <row r="71" spans="1:2">
      <c r="A71" s="2759" t="s">
        <v>776</v>
      </c>
      <c r="B71" s="2760">
        <f>'预评函-4'!B4</f>
        <v>0</v>
      </c>
    </row>
    <row r="72" spans="1:2">
      <c r="A72" s="2759" t="s">
        <v>777</v>
      </c>
      <c r="B72" s="2760">
        <f>'预评函-4'!A5</f>
        <v>0</v>
      </c>
    </row>
    <row r="73" spans="1:2" s="2755" customFormat="1" ht="15" thickBot="1">
      <c r="A73" s="2762" t="s">
        <v>778</v>
      </c>
      <c r="B73" s="2763">
        <f>'预评函-4'!B5</f>
        <v>0</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2703</v>
      </c>
      <c r="I7" s="2819" t="s">
        <v>1248</v>
      </c>
    </row>
    <row r="8" spans="1:23">
      <c r="A8" s="2817" t="s">
        <v>1249</v>
      </c>
      <c r="B8" s="2817" t="s">
        <v>1250</v>
      </c>
      <c r="C8" s="2818" t="s">
        <v>527</v>
      </c>
      <c r="F8" s="2819" t="s">
        <v>1251</v>
      </c>
      <c r="H8" s="2819" t="s">
        <v>2704</v>
      </c>
      <c r="I8" s="2819" t="s">
        <v>1252</v>
      </c>
    </row>
    <row r="9" spans="1:23">
      <c r="A9" s="2817" t="s">
        <v>1253</v>
      </c>
      <c r="B9" s="2817" t="s">
        <v>1254</v>
      </c>
      <c r="C9" s="2818" t="s">
        <v>528</v>
      </c>
      <c r="F9" s="2819" t="s">
        <v>1255</v>
      </c>
      <c r="H9" s="2819" t="s">
        <v>2705</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2555</v>
      </c>
      <c r="C17" s="2818"/>
    </row>
    <row r="18" spans="1:3">
      <c r="A18" s="2817" t="s">
        <v>1270</v>
      </c>
      <c r="B18" s="2817" t="s">
        <v>2699</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28"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827" t="s">
        <v>594</v>
      </c>
      <c r="C54" s="2823" t="s">
        <v>796</v>
      </c>
    </row>
    <row r="55" spans="1:4">
      <c r="A55" s="3028"/>
      <c r="B55" s="2827" t="s">
        <v>595</v>
      </c>
      <c r="C55" s="2823" t="s">
        <v>797</v>
      </c>
    </row>
    <row r="56" spans="1:4">
      <c r="A56" s="3028"/>
      <c r="B56" s="2827" t="s">
        <v>596</v>
      </c>
      <c r="C56" s="2823" t="s">
        <v>801</v>
      </c>
    </row>
    <row r="57" spans="1:4">
      <c r="A57" s="3028"/>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2430</v>
      </c>
      <c r="B1" s="3036" t="str">
        <f>IF(B10="北京市","北京市",C10)&amp;F10&amp;IF(结果表!G1="在建","出让国有建设用地使用权及在建建筑物",IF(结果表!G1="土地","出让国有建设用地使用权",))&amp;B9&amp;"预评估"</f>
        <v>北京市房地产抵押价值预评估</v>
      </c>
      <c r="C1" s="3037"/>
      <c r="D1" s="3037"/>
      <c r="E1" s="3037"/>
      <c r="F1" s="3037"/>
      <c r="G1" s="3037"/>
      <c r="H1" s="3037"/>
      <c r="I1" s="3038"/>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北京市房地产抵押价值</v>
      </c>
      <c r="T1" s="2872"/>
      <c r="U1" s="2872"/>
      <c r="V1" s="2872"/>
      <c r="W1" s="2872"/>
      <c r="X1" s="2872"/>
      <c r="Y1" s="2872"/>
      <c r="Z1" s="2872"/>
      <c r="AA1" s="2872"/>
      <c r="AB1" s="2872"/>
    </row>
    <row r="2" spans="1:28">
      <c r="A2" s="2874" t="s">
        <v>2431</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28">
      <c r="A3" s="879" t="s">
        <v>2432</v>
      </c>
      <c r="B3" s="352"/>
      <c r="C3" s="2880" t="s">
        <v>2433</v>
      </c>
      <c r="D3" s="352">
        <v>44784</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2434</v>
      </c>
      <c r="B4" s="2881"/>
      <c r="C4" s="458">
        <f>SUMIF(注册房地产估价师,B4,估价师及机构信息!B3:B24)</f>
        <v>0</v>
      </c>
      <c r="D4" s="2881"/>
      <c r="E4" s="458">
        <f>SUMIF(注册房地产估价师,D4,估价师及机构信息!B3:B24)</f>
        <v>0</v>
      </c>
      <c r="F4" s="2881"/>
      <c r="G4" s="458">
        <f>SUMIF(注册房地产估价师,F4,估价师及机构信息!B3:B24)</f>
        <v>0</v>
      </c>
      <c r="H4" s="2881"/>
      <c r="I4" s="458">
        <f>SUMIF(注册房地产估价师,H4,估价师及机构信息!B3:B24)</f>
        <v>0</v>
      </c>
      <c r="J4" s="862"/>
      <c r="K4" s="988" t="str">
        <f>CONCATENATE(B4,"（注册号：",C4,")、",D4,"（注册号：",E4,")")</f>
        <v>（注册号：0)、（注册号：0)</v>
      </c>
      <c r="L4" s="2869"/>
      <c r="M4" s="2869"/>
      <c r="N4" s="2870"/>
      <c r="O4" s="2869"/>
      <c r="P4" s="2870"/>
      <c r="Q4" s="2870"/>
      <c r="R4" s="2870"/>
      <c r="S4" s="2871"/>
      <c r="T4" s="2872"/>
      <c r="U4" s="2872"/>
      <c r="V4" s="2872"/>
      <c r="W4" s="2872"/>
      <c r="X4" s="2872"/>
      <c r="Y4" s="2872"/>
      <c r="Z4" s="2872"/>
      <c r="AA4" s="2872"/>
      <c r="AB4" s="2872"/>
    </row>
    <row r="5" spans="1:28" ht="13.5" thickTop="1">
      <c r="A5" s="2882" t="s">
        <v>2435</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2436</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2437</v>
      </c>
      <c r="B7" s="2893"/>
      <c r="C7" s="2889"/>
      <c r="D7" s="2890"/>
      <c r="E7" s="2878"/>
      <c r="F7" s="2886"/>
      <c r="G7" s="2886"/>
      <c r="H7" s="2886"/>
      <c r="I7" s="2886"/>
      <c r="J7" s="862"/>
      <c r="K7" s="2891"/>
      <c r="L7" s="2892"/>
      <c r="M7" s="2892"/>
      <c r="N7" s="862"/>
      <c r="O7" s="2892"/>
      <c r="P7" s="862"/>
      <c r="Q7" s="862"/>
      <c r="R7" s="862"/>
    </row>
    <row r="8" spans="1:28">
      <c r="A8" s="2894" t="s">
        <v>2438</v>
      </c>
      <c r="B8" s="2895" t="s">
        <v>3097</v>
      </c>
      <c r="C8" s="2896"/>
      <c r="D8" s="3039" t="s">
        <v>2439</v>
      </c>
      <c r="E8" s="2897"/>
      <c r="F8" s="2898"/>
      <c r="G8" s="2879"/>
      <c r="H8" s="2879"/>
      <c r="I8" s="2879"/>
      <c r="J8" s="862"/>
      <c r="K8" s="2899"/>
      <c r="L8" s="2892"/>
      <c r="M8" s="2892"/>
      <c r="N8" s="862"/>
      <c r="O8" s="2892"/>
      <c r="P8" s="862"/>
      <c r="Q8" s="862"/>
      <c r="R8" s="862"/>
    </row>
    <row r="9" spans="1:28" ht="13.5" thickBot="1">
      <c r="A9" s="2900" t="s">
        <v>2440</v>
      </c>
      <c r="B9" s="2901" t="s">
        <v>3098</v>
      </c>
      <c r="C9" s="2902"/>
      <c r="D9" s="3040"/>
      <c r="E9" s="2901"/>
      <c r="F9" s="2903"/>
      <c r="G9" s="2904"/>
      <c r="H9" s="2904"/>
      <c r="I9" s="2904"/>
      <c r="J9" s="862"/>
      <c r="K9" s="2891"/>
      <c r="L9" s="2892"/>
      <c r="M9" s="2892"/>
      <c r="N9" s="862"/>
      <c r="O9" s="2892"/>
      <c r="P9" s="862"/>
      <c r="Q9" s="862"/>
      <c r="R9" s="862"/>
    </row>
    <row r="10" spans="1:28" ht="13.5" thickTop="1">
      <c r="A10" s="2905" t="s">
        <v>2441</v>
      </c>
      <c r="B10" s="2906" t="s">
        <v>3099</v>
      </c>
      <c r="C10" s="2907"/>
      <c r="D10" s="2885"/>
      <c r="E10" s="991" t="s">
        <v>2442</v>
      </c>
      <c r="F10" s="2908"/>
      <c r="G10" s="2909"/>
      <c r="H10" s="2910"/>
      <c r="I10" s="2911"/>
      <c r="J10" s="862"/>
      <c r="K10" s="2891"/>
      <c r="L10" s="2892"/>
      <c r="M10" s="2892"/>
      <c r="N10" s="862"/>
      <c r="O10" s="2892"/>
      <c r="P10" s="862"/>
      <c r="Q10" s="862"/>
      <c r="R10" s="862"/>
    </row>
    <row r="11" spans="1:28">
      <c r="A11" s="2912" t="s">
        <v>2443</v>
      </c>
      <c r="B11" s="2913" t="s">
        <v>3100</v>
      </c>
      <c r="C11" s="2914"/>
      <c r="D11" s="2915"/>
      <c r="E11" s="2870"/>
      <c r="F11" s="2870"/>
      <c r="G11" s="2870"/>
      <c r="H11" s="2870"/>
      <c r="I11" s="2870"/>
      <c r="J11" s="862"/>
      <c r="K11" s="2891"/>
      <c r="L11" s="2892"/>
      <c r="M11" s="2892"/>
      <c r="N11" s="862"/>
      <c r="O11" s="2892"/>
      <c r="P11" s="862"/>
      <c r="Q11" s="862"/>
      <c r="R11" s="862"/>
    </row>
    <row r="12" spans="1:28">
      <c r="A12" s="2916" t="s">
        <v>2444</v>
      </c>
      <c r="B12" s="2913" t="s">
        <v>3087</v>
      </c>
      <c r="C12" s="460" t="s">
        <v>2445</v>
      </c>
      <c r="D12" s="459" t="s">
        <v>2446</v>
      </c>
      <c r="E12" s="459" t="s">
        <v>2447</v>
      </c>
      <c r="F12" s="459" t="s">
        <v>2448</v>
      </c>
      <c r="G12" s="459" t="s">
        <v>2449</v>
      </c>
      <c r="H12" s="459" t="s">
        <v>2450</v>
      </c>
      <c r="I12" s="459" t="s">
        <v>2451</v>
      </c>
      <c r="J12" s="862"/>
      <c r="K12" s="2891"/>
      <c r="L12" s="2892"/>
      <c r="M12" s="2892"/>
      <c r="N12" s="862"/>
      <c r="O12" s="2892"/>
      <c r="P12" s="862"/>
      <c r="Q12" s="862"/>
      <c r="R12" s="862"/>
    </row>
    <row r="13" spans="1:28">
      <c r="A13" s="1360"/>
      <c r="B13" s="2917"/>
      <c r="C13" s="2918" t="s">
        <v>2452</v>
      </c>
      <c r="D13" s="2919"/>
      <c r="E13" s="2919"/>
      <c r="F13" s="2919"/>
      <c r="G13" s="2919"/>
      <c r="H13" s="2919"/>
      <c r="I13" s="3314">
        <v>56138</v>
      </c>
      <c r="J13" s="862"/>
      <c r="K13" s="2891"/>
      <c r="L13" s="2892"/>
      <c r="M13" s="2892"/>
      <c r="N13" s="862"/>
      <c r="O13" s="2892"/>
      <c r="P13" s="862"/>
      <c r="Q13" s="862"/>
      <c r="R13" s="862"/>
    </row>
    <row r="14" spans="1:28" ht="15">
      <c r="A14" s="1360"/>
      <c r="B14" s="2917"/>
      <c r="C14" s="2918" t="s">
        <v>2453</v>
      </c>
      <c r="D14" s="2920"/>
      <c r="E14" s="2920"/>
      <c r="F14" s="2920"/>
      <c r="G14" s="2920"/>
      <c r="H14" s="2920"/>
      <c r="I14" s="3315">
        <v>50</v>
      </c>
      <c r="J14" s="862"/>
      <c r="K14" s="2891"/>
      <c r="L14" s="2892"/>
      <c r="M14" s="2892"/>
      <c r="N14" s="862"/>
      <c r="O14" s="2892"/>
      <c r="P14" s="862"/>
      <c r="Q14" s="862"/>
      <c r="R14" s="862"/>
    </row>
    <row r="15" spans="1:28">
      <c r="A15" s="978"/>
      <c r="B15" s="2921"/>
      <c r="C15" s="2922"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31.1</v>
      </c>
      <c r="J15" s="862"/>
      <c r="K15" s="2891"/>
      <c r="L15" s="2892"/>
      <c r="M15" s="2892"/>
      <c r="N15" s="862"/>
      <c r="O15" s="2892"/>
      <c r="P15" s="862"/>
      <c r="Q15" s="862"/>
      <c r="R15" s="862"/>
    </row>
    <row r="16" spans="1:28">
      <c r="A16" s="991" t="s">
        <v>2455</v>
      </c>
      <c r="B16" s="3046"/>
      <c r="C16" s="3047"/>
      <c r="D16" s="3048"/>
      <c r="E16" s="989" t="s">
        <v>2456</v>
      </c>
      <c r="F16" s="3049"/>
      <c r="G16" s="3050"/>
      <c r="H16" s="3050"/>
      <c r="I16" s="3051"/>
      <c r="J16" s="862"/>
      <c r="K16" s="2891"/>
      <c r="L16" s="2892"/>
      <c r="M16" s="2892"/>
      <c r="N16" s="862"/>
      <c r="O16" s="2892"/>
      <c r="P16" s="862"/>
      <c r="Q16" s="862"/>
      <c r="R16" s="862"/>
    </row>
    <row r="17" spans="1:28">
      <c r="A17" s="1337" t="s">
        <v>2457</v>
      </c>
      <c r="B17" s="879" t="s">
        <v>2458</v>
      </c>
      <c r="C17" s="459">
        <f>'数据-汇总表'!E3</f>
        <v>0</v>
      </c>
      <c r="D17" s="2845" t="s">
        <v>2459</v>
      </c>
      <c r="E17" s="3052" t="s">
        <v>2460</v>
      </c>
      <c r="F17" s="3053"/>
      <c r="G17" s="3053"/>
      <c r="H17" s="3053"/>
      <c r="I17" s="3054"/>
      <c r="J17" s="862"/>
      <c r="K17" s="2899"/>
      <c r="L17" s="2892"/>
      <c r="M17" s="2892"/>
      <c r="N17" s="862"/>
      <c r="O17" s="2892"/>
      <c r="P17" s="862"/>
      <c r="Q17" s="862"/>
      <c r="R17" s="862"/>
      <c r="S17" s="862"/>
      <c r="T17" s="862"/>
      <c r="U17" s="862"/>
      <c r="V17" s="862"/>
    </row>
    <row r="18" spans="1:28" ht="24.75" thickBot="1">
      <c r="A18" s="2923" t="s">
        <v>2461</v>
      </c>
      <c r="B18" s="1353" t="s">
        <v>2462</v>
      </c>
      <c r="C18" s="2924" t="e">
        <f>'数据-汇总表'!D3</f>
        <v>#DIV/0!</v>
      </c>
      <c r="D18" s="1386" t="s">
        <v>2463</v>
      </c>
      <c r="E18" s="3055" t="s">
        <v>2464</v>
      </c>
      <c r="F18" s="3056"/>
      <c r="G18" s="3056"/>
      <c r="H18" s="3056"/>
      <c r="I18" s="3057"/>
      <c r="J18" s="862"/>
      <c r="K18" s="2899"/>
      <c r="L18" s="2892"/>
      <c r="M18" s="2892"/>
      <c r="N18" s="862"/>
      <c r="O18" s="2892"/>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2467</v>
      </c>
      <c r="B20" s="3042" t="s">
        <v>2468</v>
      </c>
      <c r="C20" s="3043"/>
      <c r="D20" s="3044" t="s">
        <v>2469</v>
      </c>
      <c r="E20" s="3045"/>
      <c r="F20" s="2931" t="s">
        <v>1280</v>
      </c>
      <c r="G20" s="2886"/>
      <c r="H20" s="2886"/>
      <c r="I20" s="2886"/>
      <c r="J20" s="862"/>
      <c r="K20" s="3041"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2471</v>
      </c>
      <c r="C21" s="856" t="s">
        <v>1281</v>
      </c>
      <c r="D21" s="2933" t="s">
        <v>2472</v>
      </c>
      <c r="E21" s="2934" t="s">
        <v>1281</v>
      </c>
      <c r="F21" s="2935"/>
      <c r="G21" s="2886"/>
      <c r="H21" s="2886"/>
      <c r="I21" s="2886"/>
      <c r="J21" s="862"/>
      <c r="K21" s="3041"/>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2473</v>
      </c>
      <c r="C22" s="856" t="s">
        <v>1282</v>
      </c>
      <c r="D22" s="2879"/>
      <c r="E22" s="2879"/>
      <c r="F22" s="2879"/>
      <c r="G22" s="2886"/>
      <c r="H22" s="2886"/>
      <c r="I22" s="2886"/>
      <c r="J22" s="862"/>
      <c r="K22" s="3041"/>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2474</v>
      </c>
      <c r="B23" s="854" t="s">
        <v>2475</v>
      </c>
      <c r="C23" s="2938"/>
      <c r="D23" s="2939" t="s">
        <v>2475</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30" t="s">
        <v>2476</v>
      </c>
      <c r="B27" s="978" t="s">
        <v>2477</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30"/>
      <c r="B28" s="879" t="s">
        <v>2478</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30"/>
      <c r="B29" s="879" t="s">
        <v>2479</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31"/>
      <c r="B30" s="879" t="s">
        <v>2480</v>
      </c>
      <c r="C30" s="3032"/>
      <c r="D30" s="3033"/>
      <c r="E30" s="2886"/>
      <c r="F30" s="2886"/>
      <c r="G30" s="2886"/>
      <c r="H30" s="2886"/>
      <c r="I30" s="2886"/>
      <c r="J30" s="862"/>
      <c r="K30" s="2891"/>
      <c r="L30" s="2892"/>
      <c r="M30" s="2892"/>
      <c r="N30" s="862"/>
      <c r="O30" s="2892"/>
      <c r="P30" s="862"/>
      <c r="Q30" s="862"/>
      <c r="R30" s="862"/>
      <c r="S30" s="862"/>
      <c r="T30" s="862"/>
      <c r="U30" s="862"/>
      <c r="V30" s="862"/>
    </row>
    <row r="31" spans="1:28">
      <c r="A31" s="3034" t="s">
        <v>2481</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35"/>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35"/>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2482</v>
      </c>
      <c r="B34" s="2956"/>
      <c r="C34" s="2956"/>
      <c r="D34" s="2956"/>
      <c r="E34" s="2956"/>
      <c r="F34" s="2956"/>
      <c r="G34" s="2956"/>
      <c r="H34" s="2956"/>
      <c r="I34" s="2886"/>
      <c r="J34" s="862"/>
      <c r="K34" s="459">
        <f>COUNTIF(B34:H34,"——")</f>
        <v>0</v>
      </c>
      <c r="L34" s="460" t="s">
        <v>2483</v>
      </c>
      <c r="M34" s="460" t="s">
        <v>2484</v>
      </c>
      <c r="N34" s="460" t="s">
        <v>2485</v>
      </c>
      <c r="O34" s="460" t="s">
        <v>2486</v>
      </c>
      <c r="P34" s="460" t="s">
        <v>2487</v>
      </c>
      <c r="Q34" s="460" t="s">
        <v>2488</v>
      </c>
      <c r="R34" s="460" t="s">
        <v>2489</v>
      </c>
      <c r="S34" s="3029" t="s">
        <v>2490</v>
      </c>
      <c r="T34" s="460" t="str">
        <f>NUMBERSTRING(7-K34,1)&amp;"通"</f>
        <v>七通</v>
      </c>
      <c r="U34" s="862"/>
      <c r="V34" s="862"/>
    </row>
    <row r="35" spans="1:30">
      <c r="A35" s="2957"/>
      <c r="B35" s="3029" t="s">
        <v>2491</v>
      </c>
      <c r="C35" s="3029"/>
      <c r="D35" s="3029"/>
      <c r="E35" s="3029"/>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29"/>
      <c r="T35" s="1248" t="str">
        <f>IF(T34="一通",L35,IF(T34="二通",M35,IF(T34="三通",N35,IF(T34="四通",O35,IF(T34="五通",P35,IF(T34="六通",Q35,R35))))))</f>
        <v>、、、、、、</v>
      </c>
      <c r="U35" s="862"/>
      <c r="V35" s="862"/>
    </row>
    <row r="36" spans="1:30">
      <c r="A36" s="2868"/>
      <c r="B36" s="459" t="s">
        <v>2447</v>
      </c>
      <c r="C36" s="459" t="s">
        <v>2448</v>
      </c>
      <c r="D36" s="459" t="s">
        <v>2446</v>
      </c>
      <c r="E36" s="459" t="s">
        <v>2451</v>
      </c>
      <c r="F36" s="459" t="s">
        <v>2902</v>
      </c>
      <c r="G36" s="2886"/>
      <c r="H36" s="2886"/>
      <c r="I36" s="2886"/>
      <c r="J36" s="862"/>
      <c r="K36" s="2891"/>
      <c r="L36" s="2892"/>
      <c r="M36" s="2892"/>
      <c r="N36" s="862"/>
      <c r="O36" s="2892"/>
      <c r="P36" s="862"/>
      <c r="Q36" s="862"/>
      <c r="R36" s="862"/>
      <c r="S36" s="862"/>
      <c r="T36" s="862"/>
      <c r="U36" s="862"/>
      <c r="V36" s="862"/>
    </row>
    <row r="37" spans="1:30">
      <c r="A37" s="2958" t="s">
        <v>2492</v>
      </c>
      <c r="B37" s="1228"/>
      <c r="C37" s="1228"/>
      <c r="D37" s="1228"/>
      <c r="E37" s="1228" t="s">
        <v>32</v>
      </c>
      <c r="F37" s="1228"/>
      <c r="G37" s="2886"/>
      <c r="H37" s="2886"/>
      <c r="I37" s="2886"/>
      <c r="J37" s="862"/>
      <c r="K37" s="2891"/>
      <c r="L37" s="2892"/>
      <c r="M37" s="2892"/>
      <c r="N37" s="862"/>
      <c r="O37" s="2892"/>
      <c r="P37" s="862"/>
      <c r="Q37" s="862"/>
      <c r="R37" s="862"/>
      <c r="S37" s="862"/>
      <c r="T37" s="862"/>
      <c r="U37" s="862"/>
      <c r="V37" s="862"/>
    </row>
    <row r="38" spans="1:30" ht="13.5" thickBot="1">
      <c r="A38" s="2959" t="s">
        <v>2493</v>
      </c>
      <c r="B38" s="2960"/>
      <c r="C38" s="2960"/>
      <c r="D38" s="2960"/>
      <c r="E38" s="2960" t="s">
        <v>2937</v>
      </c>
      <c r="F38" s="2960"/>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2495</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7" t="s">
        <v>1354</v>
      </c>
      <c r="B2" s="3067"/>
      <c r="C2" s="3067"/>
      <c r="D2" s="705" t="s">
        <v>1330</v>
      </c>
      <c r="E2" s="706" t="s">
        <v>1331</v>
      </c>
      <c r="F2" s="707"/>
      <c r="G2" s="708"/>
      <c r="H2" s="709"/>
      <c r="I2" s="710" t="s">
        <v>1355</v>
      </c>
      <c r="J2" s="707"/>
      <c r="K2" s="707"/>
      <c r="L2" s="707"/>
      <c r="M2" s="707"/>
      <c r="N2" s="472"/>
      <c r="O2" s="707"/>
      <c r="P2" s="707"/>
    </row>
    <row r="3" spans="1:16" ht="15.75" thickBot="1">
      <c r="A3" s="3068" t="s">
        <v>1328</v>
      </c>
      <c r="B3" s="3068"/>
      <c r="C3" s="3068"/>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69"/>
      <c r="B4" s="3070"/>
      <c r="C4" s="3071"/>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2" t="s">
        <v>1333</v>
      </c>
      <c r="C5" s="3072"/>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2" t="s">
        <v>1334</v>
      </c>
      <c r="C6" s="3072"/>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4"/>
      <c r="B7" s="3065"/>
      <c r="C7" s="3066"/>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1" t="s">
        <v>1358</v>
      </c>
      <c r="L16" s="3062"/>
      <c r="M16" s="3062"/>
      <c r="N16" s="3062"/>
      <c r="O16" s="3062"/>
      <c r="P16" s="3063"/>
    </row>
    <row r="17" spans="1:19" ht="15">
      <c r="A17" s="737" t="s">
        <v>1359</v>
      </c>
      <c r="B17" s="738" t="s">
        <v>1360</v>
      </c>
      <c r="C17" s="739" t="s">
        <v>1361</v>
      </c>
      <c r="D17" s="740" t="s">
        <v>1349</v>
      </c>
      <c r="E17" s="741" t="s">
        <v>1350</v>
      </c>
      <c r="F17" s="742"/>
      <c r="G17" s="743"/>
      <c r="H17" s="744" t="s">
        <v>1362</v>
      </c>
      <c r="I17" s="745" t="s">
        <v>1347</v>
      </c>
      <c r="J17" s="703"/>
      <c r="K17" s="3058" t="s">
        <v>1363</v>
      </c>
      <c r="L17" s="3059"/>
      <c r="M17" s="3060"/>
      <c r="N17" s="3058" t="s">
        <v>1364</v>
      </c>
      <c r="O17" s="3059"/>
      <c r="P17" s="3060"/>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44784</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3" t="s">
        <v>2548</v>
      </c>
      <c r="B1" s="3074"/>
      <c r="C1" s="3074"/>
      <c r="D1" s="3074"/>
      <c r="E1" s="3074"/>
      <c r="F1" s="3074"/>
      <c r="G1" s="3074"/>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44784</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7" t="str">
        <f>项目基本情况!S2</f>
        <v>北京市房地产</v>
      </c>
      <c r="B2" s="3108"/>
      <c r="C2" s="3108"/>
      <c r="D2" s="3108"/>
      <c r="E2" s="3108"/>
      <c r="F2" s="3108"/>
      <c r="G2" s="3108"/>
      <c r="H2" s="3108"/>
      <c r="I2" s="3109"/>
    </row>
    <row r="3" spans="1:12" ht="12.75">
      <c r="A3" s="3111" t="s">
        <v>1488</v>
      </c>
      <c r="B3" s="3112"/>
      <c r="C3" s="3112"/>
      <c r="D3" s="3112"/>
      <c r="E3" s="3112"/>
      <c r="F3" s="3112"/>
      <c r="G3" s="3112"/>
      <c r="H3" s="3112"/>
      <c r="I3" s="3112"/>
    </row>
    <row r="4" spans="1:12" ht="14.25">
      <c r="A4" s="872" t="s">
        <v>1489</v>
      </c>
      <c r="B4" s="873" t="s">
        <v>1490</v>
      </c>
      <c r="C4" s="874"/>
      <c r="D4" s="874"/>
      <c r="E4" s="3113" t="s">
        <v>1491</v>
      </c>
      <c r="F4" s="3114"/>
      <c r="G4" s="3114"/>
      <c r="H4" s="3114"/>
      <c r="I4" s="3115"/>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8" t="s">
        <v>1492</v>
      </c>
      <c r="B5" s="3076">
        <v>25</v>
      </c>
      <c r="C5" s="3091"/>
      <c r="D5" s="3110"/>
      <c r="E5" s="875" t="s">
        <v>1493</v>
      </c>
      <c r="F5" s="876"/>
      <c r="G5" s="876"/>
      <c r="H5" s="876"/>
      <c r="I5" s="826"/>
    </row>
    <row r="6" spans="1:12" ht="12.75">
      <c r="A6" s="3088"/>
      <c r="B6" s="3076"/>
      <c r="C6" s="3092"/>
      <c r="D6" s="3110"/>
      <c r="E6" s="875" t="s">
        <v>1494</v>
      </c>
      <c r="F6" s="876"/>
      <c r="G6" s="876"/>
      <c r="H6" s="876"/>
      <c r="I6" s="826"/>
    </row>
    <row r="7" spans="1:12" ht="12.75">
      <c r="A7" s="3088"/>
      <c r="B7" s="3076"/>
      <c r="C7" s="3093"/>
      <c r="D7" s="3110"/>
      <c r="E7" s="875" t="s">
        <v>1495</v>
      </c>
      <c r="F7" s="876"/>
      <c r="G7" s="876"/>
      <c r="H7" s="876"/>
      <c r="I7" s="826"/>
    </row>
    <row r="8" spans="1:12" ht="12.75">
      <c r="A8" s="3088" t="s">
        <v>1496</v>
      </c>
      <c r="B8" s="3076">
        <v>15</v>
      </c>
      <c r="C8" s="3091"/>
      <c r="D8" s="3110"/>
      <c r="E8" s="875" t="s">
        <v>1497</v>
      </c>
      <c r="F8" s="876"/>
      <c r="G8" s="876"/>
      <c r="H8" s="876"/>
      <c r="I8" s="826"/>
    </row>
    <row r="9" spans="1:12" ht="12.75">
      <c r="A9" s="3088"/>
      <c r="B9" s="3076"/>
      <c r="C9" s="3093"/>
      <c r="D9" s="3110"/>
      <c r="E9" s="875" t="s">
        <v>1498</v>
      </c>
      <c r="F9" s="876"/>
      <c r="G9" s="876"/>
      <c r="H9" s="876"/>
      <c r="I9" s="826"/>
    </row>
    <row r="10" spans="1:12" ht="12.75">
      <c r="A10" s="3088" t="s">
        <v>1499</v>
      </c>
      <c r="B10" s="3076">
        <v>15</v>
      </c>
      <c r="C10" s="3091"/>
      <c r="D10" s="3110"/>
      <c r="E10" s="875" t="s">
        <v>1500</v>
      </c>
      <c r="F10" s="876"/>
      <c r="G10" s="876"/>
      <c r="H10" s="876"/>
      <c r="I10" s="826"/>
    </row>
    <row r="11" spans="1:12" ht="12.75">
      <c r="A11" s="3088"/>
      <c r="B11" s="3076"/>
      <c r="C11" s="3093"/>
      <c r="D11" s="3110"/>
      <c r="E11" s="875" t="s">
        <v>1501</v>
      </c>
      <c r="F11" s="876"/>
      <c r="G11" s="876"/>
      <c r="H11" s="876"/>
      <c r="I11" s="826"/>
    </row>
    <row r="12" spans="1:12" ht="12.75">
      <c r="A12" s="3088" t="s">
        <v>1502</v>
      </c>
      <c r="B12" s="3076">
        <v>15</v>
      </c>
      <c r="C12" s="3091"/>
      <c r="D12" s="3110"/>
      <c r="E12" s="875" t="s">
        <v>1503</v>
      </c>
      <c r="F12" s="876"/>
      <c r="G12" s="876"/>
      <c r="H12" s="876"/>
      <c r="I12" s="826"/>
    </row>
    <row r="13" spans="1:12" ht="12.75">
      <c r="A13" s="3088"/>
      <c r="B13" s="3076"/>
      <c r="C13" s="3093"/>
      <c r="D13" s="3110"/>
      <c r="E13" s="875" t="s">
        <v>1504</v>
      </c>
      <c r="F13" s="876"/>
      <c r="G13" s="876"/>
      <c r="H13" s="876"/>
      <c r="I13" s="826"/>
    </row>
    <row r="14" spans="1:12" ht="12.75">
      <c r="A14" s="3088" t="s">
        <v>1505</v>
      </c>
      <c r="B14" s="3076">
        <v>30</v>
      </c>
      <c r="C14" s="3091"/>
      <c r="D14" s="3110"/>
      <c r="E14" s="875" t="s">
        <v>1506</v>
      </c>
      <c r="F14" s="876"/>
      <c r="G14" s="876"/>
      <c r="H14" s="876"/>
      <c r="I14" s="826"/>
    </row>
    <row r="15" spans="1:12" ht="12.75">
      <c r="A15" s="3088"/>
      <c r="B15" s="3076"/>
      <c r="C15" s="3092"/>
      <c r="D15" s="3110"/>
      <c r="E15" s="875" t="s">
        <v>1507</v>
      </c>
      <c r="F15" s="876"/>
      <c r="G15" s="876"/>
      <c r="H15" s="876"/>
      <c r="I15" s="826"/>
    </row>
    <row r="16" spans="1:12" ht="12.75">
      <c r="A16" s="3088"/>
      <c r="B16" s="3076"/>
      <c r="C16" s="3093"/>
      <c r="D16" s="3110"/>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098" t="s">
        <v>2389</v>
      </c>
      <c r="F18" s="3099"/>
      <c r="G18" s="3099"/>
      <c r="H18" s="3099"/>
      <c r="I18" s="3099"/>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3" t="s">
        <v>1523</v>
      </c>
      <c r="B24" s="884" t="s">
        <v>1515</v>
      </c>
      <c r="C24" s="887">
        <f>IF(B30=0,0,D30)</f>
        <v>0</v>
      </c>
      <c r="D24" s="903"/>
      <c r="E24" s="677"/>
      <c r="F24" s="677"/>
      <c r="G24" s="677"/>
      <c r="H24" s="677"/>
      <c r="I24" s="677"/>
    </row>
    <row r="25" spans="1:36" ht="14.25">
      <c r="A25" s="3084"/>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1" t="s">
        <v>1536</v>
      </c>
      <c r="B36" s="938" t="s">
        <v>1537</v>
      </c>
      <c r="C36" s="939"/>
      <c r="D36" s="940"/>
      <c r="E36" s="941"/>
      <c r="F36" s="942"/>
      <c r="G36" s="677"/>
      <c r="H36" s="677"/>
      <c r="I36" s="677"/>
    </row>
    <row r="37" spans="1:15" ht="15.75" thickBot="1">
      <c r="A37" s="3102"/>
      <c r="B37" s="784" t="s">
        <v>1538</v>
      </c>
      <c r="C37" s="943"/>
      <c r="D37" s="703"/>
      <c r="E37" s="703"/>
      <c r="F37" s="942"/>
      <c r="G37" s="677"/>
      <c r="H37" s="677"/>
      <c r="I37" s="677"/>
    </row>
    <row r="38" spans="1:15" ht="15.75" thickBot="1">
      <c r="A38" s="3103"/>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0" t="s">
        <v>1550</v>
      </c>
      <c r="B45" s="3081"/>
      <c r="C45" s="3082"/>
      <c r="D45" s="965" t="e">
        <f ca="1">ROUND(H101*F45,0)</f>
        <v>#REF!</v>
      </c>
      <c r="E45" s="966" t="s">
        <v>1551</v>
      </c>
      <c r="F45" s="967">
        <v>1</v>
      </c>
      <c r="G45" s="968" t="s">
        <v>1552</v>
      </c>
      <c r="H45" s="677"/>
      <c r="I45" s="677"/>
      <c r="J45" s="3155" t="s">
        <v>1553</v>
      </c>
      <c r="K45" s="3155"/>
      <c r="L45" s="3155"/>
      <c r="M45" s="3155"/>
      <c r="N45" s="3155"/>
      <c r="O45" s="3155"/>
    </row>
    <row r="46" spans="1:15" ht="14.25" customHeight="1">
      <c r="A46" s="3077" t="s">
        <v>1554</v>
      </c>
      <c r="B46" s="3078"/>
      <c r="C46" s="3078"/>
      <c r="D46" s="3078"/>
      <c r="E46" s="3078"/>
      <c r="F46" s="3078"/>
      <c r="G46" s="3079"/>
      <c r="H46" s="678"/>
      <c r="I46" s="678"/>
      <c r="J46" s="499">
        <v>1</v>
      </c>
      <c r="K46" s="3136" t="s">
        <v>1555</v>
      </c>
      <c r="L46" s="3136"/>
      <c r="M46" s="3156"/>
      <c r="N46" s="3156"/>
      <c r="O46" s="3156"/>
    </row>
    <row r="47" spans="1:15" ht="12" customHeight="1">
      <c r="A47" s="969" t="s">
        <v>1556</v>
      </c>
      <c r="B47" s="970"/>
      <c r="C47" s="971"/>
      <c r="D47" s="972" t="s">
        <v>1557</v>
      </c>
      <c r="E47" s="879" t="s">
        <v>1558</v>
      </c>
      <c r="F47" s="973" t="s">
        <v>1559</v>
      </c>
      <c r="G47" s="974" t="s">
        <v>1560</v>
      </c>
      <c r="H47" s="975"/>
      <c r="I47" s="678"/>
      <c r="J47" s="499">
        <v>2</v>
      </c>
      <c r="K47" s="3136" t="s">
        <v>1561</v>
      </c>
      <c r="L47" s="3136"/>
      <c r="M47" s="3157">
        <f>'数据-取费表'!B2</f>
        <v>44784</v>
      </c>
      <c r="N47" s="3157"/>
      <c r="O47" s="3157"/>
    </row>
    <row r="48" spans="1:15" ht="25.5">
      <c r="A48" s="3106" t="s">
        <v>1562</v>
      </c>
      <c r="B48" s="3090"/>
      <c r="C48" s="309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6" t="s">
        <v>1564</v>
      </c>
      <c r="L48" s="3136"/>
      <c r="M48" s="3157" t="e">
        <f ca="1">H101</f>
        <v>#REF!</v>
      </c>
      <c r="N48" s="3157"/>
      <c r="O48" s="3157"/>
    </row>
    <row r="49" spans="1:35" ht="25.5" customHeight="1">
      <c r="A49" s="981" t="s">
        <v>1565</v>
      </c>
      <c r="B49" s="3075" t="s">
        <v>1566</v>
      </c>
      <c r="C49" s="3075"/>
      <c r="D49" s="982">
        <v>0</v>
      </c>
      <c r="E49" s="983" t="s">
        <v>1567</v>
      </c>
      <c r="F49" s="984" t="s">
        <v>31</v>
      </c>
      <c r="G49" s="3142"/>
      <c r="H49" s="985" t="s">
        <v>2392</v>
      </c>
      <c r="I49" s="986"/>
      <c r="J49" s="499">
        <v>4</v>
      </c>
      <c r="K49" s="3136" t="str">
        <f>IF(项目基本情况!E8="房地产抵押价值","房地产抵押价值","抵押担保权已注销时的房地产抵押价值")</f>
        <v>抵押担保权已注销时的房地产抵押价值</v>
      </c>
      <c r="L49" s="3136"/>
      <c r="M49" s="3157" t="str">
        <f>IF(项目基本情况!E8="房地产抵押价值",H107,H109)</f>
        <v>——</v>
      </c>
      <c r="N49" s="3157"/>
      <c r="O49" s="3157"/>
    </row>
    <row r="50" spans="1:35" ht="25.5" customHeight="1">
      <c r="A50" s="987"/>
      <c r="B50" s="3075" t="s">
        <v>1568</v>
      </c>
      <c r="C50" s="3075"/>
      <c r="D50" s="988"/>
      <c r="E50" s="989"/>
      <c r="F50" s="984"/>
      <c r="G50" s="3143"/>
      <c r="H50" s="986" t="s">
        <v>2393</v>
      </c>
      <c r="I50" s="986"/>
      <c r="J50" s="3155" t="s">
        <v>1569</v>
      </c>
      <c r="K50" s="3155"/>
      <c r="L50" s="3155"/>
      <c r="M50" s="3155"/>
      <c r="N50" s="3155"/>
      <c r="O50" s="3155"/>
    </row>
    <row r="51" spans="1:35" ht="20.45" customHeight="1">
      <c r="A51" s="990"/>
      <c r="B51" s="3075" t="s">
        <v>1570</v>
      </c>
      <c r="C51" s="3075"/>
      <c r="D51" s="972"/>
      <c r="E51" s="991"/>
      <c r="F51" s="984"/>
      <c r="G51" s="3144"/>
      <c r="H51" s="986" t="s">
        <v>2394</v>
      </c>
      <c r="I51" s="986"/>
      <c r="J51" s="992" t="s">
        <v>1571</v>
      </c>
      <c r="K51" s="3136" t="s">
        <v>1572</v>
      </c>
      <c r="L51" s="3136"/>
      <c r="M51" s="992" t="s">
        <v>1573</v>
      </c>
      <c r="N51" s="992" t="s">
        <v>1574</v>
      </c>
      <c r="O51" s="992" t="s">
        <v>1575</v>
      </c>
    </row>
    <row r="52" spans="1:35" ht="24" customHeight="1">
      <c r="A52" s="993" t="s">
        <v>1576</v>
      </c>
      <c r="B52" s="3075" t="s">
        <v>1577</v>
      </c>
      <c r="C52" s="3075"/>
      <c r="D52" s="972" t="e">
        <f ca="1">ROUND(D45*'数据-取费表'!B41/(1+'数据-取费表'!C42),0)</f>
        <v>#REF!</v>
      </c>
      <c r="E52" s="977" t="s">
        <v>1578</v>
      </c>
      <c r="F52" s="879">
        <f>'数据-取费表'!B41</f>
        <v>0</v>
      </c>
      <c r="G52" s="974"/>
      <c r="H52" s="975"/>
      <c r="I52" s="678"/>
      <c r="J52" s="499">
        <v>1</v>
      </c>
      <c r="K52" s="3137" t="s">
        <v>1579</v>
      </c>
      <c r="L52" s="3137"/>
      <c r="M52" s="994" t="b">
        <f>D48</f>
        <v>0</v>
      </c>
      <c r="N52" s="499" t="str">
        <f>E48</f>
        <v>销售额×税（费）率</v>
      </c>
      <c r="O52" s="995">
        <f>F48</f>
        <v>0</v>
      </c>
    </row>
    <row r="53" spans="1:35" ht="12" customHeight="1">
      <c r="A53" s="993" t="s">
        <v>1580</v>
      </c>
      <c r="B53" s="3085" t="s">
        <v>2553</v>
      </c>
      <c r="C53" s="3100"/>
      <c r="D53" s="972" t="e">
        <f ca="1">ROUND(D45*'数据-取费表'!B41/(1+'数据-取费表'!C42),0)</f>
        <v>#REF!</v>
      </c>
      <c r="E53" s="977" t="s">
        <v>1578</v>
      </c>
      <c r="F53" s="879">
        <f>'数据-取费表'!B41</f>
        <v>0</v>
      </c>
      <c r="G53" s="974"/>
      <c r="H53" s="975"/>
      <c r="I53" s="678"/>
      <c r="J53" s="499">
        <v>2</v>
      </c>
      <c r="K53" s="3137" t="s">
        <v>1581</v>
      </c>
      <c r="L53" s="3137"/>
      <c r="M53" s="994" t="e">
        <f t="shared" ref="M53:O54" ca="1" si="0">D55</f>
        <v>#REF!</v>
      </c>
      <c r="N53" s="499" t="str">
        <f t="shared" si="0"/>
        <v>销售额×税（费）率</v>
      </c>
      <c r="O53" s="995" t="str">
        <f t="shared" si="0"/>
        <v>免征</v>
      </c>
    </row>
    <row r="54" spans="1:35" ht="12" customHeight="1">
      <c r="A54" s="993" t="s">
        <v>1582</v>
      </c>
      <c r="B54" s="3085" t="s">
        <v>2554</v>
      </c>
      <c r="C54" s="3100"/>
      <c r="D54" s="972" t="e">
        <f ca="1">C68</f>
        <v>#REF!</v>
      </c>
      <c r="E54" s="991" t="s">
        <v>1583</v>
      </c>
      <c r="F54" s="879">
        <f>'数据-取费表'!B41</f>
        <v>0</v>
      </c>
      <c r="G54" s="974"/>
      <c r="H54" s="996"/>
      <c r="I54" s="678"/>
      <c r="J54" s="499">
        <v>3</v>
      </c>
      <c r="K54" s="3137" t="s">
        <v>1584</v>
      </c>
      <c r="L54" s="3137"/>
      <c r="M54" s="994" t="e">
        <f t="shared" ca="1" si="0"/>
        <v>#REF!</v>
      </c>
      <c r="N54" s="499" t="str">
        <f t="shared" si="0"/>
        <v>增值额×税（费）率</v>
      </c>
      <c r="O54" s="995" t="str">
        <f t="shared" si="0"/>
        <v>免征</v>
      </c>
    </row>
    <row r="55" spans="1:35" ht="24" customHeight="1">
      <c r="A55" s="3089" t="s">
        <v>1585</v>
      </c>
      <c r="B55" s="3090"/>
      <c r="C55" s="3090"/>
      <c r="D55" s="976" t="e">
        <f ca="1">IF(H55="个人住宅",0,ROUND(D45*I55,0))</f>
        <v>#REF!</v>
      </c>
      <c r="E55" s="977" t="s">
        <v>1586</v>
      </c>
      <c r="F55" s="879" t="str">
        <f>IF(H55="正常",I55,"免征")</f>
        <v>免征</v>
      </c>
      <c r="G55" s="974"/>
      <c r="H55" s="980"/>
      <c r="I55" s="997">
        <f>'数据-取费表'!B49</f>
        <v>0</v>
      </c>
      <c r="J55" s="499">
        <f>IF(H59="非个人房产","",4)</f>
        <v>4</v>
      </c>
      <c r="K55" s="3137" t="str">
        <f>IF(H59="非个人房产","——","个人所得税")</f>
        <v>个人所得税</v>
      </c>
      <c r="L55" s="3137"/>
      <c r="M55" s="998" t="e">
        <f ca="1">D59</f>
        <v>#REF!</v>
      </c>
      <c r="N55" s="999" t="str">
        <f>E59</f>
        <v>差额计税</v>
      </c>
      <c r="O55" s="1000">
        <f>F59</f>
        <v>0.01</v>
      </c>
    </row>
    <row r="56" spans="1:35" ht="24.75">
      <c r="A56" s="3089" t="s">
        <v>1587</v>
      </c>
      <c r="B56" s="3090"/>
      <c r="C56" s="3090"/>
      <c r="D56" s="976" t="e">
        <f ca="1">IF(H56="个人住宅",D57,D58)</f>
        <v>#REF!</v>
      </c>
      <c r="E56" s="977" t="s">
        <v>1588</v>
      </c>
      <c r="F56" s="879" t="str">
        <f>IF(H56="正常",F58,"免征")</f>
        <v>免征</v>
      </c>
      <c r="G56" s="1001" t="s">
        <v>1589</v>
      </c>
      <c r="H56" s="1002"/>
      <c r="I56" s="1003"/>
      <c r="J56" s="499" t="str">
        <f>IF(项目基本情况!K6="上海银行",IF(J55="",4,J55+1),"")</f>
        <v/>
      </c>
      <c r="K56" s="3159" t="str">
        <f>IF(项目基本情况!K6="上海银行","其他处置费用","")</f>
        <v/>
      </c>
      <c r="L56" s="3160"/>
      <c r="M56" s="994" t="str">
        <f>IF(项目基本情况!K6="上海银行",M69,"")</f>
        <v/>
      </c>
      <c r="N56" s="3159" t="str">
        <f>IF(项目基本情况!K6="上海银行","包含处置中涉及的律师、诉讼、拍卖、评估等费用","")</f>
        <v/>
      </c>
      <c r="O56" s="3162"/>
    </row>
    <row r="57" spans="1:35" ht="12.75">
      <c r="A57" s="993" t="s">
        <v>1565</v>
      </c>
      <c r="B57" s="3085" t="s">
        <v>1590</v>
      </c>
      <c r="C57" s="3100"/>
      <c r="D57" s="982">
        <v>0</v>
      </c>
      <c r="E57" s="983" t="s">
        <v>1567</v>
      </c>
      <c r="F57" s="879"/>
      <c r="G57" s="974"/>
      <c r="H57" s="1004"/>
      <c r="I57" s="1003"/>
      <c r="J57" s="3137">
        <f>IF(AND(J55="",J56=""),4,IF(项目基本情况!K6="上海银行",结果表!J56+1,结果表!J55+1))</f>
        <v>5</v>
      </c>
      <c r="K57" s="3137" t="s">
        <v>1591</v>
      </c>
      <c r="L57" s="1005" t="s">
        <v>1592</v>
      </c>
      <c r="M57" s="1006"/>
      <c r="N57" s="1007">
        <f ca="1">SUMIF(M52:M56,"&lt;9e307")</f>
        <v>0</v>
      </c>
      <c r="O57" s="1008"/>
      <c r="P57" s="677" t="e">
        <f ca="1">N57/M49</f>
        <v>#VALUE!</v>
      </c>
    </row>
    <row r="58" spans="1:35" ht="24.75">
      <c r="A58" s="993" t="s">
        <v>1576</v>
      </c>
      <c r="B58" s="3085" t="s">
        <v>1593</v>
      </c>
      <c r="C58" s="3075"/>
      <c r="D58" s="976" t="e">
        <f ca="1">IF(H58="转让取得",C81,C97)</f>
        <v>#REF!</v>
      </c>
      <c r="E58" s="977" t="s">
        <v>1588</v>
      </c>
      <c r="F58" s="879" t="s">
        <v>31</v>
      </c>
      <c r="G58" s="974"/>
      <c r="H58" s="1002"/>
      <c r="I58" s="1003"/>
      <c r="J58" s="3137"/>
      <c r="K58" s="3137"/>
      <c r="L58" s="1005" t="s">
        <v>1594</v>
      </c>
      <c r="M58" s="1009"/>
      <c r="N58" s="1010" t="str">
        <f ca="1">NUMBERSTRING(INT(N57*10000),2)&amp;"元整"</f>
        <v>零元整</v>
      </c>
      <c r="O58" s="1011"/>
    </row>
    <row r="59" spans="1:35" ht="24.75" thickBot="1">
      <c r="A59" s="3140" t="s">
        <v>1595</v>
      </c>
      <c r="B59" s="3141"/>
      <c r="C59" s="3141"/>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38">
        <f>J57+1</f>
        <v>6</v>
      </c>
      <c r="K59" s="3137" t="s">
        <v>1596</v>
      </c>
      <c r="L59" s="499" t="s">
        <v>1592</v>
      </c>
      <c r="M59" s="1018"/>
      <c r="N59" s="1019" t="e">
        <f ca="1">M49-N57</f>
        <v>#VALUE!</v>
      </c>
      <c r="O59" s="1020"/>
    </row>
    <row r="60" spans="1:35" ht="12" customHeight="1">
      <c r="A60" s="1021"/>
      <c r="B60" s="865"/>
      <c r="C60" s="865"/>
      <c r="D60" s="865"/>
      <c r="E60" s="1022"/>
      <c r="F60" s="1003"/>
      <c r="G60" s="1003"/>
      <c r="H60" s="1023"/>
      <c r="I60" s="677"/>
      <c r="J60" s="3139"/>
      <c r="K60" s="3137"/>
      <c r="L60" s="1005" t="s">
        <v>1594</v>
      </c>
      <c r="M60" s="1009"/>
      <c r="N60" s="1010" t="e">
        <f ca="1">NUMBERSTRING(INT(N59*10000),2)&amp;"元整"</f>
        <v>#VALUE!</v>
      </c>
      <c r="O60" s="1011"/>
    </row>
    <row r="61" spans="1:35" ht="13.5" thickBot="1">
      <c r="A61" s="3087" t="s">
        <v>1597</v>
      </c>
      <c r="B61" s="3087"/>
      <c r="C61" s="3087"/>
      <c r="D61" s="3087"/>
      <c r="E61" s="3087"/>
      <c r="F61" s="1003"/>
      <c r="G61" s="1003"/>
      <c r="H61" s="1023"/>
      <c r="I61" s="677"/>
      <c r="J61" s="499">
        <f>J59+1</f>
        <v>7</v>
      </c>
      <c r="K61" s="3137" t="s">
        <v>1598</v>
      </c>
      <c r="L61" s="3137"/>
      <c r="M61" s="1024"/>
      <c r="N61" s="1025" t="e">
        <f ca="1">ROUND(N59*10000/'数据-汇总表'!E3,0)</f>
        <v>#VALUE!</v>
      </c>
      <c r="O61" s="1026"/>
    </row>
    <row r="62" spans="1:35" ht="12.75">
      <c r="A62" s="3104" t="s">
        <v>1599</v>
      </c>
      <c r="B62" s="310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1"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1"/>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1"/>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1"/>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1"/>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1"/>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1"/>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4" t="s">
        <v>1618</v>
      </c>
      <c r="B70" s="3125"/>
      <c r="C70" s="3125"/>
      <c r="D70" s="3125"/>
      <c r="E70" s="3125"/>
      <c r="F70" s="3125"/>
      <c r="G70" s="3125"/>
      <c r="H70" s="3125"/>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4" t="s">
        <v>1599</v>
      </c>
      <c r="B71" s="310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5" t="s">
        <v>1626</v>
      </c>
      <c r="F76" s="3075"/>
      <c r="G76" s="3075"/>
      <c r="H76" s="3094"/>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5" t="s">
        <v>1630</v>
      </c>
      <c r="F78" s="3075"/>
      <c r="G78" s="3075"/>
      <c r="H78" s="3094"/>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4" t="s">
        <v>1634</v>
      </c>
      <c r="B83" s="3125"/>
      <c r="C83" s="3125"/>
      <c r="D83" s="3125"/>
      <c r="E83" s="3125"/>
      <c r="F83" s="3125"/>
      <c r="G83" s="3125"/>
      <c r="H83" s="3125"/>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4" t="s">
        <v>1599</v>
      </c>
      <c r="B84" s="310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3" t="s">
        <v>2387</v>
      </c>
      <c r="H90" s="309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5" t="s">
        <v>1643</v>
      </c>
      <c r="F91" s="3075"/>
      <c r="G91" s="3075"/>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5" t="s">
        <v>1646</v>
      </c>
      <c r="F92" s="3075"/>
      <c r="G92" s="3075"/>
      <c r="H92" s="3094"/>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5" t="s">
        <v>1630</v>
      </c>
      <c r="F93" s="3075"/>
      <c r="G93" s="3075"/>
      <c r="H93" s="3094"/>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5" t="s">
        <v>1650</v>
      </c>
      <c r="F94" s="3096"/>
      <c r="G94" s="3096"/>
      <c r="H94" s="3097"/>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69" t="s">
        <v>1652</v>
      </c>
      <c r="B100" s="3070"/>
      <c r="C100" s="3070"/>
      <c r="D100" s="3086"/>
      <c r="E100" s="3070" t="s">
        <v>1653</v>
      </c>
      <c r="F100" s="3070"/>
      <c r="G100" s="3070"/>
      <c r="H100" s="3086"/>
      <c r="I100" s="677"/>
    </row>
    <row r="101" spans="1:35" ht="18.75" customHeight="1">
      <c r="A101" s="3145" t="s">
        <v>1654</v>
      </c>
      <c r="B101" s="3146"/>
      <c r="C101" s="1088">
        <f>C4</f>
        <v>0</v>
      </c>
      <c r="D101" s="1089">
        <f>D4</f>
        <v>0</v>
      </c>
      <c r="E101" s="3158" t="s">
        <v>1655</v>
      </c>
      <c r="F101" s="3117"/>
      <c r="G101" s="1090" t="s">
        <v>1656</v>
      </c>
      <c r="H101" s="1091" t="e">
        <f ca="1">H118</f>
        <v>#REF!</v>
      </c>
      <c r="I101" s="677"/>
    </row>
    <row r="102" spans="1:35" ht="18.75" customHeight="1">
      <c r="A102" s="3119" t="s">
        <v>1657</v>
      </c>
      <c r="B102" s="1092" t="s">
        <v>1656</v>
      </c>
      <c r="C102" s="1088" t="e">
        <f ca="1">C19</f>
        <v>#REF!</v>
      </c>
      <c r="D102" s="1089" t="e">
        <f ca="1">D19</f>
        <v>#REF!</v>
      </c>
      <c r="E102" s="3158"/>
      <c r="F102" s="3117"/>
      <c r="G102" s="1090" t="s">
        <v>1658</v>
      </c>
      <c r="H102" s="974" t="e">
        <f ca="1">I118</f>
        <v>#REF!</v>
      </c>
      <c r="I102" s="677"/>
    </row>
    <row r="103" spans="1:35" ht="42.75" customHeight="1">
      <c r="A103" s="3119"/>
      <c r="B103" s="1092" t="s">
        <v>1658</v>
      </c>
      <c r="C103" s="1093" t="e">
        <f ca="1">C20</f>
        <v>#REF!</v>
      </c>
      <c r="D103" s="1094" t="e">
        <f ca="1">D20</f>
        <v>#REF!</v>
      </c>
      <c r="E103" s="3153" t="s">
        <v>1659</v>
      </c>
      <c r="F103" s="3154"/>
      <c r="G103" s="1095" t="s">
        <v>1660</v>
      </c>
      <c r="H103" s="1091">
        <f>IF(D36="正常操作",H104+H105+H106,H105+H106)</f>
        <v>0</v>
      </c>
      <c r="I103" s="677"/>
    </row>
    <row r="104" spans="1:35" ht="18.75" customHeight="1">
      <c r="A104" s="3119"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0"/>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6" t="str">
        <f>IF(项目基本情况!E8="已注销","——","3.房地产抵押价值")</f>
        <v>3.房地产抵押价值</v>
      </c>
      <c r="F107" s="3117"/>
      <c r="G107" s="1090" t="s">
        <v>1656</v>
      </c>
      <c r="H107" s="1091" t="e">
        <f ca="1">IF(E107="——","——",H101-H103)</f>
        <v>#REF!</v>
      </c>
      <c r="I107" s="677"/>
    </row>
    <row r="108" spans="1:35" ht="18.75" customHeight="1">
      <c r="A108" s="677"/>
      <c r="B108" s="677"/>
      <c r="C108" s="677"/>
      <c r="D108" s="677"/>
      <c r="E108" s="3116"/>
      <c r="F108" s="3117"/>
      <c r="G108" s="1090" t="s">
        <v>1658</v>
      </c>
      <c r="H108" s="974" t="e">
        <f ca="1">ROUND(H107*10000/'数据-汇总表'!E3,0)</f>
        <v>#REF!</v>
      </c>
      <c r="I108" s="677"/>
    </row>
    <row r="109" spans="1:35" ht="18.75" customHeight="1">
      <c r="A109" s="677"/>
      <c r="B109" s="677"/>
      <c r="C109" s="677"/>
      <c r="D109" s="677"/>
      <c r="E109" s="3116" t="str">
        <f>IF(项目基本情况!E8="已注销及未注销","4.抵押担保权已注销时的房地产抵押价值",IF(项目基本情况!E8="已注销","3.抵押担保权已注销时的房地产抵押价值","——"))</f>
        <v>——</v>
      </c>
      <c r="F109" s="3117"/>
      <c r="G109" s="1090" t="s">
        <v>1656</v>
      </c>
      <c r="H109" s="1105" t="str">
        <f>IF(E109="——","——",H101-H105-H106)</f>
        <v>——</v>
      </c>
      <c r="I109" s="677"/>
    </row>
    <row r="110" spans="1:35" ht="18.75" customHeight="1">
      <c r="A110" s="677"/>
      <c r="B110" s="677"/>
      <c r="C110" s="677"/>
      <c r="D110" s="677"/>
      <c r="E110" s="3116"/>
      <c r="F110" s="3117"/>
      <c r="G110" s="1090" t="s">
        <v>1658</v>
      </c>
      <c r="H110" s="974" t="str">
        <f>IF(H109="——","——",ROUND(H109*10000/'数据-汇总表'!E3,0))</f>
        <v>——</v>
      </c>
      <c r="I110" s="677"/>
    </row>
    <row r="111" spans="1:35" ht="18.75" customHeight="1">
      <c r="A111" s="677"/>
      <c r="B111" s="677"/>
      <c r="C111" s="677"/>
      <c r="D111" s="677"/>
      <c r="E111" s="3147" t="str">
        <f>IF(项目基本情况!E9="抵押净值",IF(OR(项目基本情况!E8="已注销",项目基本情况!E8="房地产抵押价值"),"4.抵押净值","5.抵押净值"),"——")</f>
        <v>——</v>
      </c>
      <c r="F111" s="3118"/>
      <c r="G111" s="1090" t="s">
        <v>1656</v>
      </c>
      <c r="H111" s="1091" t="str">
        <f>IF(E111="——","——",N59)</f>
        <v>——</v>
      </c>
      <c r="I111" s="677"/>
    </row>
    <row r="112" spans="1:35" ht="18.75" customHeight="1" thickBot="1">
      <c r="A112" s="677"/>
      <c r="B112" s="677"/>
      <c r="C112" s="677"/>
      <c r="D112" s="677"/>
      <c r="E112" s="3148"/>
      <c r="F112" s="3149"/>
      <c r="G112" s="1106" t="s">
        <v>1658</v>
      </c>
      <c r="H112" s="1107" t="str">
        <f>IF(E111="——","——",N61)</f>
        <v>——</v>
      </c>
      <c r="I112" s="677"/>
    </row>
    <row r="113" spans="1:27" ht="18.75" customHeight="1">
      <c r="A113" s="677"/>
      <c r="B113" s="677"/>
      <c r="C113" s="677"/>
      <c r="D113" s="677"/>
      <c r="E113" s="3121" t="s">
        <v>1664</v>
      </c>
      <c r="F113" s="3121"/>
      <c r="G113" s="3121"/>
      <c r="H113" s="3121"/>
      <c r="I113" s="677"/>
    </row>
    <row r="114" spans="1:27" ht="3.75" customHeight="1">
      <c r="A114" s="865"/>
      <c r="B114" s="865"/>
      <c r="C114" s="865"/>
      <c r="D114" s="865"/>
      <c r="E114" s="1021"/>
      <c r="F114" s="1021"/>
      <c r="G114" s="1021"/>
      <c r="H114" s="1021"/>
      <c r="I114" s="865"/>
    </row>
    <row r="115" spans="1:27" ht="18.75" customHeight="1">
      <c r="A115" s="3130" t="s">
        <v>1666</v>
      </c>
      <c r="B115" s="3131"/>
      <c r="C115" s="3131"/>
      <c r="D115" s="3131"/>
      <c r="E115" s="3131"/>
      <c r="F115" s="3131"/>
      <c r="G115" s="3131"/>
      <c r="H115" s="3131"/>
      <c r="I115" s="3132"/>
    </row>
    <row r="116" spans="1:27" ht="27" customHeight="1">
      <c r="A116" s="3088" t="s">
        <v>1667</v>
      </c>
      <c r="B116" s="3122" t="s">
        <v>1668</v>
      </c>
      <c r="C116" s="3122" t="s">
        <v>1669</v>
      </c>
      <c r="D116" s="3134" t="s">
        <v>1670</v>
      </c>
      <c r="E116" s="3135"/>
      <c r="F116" s="3129" t="s">
        <v>1671</v>
      </c>
      <c r="G116" s="3129"/>
      <c r="H116" s="3088" t="s">
        <v>1672</v>
      </c>
      <c r="I116" s="3088"/>
    </row>
    <row r="117" spans="1:27" ht="18.75" customHeight="1">
      <c r="A117" s="3088"/>
      <c r="B117" s="3123"/>
      <c r="C117" s="3123"/>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88" t="s">
        <v>1676</v>
      </c>
      <c r="B119" s="3088"/>
      <c r="C119" s="3088"/>
      <c r="D119" s="3126" t="e">
        <f ca="1">NUMBERSTRING(INT(D118*10000),2)&amp;"元整"</f>
        <v>#REF!</v>
      </c>
      <c r="E119" s="3128"/>
      <c r="F119" s="3126" t="e">
        <f ca="1">NUMBERSTRING(INT(F118*10000),2)&amp;"元整"</f>
        <v>#REF!</v>
      </c>
      <c r="G119" s="3128"/>
      <c r="H119" s="3126" t="e">
        <f ca="1">NUMBERSTRING(INT(H118*10000),2)&amp;"元整"</f>
        <v>#REF!</v>
      </c>
      <c r="I119" s="3128"/>
    </row>
    <row r="120" spans="1:27" ht="18.75" customHeight="1">
      <c r="A120" s="3150" t="str">
        <f>IF(项目基本情况!B9="房地产市场价值","",MID(E103,3,LEN(E103)-2))</f>
        <v>估价师知悉的法定优先受偿款</v>
      </c>
      <c r="B120" s="3151"/>
      <c r="C120" s="3152"/>
      <c r="D120" s="3150">
        <f>H103</f>
        <v>0</v>
      </c>
      <c r="E120" s="3151"/>
      <c r="F120" s="3151"/>
      <c r="G120" s="3151"/>
      <c r="H120" s="3151"/>
      <c r="I120" s="3152"/>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6" t="s">
        <v>1676</v>
      </c>
      <c r="B121" s="3127"/>
      <c r="C121" s="3128"/>
      <c r="D121" s="3126" t="str">
        <f>IF(D120=0,"零元整",NUMBERSTRING(INT(D120*10000),2)&amp;"元整")</f>
        <v>零元整</v>
      </c>
      <c r="E121" s="3127"/>
      <c r="F121" s="3127"/>
      <c r="G121" s="3127"/>
      <c r="H121" s="3127"/>
      <c r="I121" s="3128"/>
      <c r="AA121" s="590"/>
    </row>
    <row r="122" spans="1:27" ht="18.75" customHeight="1">
      <c r="A122" s="3118" t="str">
        <f>IF(项目基本情况!B9="房地产市场价值","",MID(E107,3,LEN(E107)-2))</f>
        <v>房地产抵押价值</v>
      </c>
      <c r="B122" s="3118"/>
      <c r="C122" s="3118"/>
      <c r="D122" s="3150" t="e">
        <f ca="1">H107</f>
        <v>#REF!</v>
      </c>
      <c r="E122" s="3151"/>
      <c r="F122" s="3151"/>
      <c r="G122" s="3151"/>
      <c r="H122" s="3151"/>
      <c r="I122" s="3152"/>
      <c r="AA122" s="590"/>
    </row>
    <row r="123" spans="1:27" ht="18.75" customHeight="1">
      <c r="A123" s="3088" t="s">
        <v>1676</v>
      </c>
      <c r="B123" s="3088"/>
      <c r="C123" s="3088"/>
      <c r="D123" s="3126" t="e">
        <f ca="1">NUMBERSTRING(INT(D122*10000),2)&amp;"元整"</f>
        <v>#REF!</v>
      </c>
      <c r="E123" s="3127"/>
      <c r="F123" s="3127"/>
      <c r="G123" s="3127"/>
      <c r="H123" s="3127"/>
      <c r="I123" s="3128"/>
      <c r="AA123" s="590"/>
    </row>
    <row r="124" spans="1:27" ht="18.75" customHeight="1">
      <c r="A124" s="3118" t="str">
        <f>IF(项目基本情况!B9="房地产市场价值","",MID(E109,3,LEN(E109)-2))</f>
        <v/>
      </c>
      <c r="B124" s="3118"/>
      <c r="C124" s="3118"/>
      <c r="D124" s="3150" t="str">
        <f>H109</f>
        <v>——</v>
      </c>
      <c r="E124" s="3151"/>
      <c r="F124" s="3151"/>
      <c r="G124" s="3151"/>
      <c r="H124" s="3151"/>
      <c r="I124" s="3152"/>
      <c r="AA124" s="590"/>
    </row>
    <row r="125" spans="1:27" ht="18.75" customHeight="1">
      <c r="A125" s="3088" t="s">
        <v>1676</v>
      </c>
      <c r="B125" s="3088"/>
      <c r="C125" s="3088"/>
      <c r="D125" s="3126" t="e">
        <f>NUMBERSTRING(INT(D124*10000),2)&amp;"元整"</f>
        <v>#VALUE!</v>
      </c>
      <c r="E125" s="3127"/>
      <c r="F125" s="3127"/>
      <c r="G125" s="3127"/>
      <c r="H125" s="3127"/>
      <c r="I125" s="3128"/>
      <c r="AA125" s="590"/>
    </row>
    <row r="126" spans="1:27" ht="18.75" customHeight="1">
      <c r="A126" s="3118" t="str">
        <f>IF(项目基本情况!B9="房地产市场价值","",MID(E111,3,LEN(E111)-2))</f>
        <v/>
      </c>
      <c r="B126" s="3118"/>
      <c r="C126" s="3118"/>
      <c r="D126" s="3150" t="str">
        <f>H111</f>
        <v>——</v>
      </c>
      <c r="E126" s="3151"/>
      <c r="F126" s="3151"/>
      <c r="G126" s="3151"/>
      <c r="H126" s="3151"/>
      <c r="I126" s="3152"/>
      <c r="AA126" s="590"/>
    </row>
    <row r="127" spans="1:27" ht="18.75" customHeight="1">
      <c r="A127" s="3088" t="s">
        <v>1676</v>
      </c>
      <c r="B127" s="3088"/>
      <c r="C127" s="3088"/>
      <c r="D127" s="3126" t="e">
        <f>NUMBERSTRING(INT(D126*10000),2)&amp;"元整"</f>
        <v>#VALUE!</v>
      </c>
      <c r="E127" s="3127"/>
      <c r="F127" s="3127"/>
      <c r="G127" s="3127"/>
      <c r="H127" s="3127"/>
      <c r="I127" s="3128"/>
      <c r="AA127" s="590"/>
    </row>
    <row r="128" spans="1:27" ht="21.75" customHeight="1">
      <c r="A128" s="3133" t="s">
        <v>1677</v>
      </c>
      <c r="B128" s="3133"/>
      <c r="C128" s="3133"/>
      <c r="D128" s="3133"/>
      <c r="E128" s="3133"/>
      <c r="F128" s="3133"/>
      <c r="G128" s="3133"/>
      <c r="H128" s="3133"/>
      <c r="I128" s="3133"/>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4" t="s">
        <v>1768</v>
      </c>
    </row>
    <row r="43" spans="1:7" ht="13.5" customHeight="1">
      <c r="A43" s="1179" t="s">
        <v>555</v>
      </c>
      <c r="B43" s="1155" t="s">
        <v>1769</v>
      </c>
      <c r="C43" s="1180" t="e">
        <f ca="1">ROUND(IF('数据-取费表'!B22&lt;=1,C39*F22*'数据-取费表'!B21/2,C39*(POWER((1+F22),'数据-取费表'!B21/2)-1)),0)</f>
        <v>#VALUE!</v>
      </c>
      <c r="D43" s="1180"/>
      <c r="E43" s="1180"/>
      <c r="F43" s="1181"/>
      <c r="G43" s="3165"/>
    </row>
    <row r="44" spans="1:7" ht="13.5" customHeight="1">
      <c r="A44" s="1179" t="s">
        <v>556</v>
      </c>
      <c r="B44" s="1155" t="s">
        <v>1770</v>
      </c>
      <c r="C44" s="1180" t="e">
        <f ca="1">ROUND(IF('数据-取费表'!B22&lt;=1,C40*F22*'数据-取费表'!B21/2,C40*(POWER((1+F22),'数据-取费表'!B21/2)-1)),4)</f>
        <v>#VALUE!</v>
      </c>
      <c r="D44" s="1180"/>
      <c r="E44" s="1180"/>
      <c r="F44" s="1181"/>
      <c r="G44" s="316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4" t="s">
        <v>1815</v>
      </c>
    </row>
    <row r="43" spans="1:7" ht="13.5" customHeight="1">
      <c r="A43" s="1179" t="s">
        <v>555</v>
      </c>
      <c r="B43" s="1155" t="s">
        <v>1769</v>
      </c>
      <c r="C43" s="1180" t="e">
        <f ca="1">ROUND(IF('数据-取费表'!B22&lt;=1,C39*F22*'数据-取费表'!B20/2,C39*(POWER((1+F22),'数据-取费表'!B20/2)-1)),0)</f>
        <v>#VALUE!</v>
      </c>
      <c r="D43" s="1180"/>
      <c r="E43" s="1180"/>
      <c r="F43" s="1181"/>
      <c r="G43" s="3165"/>
    </row>
    <row r="44" spans="1:7" ht="13.5" customHeight="1">
      <c r="A44" s="1179" t="s">
        <v>556</v>
      </c>
      <c r="B44" s="1155" t="s">
        <v>1770</v>
      </c>
      <c r="C44" s="1180" t="e">
        <f ca="1">ROUND(IF('数据-取费表'!B22&lt;=1,C40*F22*'数据-取费表'!B20/2,C40*(POWER((1+F22),'数据-取费表'!B20/2)-1)),4)</f>
        <v>#VALUE!</v>
      </c>
      <c r="D44" s="1180"/>
      <c r="E44" s="1180"/>
      <c r="F44" s="1181"/>
      <c r="G44" s="316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88" t="str">
        <f>项目基本情况!B1</f>
        <v>北京市房地产抵押价值预评估</v>
      </c>
      <c r="C37" s="2988"/>
      <c r="D37" s="2988"/>
      <c r="E37" s="2988"/>
      <c r="F37" s="2988"/>
      <c r="G37" s="2988"/>
      <c r="H37" s="2988"/>
      <c r="I37" s="2988"/>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69" t="s">
        <v>907</v>
      </c>
      <c r="C6" s="1329">
        <f ca="1">ROUND(F6*F8*F7*(1-F9)/10000,0)</f>
        <v>0</v>
      </c>
      <c r="D6" s="965" t="s">
        <v>2367</v>
      </c>
      <c r="E6" s="879" t="s">
        <v>909</v>
      </c>
      <c r="F6" s="1330">
        <f ca="1">INDIRECT("'数据-取费表'!u"&amp;$G$1)</f>
        <v>0</v>
      </c>
      <c r="G6" s="1312"/>
      <c r="H6" s="1328" t="s">
        <v>615</v>
      </c>
      <c r="I6" s="3169" t="s">
        <v>907</v>
      </c>
      <c r="J6" s="1331">
        <f ca="1">ROUND(M6*M8*M7*(1-M9)/10000,0)</f>
        <v>0</v>
      </c>
      <c r="K6" s="965" t="s">
        <v>2366</v>
      </c>
      <c r="L6" s="879" t="s">
        <v>909</v>
      </c>
      <c r="M6" s="1330">
        <f ca="1">INDIRECT("'数据-取费表'!z"&amp;$G$1)</f>
        <v>0</v>
      </c>
    </row>
    <row r="7" spans="1:37" ht="18" customHeight="1">
      <c r="A7" s="984"/>
      <c r="B7" s="3170"/>
      <c r="C7" s="1332"/>
      <c r="D7" s="1333"/>
      <c r="E7" s="1334" t="s">
        <v>910</v>
      </c>
      <c r="F7" s="1330">
        <f ca="1">IF(INDIRECT("'数据-取费表'!ah"&amp;$G$1)="",INDIRECT("'数据-取费表'!k"&amp;$G$1),INDIRECT("'数据-取费表'!ah"&amp;$G$1))</f>
        <v>0</v>
      </c>
      <c r="G7" s="1312"/>
      <c r="H7" s="1335"/>
      <c r="I7" s="3170"/>
      <c r="J7" s="1336"/>
      <c r="K7" s="1333"/>
      <c r="L7" s="879" t="s">
        <v>910</v>
      </c>
      <c r="M7" s="1330">
        <f ca="1">F7</f>
        <v>0</v>
      </c>
    </row>
    <row r="8" spans="1:37" ht="18" customHeight="1">
      <c r="A8" s="1335"/>
      <c r="B8" s="3170"/>
      <c r="C8" s="1336"/>
      <c r="D8" s="1333"/>
      <c r="E8" s="879" t="s">
        <v>911</v>
      </c>
      <c r="F8" s="1330">
        <f ca="1">INDIRECT("'数据-取费表'!ai"&amp;$G$1)</f>
        <v>0</v>
      </c>
      <c r="G8" s="1312"/>
      <c r="H8" s="1335"/>
      <c r="I8" s="3170"/>
      <c r="J8" s="1336"/>
      <c r="K8" s="1333"/>
      <c r="L8" s="879" t="s">
        <v>911</v>
      </c>
      <c r="M8" s="1330">
        <f ca="1">INDIRECT("'数据-取费表'!ai"&amp;$G$1)</f>
        <v>0</v>
      </c>
    </row>
    <row r="9" spans="1:37" ht="18" customHeight="1">
      <c r="A9" s="1335"/>
      <c r="B9" s="3171"/>
      <c r="C9" s="1336"/>
      <c r="D9" s="1333"/>
      <c r="E9" s="879" t="s">
        <v>912</v>
      </c>
      <c r="F9" s="1330">
        <f ca="1">INDIRECT("'数据-取费表'!w"&amp;$G$1)</f>
        <v>0</v>
      </c>
      <c r="G9" s="1312"/>
      <c r="H9" s="1335"/>
      <c r="I9" s="317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7" t="s">
        <v>1052</v>
      </c>
      <c r="L53" s="3168"/>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69" t="s">
        <v>907</v>
      </c>
      <c r="C6" s="1329">
        <f ca="1">ROUND(F6*F8*F7*(1-F9),0)</f>
        <v>0</v>
      </c>
      <c r="D6" s="965" t="s">
        <v>2364</v>
      </c>
      <c r="E6" s="879" t="s">
        <v>909</v>
      </c>
      <c r="F6" s="1330">
        <f ca="1">INDIRECT("'数据-取费表'!u"&amp;$G$1)</f>
        <v>0</v>
      </c>
      <c r="G6" s="1312"/>
      <c r="H6" s="1328" t="s">
        <v>615</v>
      </c>
      <c r="I6" s="3169" t="s">
        <v>907</v>
      </c>
      <c r="J6" s="1331">
        <f ca="1">ROUND(M6*M8*M7*(1-M9),0)</f>
        <v>0</v>
      </c>
      <c r="K6" s="1538" t="s">
        <v>2365</v>
      </c>
      <c r="L6" s="879" t="s">
        <v>909</v>
      </c>
      <c r="M6" s="1330">
        <f ca="1">INDIRECT("'数据-取费表'!z"&amp;$G$1)</f>
        <v>0</v>
      </c>
    </row>
    <row r="7" spans="1:37" ht="18" customHeight="1">
      <c r="A7" s="984"/>
      <c r="B7" s="3170"/>
      <c r="C7" s="1332"/>
      <c r="D7" s="1333"/>
      <c r="E7" s="1334" t="s">
        <v>910</v>
      </c>
      <c r="F7" s="1330">
        <f ca="1">IF(INDIRECT("'数据-取费表'!ah"&amp;$G$1)="",INDIRECT("'数据-取费表'!k"&amp;$G$1),INDIRECT("'数据-取费表'!ah"&amp;$G$1))</f>
        <v>0</v>
      </c>
      <c r="G7" s="1312"/>
      <c r="H7" s="1335"/>
      <c r="I7" s="3170"/>
      <c r="J7" s="1336"/>
      <c r="K7" s="1333"/>
      <c r="L7" s="879" t="s">
        <v>910</v>
      </c>
      <c r="M7" s="1330">
        <f ca="1">F7</f>
        <v>0</v>
      </c>
    </row>
    <row r="8" spans="1:37" ht="18" customHeight="1">
      <c r="A8" s="1335"/>
      <c r="B8" s="3170"/>
      <c r="C8" s="1336"/>
      <c r="D8" s="1333"/>
      <c r="E8" s="879" t="s">
        <v>911</v>
      </c>
      <c r="F8" s="1330">
        <f ca="1">INDIRECT("'数据-取费表'!ai"&amp;$G$1)</f>
        <v>0</v>
      </c>
      <c r="G8" s="1312"/>
      <c r="H8" s="1335"/>
      <c r="I8" s="3170"/>
      <c r="J8" s="1336"/>
      <c r="K8" s="1333"/>
      <c r="L8" s="879" t="s">
        <v>911</v>
      </c>
      <c r="M8" s="1330">
        <f ca="1">INDIRECT("'数据-取费表'!ai"&amp;$G$1)</f>
        <v>0</v>
      </c>
    </row>
    <row r="9" spans="1:37" ht="18" customHeight="1">
      <c r="A9" s="1335"/>
      <c r="B9" s="3171"/>
      <c r="C9" s="1336"/>
      <c r="D9" s="1333"/>
      <c r="E9" s="879" t="s">
        <v>912</v>
      </c>
      <c r="F9" s="1330">
        <f ca="1">INDIRECT("'数据-取费表'!w"&amp;$G$1)</f>
        <v>0</v>
      </c>
      <c r="G9" s="1312"/>
      <c r="H9" s="1335"/>
      <c r="I9" s="317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7" t="s">
        <v>1052</v>
      </c>
      <c r="L53" s="3168"/>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8" t="s">
        <v>2583</v>
      </c>
      <c r="K2" s="3179"/>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0" t="s">
        <v>2593</v>
      </c>
      <c r="K3" s="3181"/>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0" t="s">
        <v>2595</v>
      </c>
      <c r="K4" s="3181"/>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6" t="s">
        <v>2599</v>
      </c>
      <c r="B6" s="3187"/>
      <c r="C6" s="3188"/>
      <c r="D6" s="1582"/>
      <c r="E6" s="1583"/>
      <c r="F6" s="1584"/>
      <c r="G6" s="1585"/>
      <c r="H6" s="1560"/>
      <c r="I6" s="1561"/>
      <c r="J6" s="3172">
        <v>1</v>
      </c>
      <c r="K6" s="317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2"/>
      <c r="K7" s="317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9" t="s">
        <v>2613</v>
      </c>
      <c r="C8" s="3190"/>
      <c r="D8" s="1598" t="s">
        <v>2614</v>
      </c>
      <c r="E8" s="1598" t="s">
        <v>2615</v>
      </c>
      <c r="F8" s="1599" t="s">
        <v>2616</v>
      </c>
      <c r="G8" s="1593"/>
      <c r="H8" s="1560"/>
      <c r="I8" s="1561"/>
      <c r="J8" s="3172"/>
      <c r="K8" s="317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9" t="s">
        <v>2619</v>
      </c>
      <c r="C9" s="3190"/>
      <c r="D9" s="1598">
        <f>ROUND(D6*E9,0)</f>
        <v>0</v>
      </c>
      <c r="E9" s="1562"/>
      <c r="F9" s="1600" t="s">
        <v>2620</v>
      </c>
      <c r="G9" s="1585"/>
      <c r="H9" s="1560"/>
      <c r="I9" s="1561"/>
      <c r="J9" s="3172"/>
      <c r="K9" s="3174"/>
      <c r="L9" s="1594" t="s">
        <v>2621</v>
      </c>
      <c r="M9" s="1595"/>
      <c r="N9" s="1572"/>
      <c r="O9" s="1572"/>
      <c r="P9" s="1572"/>
      <c r="Q9" s="1572">
        <v>365</v>
      </c>
      <c r="R9" s="1596">
        <f t="shared" si="0"/>
        <v>0</v>
      </c>
      <c r="S9" s="1554"/>
      <c r="T9" s="1554"/>
      <c r="U9" s="1554"/>
      <c r="V9" s="1561"/>
    </row>
    <row r="10" spans="1:22" s="1565" customFormat="1" ht="13.15" customHeight="1">
      <c r="A10" s="1597">
        <v>2</v>
      </c>
      <c r="B10" s="3189" t="s">
        <v>2622</v>
      </c>
      <c r="C10" s="3190"/>
      <c r="D10" s="1598">
        <f>ROUND(D6*E10,0)</f>
        <v>0</v>
      </c>
      <c r="E10" s="1562"/>
      <c r="F10" s="1600" t="s">
        <v>2623</v>
      </c>
      <c r="G10" s="1585"/>
      <c r="H10" s="1560"/>
      <c r="I10" s="1561"/>
      <c r="J10" s="3172"/>
      <c r="K10" s="3174"/>
      <c r="L10" s="1594" t="s">
        <v>2624</v>
      </c>
      <c r="M10" s="1595"/>
      <c r="N10" s="1572"/>
      <c r="O10" s="1572"/>
      <c r="P10" s="1572"/>
      <c r="Q10" s="1572">
        <v>365</v>
      </c>
      <c r="R10" s="1596">
        <f t="shared" si="0"/>
        <v>0</v>
      </c>
      <c r="S10" s="1554"/>
      <c r="T10" s="1554"/>
      <c r="U10" s="1554"/>
      <c r="V10" s="1561"/>
    </row>
    <row r="11" spans="1:22" s="1565" customFormat="1" ht="13.15" customHeight="1">
      <c r="A11" s="1597">
        <v>3</v>
      </c>
      <c r="B11" s="3189" t="s">
        <v>2625</v>
      </c>
      <c r="C11" s="3190"/>
      <c r="D11" s="1598">
        <f>D12+D14+D15+D16</f>
        <v>0</v>
      </c>
      <c r="E11" s="1598" t="e">
        <f>D11/D6</f>
        <v>#DIV/0!</v>
      </c>
      <c r="F11" s="1599"/>
      <c r="G11" s="1593"/>
      <c r="H11" s="1560"/>
      <c r="I11" s="1561"/>
      <c r="J11" s="3172"/>
      <c r="K11" s="317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2" t="s">
        <v>2628</v>
      </c>
      <c r="C12" s="3183"/>
      <c r="D12" s="1602">
        <f>ROUND(D13*1.2%*(1-30%),0)</f>
        <v>0</v>
      </c>
      <c r="E12" s="1602">
        <v>1.2E-2</v>
      </c>
      <c r="F12" s="1599" t="s">
        <v>2629</v>
      </c>
      <c r="G12" s="1593"/>
      <c r="H12" s="1560"/>
      <c r="I12" s="1561"/>
      <c r="J12" s="3172"/>
      <c r="K12" s="317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2"/>
      <c r="K13" s="317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2" t="s">
        <v>2634</v>
      </c>
      <c r="C14" s="3183"/>
      <c r="D14" s="1602">
        <f>ROUND(E14*B5/10000,0)</f>
        <v>0</v>
      </c>
      <c r="E14" s="1572"/>
      <c r="F14" s="1599" t="s">
        <v>2635</v>
      </c>
      <c r="G14" s="1593"/>
      <c r="H14" s="1560"/>
      <c r="I14" s="1561"/>
      <c r="J14" s="3172"/>
      <c r="K14" s="317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2" t="s">
        <v>2638</v>
      </c>
      <c r="C15" s="3183"/>
      <c r="D15" s="1602">
        <f>ROUND(D6*E15,0)</f>
        <v>0</v>
      </c>
      <c r="E15" s="1602">
        <v>5.5E-2</v>
      </c>
      <c r="F15" s="1599" t="s">
        <v>2639</v>
      </c>
      <c r="G15" s="1585"/>
      <c r="H15" s="1560"/>
      <c r="I15" s="1561"/>
      <c r="J15" s="3172">
        <v>2</v>
      </c>
      <c r="K15" s="317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2" t="s">
        <v>2647</v>
      </c>
      <c r="C16" s="3183"/>
      <c r="D16" s="1572">
        <f>D6*E16</f>
        <v>0</v>
      </c>
      <c r="E16" s="1572"/>
      <c r="F16" s="1600" t="s">
        <v>2648</v>
      </c>
      <c r="G16" s="1585"/>
      <c r="H16" s="1560"/>
      <c r="I16" s="1561"/>
      <c r="J16" s="3172"/>
      <c r="K16" s="317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4" t="s">
        <v>2650</v>
      </c>
      <c r="C17" s="3185"/>
      <c r="D17" s="1610">
        <f>ROUND(D6*E17,0)</f>
        <v>0</v>
      </c>
      <c r="E17" s="1611"/>
      <c r="F17" s="1612" t="s">
        <v>2651</v>
      </c>
      <c r="G17" s="1585"/>
      <c r="H17" s="1560"/>
      <c r="I17" s="1561"/>
      <c r="J17" s="3172"/>
      <c r="K17" s="317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2"/>
      <c r="K18" s="317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2"/>
      <c r="K19" s="317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2">
        <v>3</v>
      </c>
      <c r="K20" s="317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2"/>
      <c r="K21" s="317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2"/>
      <c r="K22" s="317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2"/>
      <c r="K23" s="317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2"/>
      <c r="K24" s="317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6">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7"/>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8" t="s">
        <v>2583</v>
      </c>
      <c r="K32" s="3179"/>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0" t="s">
        <v>2593</v>
      </c>
      <c r="K33" s="3181"/>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0" t="s">
        <v>2595</v>
      </c>
      <c r="K34" s="3181"/>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2">
        <v>1</v>
      </c>
      <c r="K36" s="317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2"/>
      <c r="K37" s="317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2"/>
      <c r="K38" s="317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2"/>
      <c r="K39" s="317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2"/>
      <c r="K40" s="317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6">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7"/>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1" t="s">
        <v>1881</v>
      </c>
      <c r="C5" s="3192"/>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1" t="s">
        <v>1895</v>
      </c>
      <c r="D4" s="3212"/>
      <c r="E4" s="3213" t="s">
        <v>1896</v>
      </c>
      <c r="F4" s="3214"/>
      <c r="G4" s="3211" t="s">
        <v>1897</v>
      </c>
      <c r="H4" s="3212"/>
      <c r="I4" s="3211" t="s">
        <v>1898</v>
      </c>
      <c r="J4" s="3212"/>
      <c r="K4" s="1740" t="s">
        <v>1899</v>
      </c>
      <c r="L4" s="1741"/>
      <c r="M4" s="1742"/>
      <c r="N4" s="1742"/>
      <c r="O4" s="1742"/>
      <c r="P4" s="3215" t="s">
        <v>1900</v>
      </c>
      <c r="Q4" s="3216"/>
      <c r="R4" s="3221" t="s">
        <v>1896</v>
      </c>
      <c r="S4" s="3222"/>
      <c r="T4" s="3221" t="s">
        <v>1897</v>
      </c>
      <c r="U4" s="3222"/>
      <c r="V4" s="3197" t="s">
        <v>1898</v>
      </c>
      <c r="W4" s="3197"/>
      <c r="X4" s="1743"/>
      <c r="Y4" s="3221" t="s">
        <v>1900</v>
      </c>
      <c r="Z4" s="3222"/>
      <c r="AA4" s="3208" t="s">
        <v>1896</v>
      </c>
      <c r="AB4" s="3208" t="s">
        <v>1897</v>
      </c>
      <c r="AC4" s="3208" t="s">
        <v>1898</v>
      </c>
    </row>
    <row r="5" spans="1:29" ht="15">
      <c r="A5" s="1745"/>
      <c r="B5" s="1746"/>
      <c r="C5" s="3229" t="s">
        <v>1901</v>
      </c>
      <c r="D5" s="3230"/>
      <c r="E5" s="3236" t="s">
        <v>1902</v>
      </c>
      <c r="F5" s="3237"/>
      <c r="G5" s="3229" t="s">
        <v>1903</v>
      </c>
      <c r="H5" s="3230"/>
      <c r="I5" s="3229" t="s">
        <v>1904</v>
      </c>
      <c r="J5" s="3230"/>
      <c r="K5" s="1747"/>
      <c r="L5" s="1741"/>
      <c r="M5" s="1742"/>
      <c r="N5" s="1742"/>
      <c r="O5" s="1742"/>
      <c r="P5" s="3217"/>
      <c r="Q5" s="3218"/>
      <c r="R5" s="3223"/>
      <c r="S5" s="3224"/>
      <c r="T5" s="3223"/>
      <c r="U5" s="3224"/>
      <c r="V5" s="3197"/>
      <c r="W5" s="3197"/>
      <c r="X5" s="1743"/>
      <c r="Y5" s="3223"/>
      <c r="Z5" s="3224"/>
      <c r="AA5" s="3209"/>
      <c r="AB5" s="3209"/>
      <c r="AC5" s="3209"/>
    </row>
    <row r="6" spans="1:29" ht="15.75" thickBot="1">
      <c r="A6" s="1748"/>
      <c r="B6" s="1749"/>
      <c r="C6" s="3227" t="s">
        <v>1905</v>
      </c>
      <c r="D6" s="3228"/>
      <c r="E6" s="3234" t="s">
        <v>1905</v>
      </c>
      <c r="F6" s="3235"/>
      <c r="G6" s="3227" t="s">
        <v>1905</v>
      </c>
      <c r="H6" s="3228"/>
      <c r="I6" s="3227" t="s">
        <v>1905</v>
      </c>
      <c r="J6" s="3228"/>
      <c r="K6" s="1747" t="s">
        <v>1906</v>
      </c>
      <c r="L6" s="1741"/>
      <c r="M6" s="1742"/>
      <c r="N6" s="1742"/>
      <c r="O6" s="1742"/>
      <c r="P6" s="3219"/>
      <c r="Q6" s="3220"/>
      <c r="R6" s="3223"/>
      <c r="S6" s="3224"/>
      <c r="T6" s="3225"/>
      <c r="U6" s="3226"/>
      <c r="V6" s="3197"/>
      <c r="W6" s="3197"/>
      <c r="X6" s="1743"/>
      <c r="Y6" s="3225"/>
      <c r="Z6" s="3226"/>
      <c r="AA6" s="3210"/>
      <c r="AB6" s="3210"/>
      <c r="AC6" s="3210"/>
    </row>
    <row r="7" spans="1:29" s="1760" customFormat="1" ht="15.75" thickBot="1">
      <c r="A7" s="1750" t="s">
        <v>1907</v>
      </c>
      <c r="B7" s="1751"/>
      <c r="C7" s="1752">
        <f>'数据-取费表'!B2</f>
        <v>44784</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1" t="s">
        <v>1908</v>
      </c>
      <c r="Q7" s="3233"/>
      <c r="R7" s="463" t="s">
        <v>20</v>
      </c>
      <c r="S7" s="1758">
        <f t="shared" ref="S7:S15" si="0">F7</f>
        <v>0</v>
      </c>
      <c r="T7" s="463" t="s">
        <v>20</v>
      </c>
      <c r="U7" s="1758">
        <f t="shared" ref="U7:U15" si="1">H7</f>
        <v>0</v>
      </c>
      <c r="V7" s="463" t="s">
        <v>20</v>
      </c>
      <c r="W7" s="1758">
        <f t="shared" ref="W7:W15" si="2">J7</f>
        <v>0</v>
      </c>
      <c r="X7" s="1759"/>
      <c r="Y7" s="3231" t="s">
        <v>1908</v>
      </c>
      <c r="Z7" s="3232"/>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1" t="s">
        <v>1911</v>
      </c>
      <c r="Q8" s="3232"/>
      <c r="R8" s="463" t="s">
        <v>20</v>
      </c>
      <c r="S8" s="1758">
        <f t="shared" si="0"/>
        <v>0</v>
      </c>
      <c r="T8" s="463" t="s">
        <v>20</v>
      </c>
      <c r="U8" s="1758">
        <f t="shared" si="1"/>
        <v>0</v>
      </c>
      <c r="V8" s="463" t="s">
        <v>20</v>
      </c>
      <c r="W8" s="1758">
        <f t="shared" si="2"/>
        <v>0</v>
      </c>
      <c r="X8" s="1759"/>
      <c r="Y8" s="3231" t="s">
        <v>1911</v>
      </c>
      <c r="Z8" s="3232"/>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7" t="s">
        <v>1914</v>
      </c>
      <c r="Q9" s="1769" t="str">
        <f t="shared" ref="Q9:Q15" si="6">B9</f>
        <v>用途</v>
      </c>
      <c r="R9" s="463" t="s">
        <v>14</v>
      </c>
      <c r="S9" s="1758">
        <f t="shared" si="0"/>
        <v>100</v>
      </c>
      <c r="T9" s="463" t="s">
        <v>14</v>
      </c>
      <c r="U9" s="1758">
        <f t="shared" si="1"/>
        <v>100</v>
      </c>
      <c r="V9" s="463" t="s">
        <v>14</v>
      </c>
      <c r="W9" s="1758">
        <f t="shared" si="2"/>
        <v>100</v>
      </c>
      <c r="X9" s="1759"/>
      <c r="Y9" s="307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7"/>
      <c r="Q10" s="1769" t="str">
        <f t="shared" si="6"/>
        <v>土地使用年限（年）</v>
      </c>
      <c r="R10" s="463" t="s">
        <v>14</v>
      </c>
      <c r="S10" s="1758">
        <f t="shared" si="0"/>
        <v>100</v>
      </c>
      <c r="T10" s="463" t="s">
        <v>14</v>
      </c>
      <c r="U10" s="1758">
        <f t="shared" si="1"/>
        <v>100</v>
      </c>
      <c r="V10" s="463" t="s">
        <v>14</v>
      </c>
      <c r="W10" s="1758">
        <f t="shared" si="2"/>
        <v>100</v>
      </c>
      <c r="X10" s="1759"/>
      <c r="Y10" s="3076"/>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7"/>
      <c r="Q11" s="1769" t="str">
        <f t="shared" si="6"/>
        <v>容积率</v>
      </c>
      <c r="R11" s="463" t="s">
        <v>18</v>
      </c>
      <c r="S11" s="1758" t="e">
        <f t="shared" si="0"/>
        <v>#N/A</v>
      </c>
      <c r="T11" s="463" t="s">
        <v>18</v>
      </c>
      <c r="U11" s="1758" t="e">
        <f t="shared" si="1"/>
        <v>#N/A</v>
      </c>
      <c r="V11" s="463" t="s">
        <v>18</v>
      </c>
      <c r="W11" s="1758" t="e">
        <f t="shared" si="2"/>
        <v>#N/A</v>
      </c>
      <c r="X11" s="1759"/>
      <c r="Y11" s="307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7"/>
      <c r="Q12" s="1769">
        <f t="shared" si="6"/>
        <v>111</v>
      </c>
      <c r="R12" s="463" t="s">
        <v>18</v>
      </c>
      <c r="S12" s="1758">
        <f t="shared" si="0"/>
        <v>100</v>
      </c>
      <c r="T12" s="463" t="s">
        <v>18</v>
      </c>
      <c r="U12" s="1758">
        <f t="shared" si="1"/>
        <v>100</v>
      </c>
      <c r="V12" s="463" t="s">
        <v>18</v>
      </c>
      <c r="W12" s="1758">
        <f t="shared" si="2"/>
        <v>100</v>
      </c>
      <c r="X12" s="1759"/>
      <c r="Y12" s="3076"/>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7"/>
      <c r="Q13" s="1769">
        <f t="shared" si="6"/>
        <v>111</v>
      </c>
      <c r="R13" s="463" t="s">
        <v>18</v>
      </c>
      <c r="S13" s="1758">
        <f t="shared" si="0"/>
        <v>100</v>
      </c>
      <c r="T13" s="463" t="s">
        <v>18</v>
      </c>
      <c r="U13" s="1758">
        <f t="shared" si="1"/>
        <v>100</v>
      </c>
      <c r="V13" s="463" t="s">
        <v>18</v>
      </c>
      <c r="W13" s="1758">
        <f t="shared" si="2"/>
        <v>100</v>
      </c>
      <c r="X13" s="1759"/>
      <c r="Y13" s="3076"/>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7"/>
      <c r="Q14" s="1769">
        <f t="shared" si="6"/>
        <v>111</v>
      </c>
      <c r="R14" s="463" t="s">
        <v>18</v>
      </c>
      <c r="S14" s="1758">
        <f t="shared" si="0"/>
        <v>100</v>
      </c>
      <c r="T14" s="463" t="s">
        <v>18</v>
      </c>
      <c r="U14" s="1758">
        <f t="shared" si="1"/>
        <v>100</v>
      </c>
      <c r="V14" s="463" t="s">
        <v>18</v>
      </c>
      <c r="W14" s="1758">
        <f t="shared" si="2"/>
        <v>100</v>
      </c>
      <c r="X14" s="1759"/>
      <c r="Y14" s="3076"/>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5" t="s">
        <v>1919</v>
      </c>
      <c r="Q15" s="1803" t="str">
        <f t="shared" si="6"/>
        <v>居住社区成熟度</v>
      </c>
      <c r="R15" s="1804" t="s">
        <v>18</v>
      </c>
      <c r="S15" s="1805">
        <f t="shared" si="0"/>
        <v>100</v>
      </c>
      <c r="T15" s="1804" t="s">
        <v>18</v>
      </c>
      <c r="U15" s="1805">
        <f t="shared" si="1"/>
        <v>100</v>
      </c>
      <c r="V15" s="1804" t="s">
        <v>18</v>
      </c>
      <c r="W15" s="1805">
        <f t="shared" si="2"/>
        <v>100</v>
      </c>
      <c r="X15" s="1743"/>
      <c r="Y15" s="3198"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6"/>
      <c r="Q16" s="1803"/>
      <c r="R16" s="1804"/>
      <c r="S16" s="1805"/>
      <c r="T16" s="1804"/>
      <c r="U16" s="1805"/>
      <c r="V16" s="1804"/>
      <c r="W16" s="1805"/>
      <c r="X16" s="1743"/>
      <c r="Y16" s="3199"/>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6"/>
      <c r="Q17" s="1803" t="str">
        <f>B17</f>
        <v>交通便捷度</v>
      </c>
      <c r="R17" s="1804" t="s">
        <v>18</v>
      </c>
      <c r="S17" s="1805">
        <f>F17</f>
        <v>100</v>
      </c>
      <c r="T17" s="1804" t="s">
        <v>18</v>
      </c>
      <c r="U17" s="1805">
        <f>H17</f>
        <v>100</v>
      </c>
      <c r="V17" s="1804" t="s">
        <v>18</v>
      </c>
      <c r="W17" s="1805">
        <f>J17</f>
        <v>100</v>
      </c>
      <c r="X17" s="1743"/>
      <c r="Y17" s="3199"/>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6"/>
      <c r="Q18" s="1803"/>
      <c r="R18" s="1804"/>
      <c r="S18" s="1805"/>
      <c r="T18" s="1804"/>
      <c r="U18" s="1805"/>
      <c r="V18" s="1804"/>
      <c r="W18" s="1805"/>
      <c r="X18" s="1743"/>
      <c r="Y18" s="3199"/>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6"/>
      <c r="Q19" s="1803" t="str">
        <f>B19</f>
        <v>公共配套设施</v>
      </c>
      <c r="R19" s="1804" t="s">
        <v>18</v>
      </c>
      <c r="S19" s="1805">
        <f>F19</f>
        <v>100</v>
      </c>
      <c r="T19" s="1804" t="s">
        <v>18</v>
      </c>
      <c r="U19" s="1805">
        <f>H19</f>
        <v>100</v>
      </c>
      <c r="V19" s="1804" t="s">
        <v>18</v>
      </c>
      <c r="W19" s="1805">
        <f>J19</f>
        <v>100</v>
      </c>
      <c r="X19" s="1743"/>
      <c r="Y19" s="3199"/>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6"/>
      <c r="Q20" s="1803"/>
      <c r="R20" s="1804"/>
      <c r="S20" s="1805"/>
      <c r="T20" s="1804"/>
      <c r="U20" s="1805"/>
      <c r="V20" s="1804"/>
      <c r="W20" s="1805"/>
      <c r="X20" s="1743"/>
      <c r="Y20" s="3199"/>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6"/>
      <c r="Q21" s="1803" t="str">
        <f>B21</f>
        <v>基础设施水平</v>
      </c>
      <c r="R21" s="1804" t="s">
        <v>14</v>
      </c>
      <c r="S21" s="1805">
        <f>F21</f>
        <v>100</v>
      </c>
      <c r="T21" s="1804" t="s">
        <v>14</v>
      </c>
      <c r="U21" s="1805">
        <f>H21</f>
        <v>100</v>
      </c>
      <c r="V21" s="1804" t="s">
        <v>14</v>
      </c>
      <c r="W21" s="1805">
        <f>J21</f>
        <v>100</v>
      </c>
      <c r="X21" s="1743"/>
      <c r="Y21" s="319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6"/>
      <c r="Q22" s="1803"/>
      <c r="R22" s="1804"/>
      <c r="S22" s="1805"/>
      <c r="T22" s="1804"/>
      <c r="U22" s="1805"/>
      <c r="V22" s="1804"/>
      <c r="W22" s="1805"/>
      <c r="X22" s="1743"/>
      <c r="Y22" s="3199"/>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6"/>
      <c r="Q23" s="1803" t="str">
        <f>B23</f>
        <v>自然及人文环境</v>
      </c>
      <c r="R23" s="1804" t="s">
        <v>18</v>
      </c>
      <c r="S23" s="1805">
        <f>F23</f>
        <v>100</v>
      </c>
      <c r="T23" s="1804" t="s">
        <v>18</v>
      </c>
      <c r="U23" s="1805">
        <f>H23</f>
        <v>100</v>
      </c>
      <c r="V23" s="1804" t="s">
        <v>18</v>
      </c>
      <c r="W23" s="1805">
        <f>J23</f>
        <v>100</v>
      </c>
      <c r="X23" s="1743"/>
      <c r="Y23" s="3199"/>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6"/>
      <c r="Q24" s="1803"/>
      <c r="R24" s="1804"/>
      <c r="S24" s="1805"/>
      <c r="T24" s="1804"/>
      <c r="U24" s="1805"/>
      <c r="V24" s="1804"/>
      <c r="W24" s="1805"/>
      <c r="X24" s="1743"/>
      <c r="Y24" s="3199"/>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6"/>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199"/>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6"/>
      <c r="Q26" s="1803" t="str">
        <f t="shared" si="11"/>
        <v>朝向</v>
      </c>
      <c r="R26" s="1804" t="s">
        <v>18</v>
      </c>
      <c r="S26" s="1805">
        <f t="shared" si="12"/>
        <v>100</v>
      </c>
      <c r="T26" s="1804" t="s">
        <v>18</v>
      </c>
      <c r="U26" s="1805">
        <f t="shared" si="13"/>
        <v>100</v>
      </c>
      <c r="V26" s="1804" t="s">
        <v>18</v>
      </c>
      <c r="W26" s="1805">
        <f t="shared" si="14"/>
        <v>100</v>
      </c>
      <c r="X26" s="1743"/>
      <c r="Y26" s="3199"/>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6"/>
      <c r="Q27" s="1769">
        <f t="shared" si="11"/>
        <v>111</v>
      </c>
      <c r="R27" s="463" t="s">
        <v>18</v>
      </c>
      <c r="S27" s="1758">
        <f t="shared" si="12"/>
        <v>100</v>
      </c>
      <c r="T27" s="463" t="s">
        <v>18</v>
      </c>
      <c r="U27" s="1758">
        <f t="shared" si="13"/>
        <v>100</v>
      </c>
      <c r="V27" s="463" t="s">
        <v>18</v>
      </c>
      <c r="W27" s="1758">
        <f t="shared" si="14"/>
        <v>100</v>
      </c>
      <c r="X27" s="1759"/>
      <c r="Y27" s="3199"/>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6"/>
      <c r="Q28" s="1803">
        <f t="shared" si="11"/>
        <v>111</v>
      </c>
      <c r="R28" s="1804" t="s">
        <v>18</v>
      </c>
      <c r="S28" s="1805">
        <f t="shared" si="12"/>
        <v>100</v>
      </c>
      <c r="T28" s="1804" t="s">
        <v>18</v>
      </c>
      <c r="U28" s="1805">
        <f t="shared" si="13"/>
        <v>100</v>
      </c>
      <c r="V28" s="1804" t="s">
        <v>18</v>
      </c>
      <c r="W28" s="1805">
        <f t="shared" si="14"/>
        <v>100</v>
      </c>
      <c r="X28" s="1743"/>
      <c r="Y28" s="3199"/>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6"/>
      <c r="Q29" s="1803">
        <f t="shared" si="11"/>
        <v>111</v>
      </c>
      <c r="R29" s="1804" t="s">
        <v>18</v>
      </c>
      <c r="S29" s="1805">
        <f t="shared" si="12"/>
        <v>100</v>
      </c>
      <c r="T29" s="1804" t="s">
        <v>18</v>
      </c>
      <c r="U29" s="1805">
        <f t="shared" si="13"/>
        <v>100</v>
      </c>
      <c r="V29" s="1804" t="s">
        <v>18</v>
      </c>
      <c r="W29" s="1805">
        <f t="shared" si="14"/>
        <v>100</v>
      </c>
      <c r="X29" s="1743"/>
      <c r="Y29" s="3199"/>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6"/>
      <c r="Q30" s="1803">
        <f t="shared" si="11"/>
        <v>111</v>
      </c>
      <c r="R30" s="1804" t="s">
        <v>18</v>
      </c>
      <c r="S30" s="1805">
        <f t="shared" si="12"/>
        <v>100</v>
      </c>
      <c r="T30" s="1804" t="s">
        <v>18</v>
      </c>
      <c r="U30" s="1805">
        <f t="shared" si="13"/>
        <v>100</v>
      </c>
      <c r="V30" s="1804" t="s">
        <v>18</v>
      </c>
      <c r="W30" s="1805">
        <f t="shared" si="14"/>
        <v>100</v>
      </c>
      <c r="X30" s="1743"/>
      <c r="Y30" s="3199"/>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6"/>
      <c r="Q31" s="1803">
        <f t="shared" si="11"/>
        <v>111</v>
      </c>
      <c r="R31" s="1804" t="s">
        <v>18</v>
      </c>
      <c r="S31" s="1805">
        <f t="shared" si="12"/>
        <v>100</v>
      </c>
      <c r="T31" s="1804" t="s">
        <v>18</v>
      </c>
      <c r="U31" s="1805">
        <f t="shared" si="13"/>
        <v>100</v>
      </c>
      <c r="V31" s="1804" t="s">
        <v>18</v>
      </c>
      <c r="W31" s="1805">
        <f t="shared" si="14"/>
        <v>100</v>
      </c>
      <c r="X31" s="1743"/>
      <c r="Y31" s="3199"/>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0" t="s">
        <v>1924</v>
      </c>
      <c r="Q32" s="1803" t="str">
        <f t="shared" si="11"/>
        <v>建筑类型</v>
      </c>
      <c r="R32" s="1804" t="s">
        <v>18</v>
      </c>
      <c r="S32" s="1805">
        <f t="shared" si="12"/>
        <v>100</v>
      </c>
      <c r="T32" s="1804" t="s">
        <v>18</v>
      </c>
      <c r="U32" s="1805">
        <f t="shared" si="13"/>
        <v>100</v>
      </c>
      <c r="V32" s="1804" t="s">
        <v>18</v>
      </c>
      <c r="W32" s="1805">
        <f t="shared" si="14"/>
        <v>100</v>
      </c>
      <c r="X32" s="1743"/>
      <c r="Y32" s="3203"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1"/>
      <c r="Q33" s="1839" t="str">
        <f t="shared" si="11"/>
        <v>项目建筑规模</v>
      </c>
      <c r="R33" s="1840" t="s">
        <v>18</v>
      </c>
      <c r="S33" s="1841" t="e">
        <f t="shared" si="12"/>
        <v>#N/A</v>
      </c>
      <c r="T33" s="1840" t="s">
        <v>18</v>
      </c>
      <c r="U33" s="1841" t="e">
        <f t="shared" si="13"/>
        <v>#N/A</v>
      </c>
      <c r="V33" s="1840" t="s">
        <v>18</v>
      </c>
      <c r="W33" s="1841" t="e">
        <f t="shared" si="14"/>
        <v>#N/A</v>
      </c>
      <c r="X33" s="1842"/>
      <c r="Y33" s="3203"/>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1"/>
      <c r="Q34" s="1803" t="str">
        <f t="shared" si="11"/>
        <v>建筑结构</v>
      </c>
      <c r="R34" s="1804" t="s">
        <v>18</v>
      </c>
      <c r="S34" s="1805">
        <f t="shared" si="12"/>
        <v>100</v>
      </c>
      <c r="T34" s="1804" t="s">
        <v>18</v>
      </c>
      <c r="U34" s="1805">
        <f t="shared" si="13"/>
        <v>100</v>
      </c>
      <c r="V34" s="1804" t="s">
        <v>18</v>
      </c>
      <c r="W34" s="1805">
        <f t="shared" si="14"/>
        <v>100</v>
      </c>
      <c r="X34" s="1743"/>
      <c r="Y34" s="3203"/>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1"/>
      <c r="Q35" s="1803" t="str">
        <f t="shared" si="11"/>
        <v>建筑品质</v>
      </c>
      <c r="R35" s="1804" t="s">
        <v>18</v>
      </c>
      <c r="S35" s="1805">
        <f t="shared" si="12"/>
        <v>100</v>
      </c>
      <c r="T35" s="1804" t="s">
        <v>18</v>
      </c>
      <c r="U35" s="1805">
        <f t="shared" si="13"/>
        <v>100</v>
      </c>
      <c r="V35" s="1804" t="s">
        <v>18</v>
      </c>
      <c r="W35" s="1805">
        <f t="shared" si="14"/>
        <v>100</v>
      </c>
      <c r="X35" s="1743"/>
      <c r="Y35" s="3203"/>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1"/>
      <c r="Q36" s="1803" t="str">
        <f t="shared" si="11"/>
        <v>公共部分装修</v>
      </c>
      <c r="R36" s="1804" t="s">
        <v>18</v>
      </c>
      <c r="S36" s="1805">
        <f t="shared" si="12"/>
        <v>100</v>
      </c>
      <c r="T36" s="1804" t="s">
        <v>18</v>
      </c>
      <c r="U36" s="1805">
        <f t="shared" si="13"/>
        <v>100</v>
      </c>
      <c r="V36" s="1804" t="s">
        <v>18</v>
      </c>
      <c r="W36" s="1805">
        <f t="shared" si="14"/>
        <v>100</v>
      </c>
      <c r="X36" s="1743"/>
      <c r="Y36" s="3203"/>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1"/>
      <c r="Q37" s="1769" t="str">
        <f t="shared" si="11"/>
        <v>成新度</v>
      </c>
      <c r="R37" s="463" t="s">
        <v>18</v>
      </c>
      <c r="S37" s="1758" t="e">
        <f t="shared" si="12"/>
        <v>#N/A</v>
      </c>
      <c r="T37" s="463" t="s">
        <v>18</v>
      </c>
      <c r="U37" s="1758" t="e">
        <f t="shared" si="13"/>
        <v>#N/A</v>
      </c>
      <c r="V37" s="463" t="s">
        <v>18</v>
      </c>
      <c r="W37" s="1758" t="e">
        <f t="shared" si="14"/>
        <v>#N/A</v>
      </c>
      <c r="X37" s="1759"/>
      <c r="Y37" s="3203"/>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1" t="s">
        <v>1924</v>
      </c>
      <c r="Q38" s="1803" t="str">
        <f t="shared" si="11"/>
        <v>物业管理</v>
      </c>
      <c r="R38" s="1804" t="s">
        <v>18</v>
      </c>
      <c r="S38" s="1805">
        <f t="shared" si="12"/>
        <v>100</v>
      </c>
      <c r="T38" s="1804" t="s">
        <v>18</v>
      </c>
      <c r="U38" s="1805">
        <f t="shared" si="13"/>
        <v>100</v>
      </c>
      <c r="V38" s="1804" t="s">
        <v>18</v>
      </c>
      <c r="W38" s="1805">
        <f t="shared" si="14"/>
        <v>100</v>
      </c>
      <c r="X38" s="1743"/>
      <c r="Y38" s="3203"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1"/>
      <c r="Q39" s="1803" t="str">
        <f t="shared" si="11"/>
        <v>市政基础设施</v>
      </c>
      <c r="R39" s="1804" t="s">
        <v>18</v>
      </c>
      <c r="S39" s="1805">
        <f t="shared" si="12"/>
        <v>100</v>
      </c>
      <c r="T39" s="1804" t="s">
        <v>18</v>
      </c>
      <c r="U39" s="1805">
        <f t="shared" si="13"/>
        <v>100</v>
      </c>
      <c r="V39" s="1804" t="s">
        <v>18</v>
      </c>
      <c r="W39" s="1805">
        <f t="shared" si="14"/>
        <v>100</v>
      </c>
      <c r="X39" s="1743"/>
      <c r="Y39" s="3203"/>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1"/>
      <c r="Q40" s="1803" t="str">
        <f t="shared" si="11"/>
        <v>房型</v>
      </c>
      <c r="R40" s="1804" t="s">
        <v>18</v>
      </c>
      <c r="S40" s="1805">
        <f t="shared" si="12"/>
        <v>100</v>
      </c>
      <c r="T40" s="1804" t="s">
        <v>18</v>
      </c>
      <c r="U40" s="1805">
        <f t="shared" si="13"/>
        <v>100</v>
      </c>
      <c r="V40" s="1804" t="s">
        <v>18</v>
      </c>
      <c r="W40" s="1805">
        <f t="shared" si="14"/>
        <v>100</v>
      </c>
      <c r="X40" s="1743"/>
      <c r="Y40" s="3203"/>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1"/>
      <c r="Q41" s="1839" t="str">
        <f t="shared" si="11"/>
        <v>单套/主力户型建筑面积</v>
      </c>
      <c r="R41" s="1840" t="s">
        <v>18</v>
      </c>
      <c r="S41" s="1841">
        <f t="shared" si="12"/>
        <v>100</v>
      </c>
      <c r="T41" s="1840" t="s">
        <v>18</v>
      </c>
      <c r="U41" s="1841">
        <f t="shared" si="13"/>
        <v>100</v>
      </c>
      <c r="V41" s="1840" t="s">
        <v>18</v>
      </c>
      <c r="W41" s="1841">
        <f t="shared" si="14"/>
        <v>100</v>
      </c>
      <c r="X41" s="1842"/>
      <c r="Y41" s="3203"/>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1"/>
      <c r="Q42" s="1803" t="str">
        <f t="shared" si="11"/>
        <v>内部装修</v>
      </c>
      <c r="R42" s="1804" t="s">
        <v>18</v>
      </c>
      <c r="S42" s="1805">
        <f t="shared" si="12"/>
        <v>100</v>
      </c>
      <c r="T42" s="1804" t="s">
        <v>18</v>
      </c>
      <c r="U42" s="1805">
        <f t="shared" si="13"/>
        <v>100</v>
      </c>
      <c r="V42" s="1804" t="s">
        <v>18</v>
      </c>
      <c r="W42" s="1805">
        <f t="shared" si="14"/>
        <v>100</v>
      </c>
      <c r="X42" s="1743"/>
      <c r="Y42" s="3203"/>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1"/>
      <c r="Q43" s="1803" t="str">
        <f t="shared" si="11"/>
        <v>内部装修维护情况</v>
      </c>
      <c r="R43" s="1804" t="s">
        <v>18</v>
      </c>
      <c r="S43" s="1805">
        <f t="shared" si="12"/>
        <v>100</v>
      </c>
      <c r="T43" s="1804" t="s">
        <v>18</v>
      </c>
      <c r="U43" s="1805">
        <f t="shared" si="13"/>
        <v>100</v>
      </c>
      <c r="V43" s="1804" t="s">
        <v>18</v>
      </c>
      <c r="W43" s="1805">
        <f t="shared" si="14"/>
        <v>100</v>
      </c>
      <c r="X43" s="1743"/>
      <c r="Y43" s="3203"/>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1"/>
      <c r="Q44" s="1769">
        <f t="shared" si="11"/>
        <v>111</v>
      </c>
      <c r="R44" s="463" t="s">
        <v>18</v>
      </c>
      <c r="S44" s="1758">
        <f t="shared" si="12"/>
        <v>100</v>
      </c>
      <c r="T44" s="463" t="s">
        <v>18</v>
      </c>
      <c r="U44" s="1758">
        <f t="shared" si="13"/>
        <v>100</v>
      </c>
      <c r="V44" s="463" t="s">
        <v>18</v>
      </c>
      <c r="W44" s="1758">
        <f t="shared" si="14"/>
        <v>100</v>
      </c>
      <c r="X44" s="1759"/>
      <c r="Y44" s="3203"/>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1"/>
      <c r="Q45" s="1803">
        <f t="shared" si="11"/>
        <v>111</v>
      </c>
      <c r="R45" s="1804" t="s">
        <v>18</v>
      </c>
      <c r="S45" s="1805">
        <f t="shared" si="12"/>
        <v>100</v>
      </c>
      <c r="T45" s="1804" t="s">
        <v>18</v>
      </c>
      <c r="U45" s="1805">
        <f t="shared" si="13"/>
        <v>100</v>
      </c>
      <c r="V45" s="1804" t="s">
        <v>18</v>
      </c>
      <c r="W45" s="1805">
        <f t="shared" si="14"/>
        <v>100</v>
      </c>
      <c r="X45" s="1743"/>
      <c r="Y45" s="3203"/>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2"/>
      <c r="Q46" s="1803">
        <f t="shared" si="11"/>
        <v>111</v>
      </c>
      <c r="R46" s="1804" t="s">
        <v>17</v>
      </c>
      <c r="S46" s="1805">
        <f t="shared" si="12"/>
        <v>100</v>
      </c>
      <c r="T46" s="1804" t="s">
        <v>17</v>
      </c>
      <c r="U46" s="1805">
        <f t="shared" si="13"/>
        <v>100</v>
      </c>
      <c r="V46" s="1804" t="s">
        <v>17</v>
      </c>
      <c r="W46" s="1805">
        <f t="shared" si="14"/>
        <v>100</v>
      </c>
      <c r="X46" s="1743"/>
      <c r="Y46" s="3204"/>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6" t="str">
        <f>A47</f>
        <v>成交单价（元/平方米）</v>
      </c>
      <c r="Q47" s="3196"/>
      <c r="R47" s="3197">
        <f>E47</f>
        <v>0</v>
      </c>
      <c r="S47" s="3197"/>
      <c r="T47" s="3197">
        <f>G47</f>
        <v>0</v>
      </c>
      <c r="U47" s="3197"/>
      <c r="V47" s="3197">
        <f>I47</f>
        <v>0</v>
      </c>
      <c r="W47" s="3197"/>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3" t="str">
        <f>A49</f>
        <v>估价对象XX用房的比较价值（楼面单价，元/平方米）</v>
      </c>
      <c r="Q49" s="3194"/>
      <c r="R49" s="3195" t="e">
        <f>IF(F1="售价",ROUND(IF(D48="简单平均",AVERAGE(R48:V48),R48*F48+T48*H48+V48*J48),0),ROUND(IF(D48="简单平均",AVERAGE(R48:V48),R48*F48+T48*H48+V48*J48),1))</f>
        <v>#DIV/0!</v>
      </c>
      <c r="S49" s="3195"/>
      <c r="T49" s="3195"/>
      <c r="U49" s="3195"/>
      <c r="V49" s="3195"/>
      <c r="W49" s="3195"/>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1" t="s">
        <v>2005</v>
      </c>
      <c r="D4" s="3212"/>
      <c r="E4" s="3213" t="s">
        <v>2006</v>
      </c>
      <c r="F4" s="3214"/>
      <c r="G4" s="3211" t="s">
        <v>2007</v>
      </c>
      <c r="H4" s="3212"/>
      <c r="I4" s="3211" t="s">
        <v>2008</v>
      </c>
      <c r="J4" s="3212"/>
      <c r="K4" s="2042" t="s">
        <v>2009</v>
      </c>
      <c r="L4" s="1741"/>
      <c r="M4" s="1742"/>
      <c r="N4" s="1742"/>
      <c r="O4" s="1742"/>
      <c r="P4" s="3215" t="s">
        <v>2010</v>
      </c>
      <c r="Q4" s="3216"/>
      <c r="R4" s="3221" t="s">
        <v>2006</v>
      </c>
      <c r="S4" s="3222"/>
      <c r="T4" s="3221" t="s">
        <v>2007</v>
      </c>
      <c r="U4" s="3222"/>
      <c r="V4" s="3197" t="s">
        <v>2008</v>
      </c>
      <c r="W4" s="3197"/>
      <c r="X4" s="1743"/>
      <c r="Y4" s="3221" t="s">
        <v>2010</v>
      </c>
      <c r="Z4" s="3222"/>
      <c r="AA4" s="3208" t="s">
        <v>2006</v>
      </c>
      <c r="AB4" s="3197" t="s">
        <v>2007</v>
      </c>
      <c r="AC4" s="3208" t="s">
        <v>2008</v>
      </c>
    </row>
    <row r="5" spans="1:29" ht="15">
      <c r="A5" s="1745"/>
      <c r="B5" s="1746"/>
      <c r="C5" s="3229" t="s">
        <v>1901</v>
      </c>
      <c r="D5" s="3230"/>
      <c r="E5" s="3236" t="s">
        <v>1902</v>
      </c>
      <c r="F5" s="3237"/>
      <c r="G5" s="3229" t="s">
        <v>1903</v>
      </c>
      <c r="H5" s="3230"/>
      <c r="I5" s="3229" t="s">
        <v>1904</v>
      </c>
      <c r="J5" s="3230"/>
      <c r="K5" s="2042"/>
      <c r="L5" s="1741"/>
      <c r="M5" s="1742"/>
      <c r="N5" s="1742"/>
      <c r="O5" s="1742"/>
      <c r="P5" s="3217"/>
      <c r="Q5" s="3218"/>
      <c r="R5" s="3223"/>
      <c r="S5" s="3224"/>
      <c r="T5" s="3223"/>
      <c r="U5" s="3224"/>
      <c r="V5" s="3197"/>
      <c r="W5" s="3197"/>
      <c r="X5" s="1743"/>
      <c r="Y5" s="3223"/>
      <c r="Z5" s="3224"/>
      <c r="AA5" s="3209"/>
      <c r="AB5" s="3197"/>
      <c r="AC5" s="3209"/>
    </row>
    <row r="6" spans="1:29" ht="15.75" thickBot="1">
      <c r="A6" s="1748"/>
      <c r="B6" s="1749"/>
      <c r="C6" s="3227" t="s">
        <v>1905</v>
      </c>
      <c r="D6" s="3228"/>
      <c r="E6" s="3234" t="s">
        <v>1905</v>
      </c>
      <c r="F6" s="3235"/>
      <c r="G6" s="3227" t="s">
        <v>1905</v>
      </c>
      <c r="H6" s="3228"/>
      <c r="I6" s="3227" t="s">
        <v>1905</v>
      </c>
      <c r="J6" s="3228"/>
      <c r="K6" s="2042" t="s">
        <v>1906</v>
      </c>
      <c r="L6" s="1741"/>
      <c r="M6" s="1742"/>
      <c r="N6" s="1742"/>
      <c r="O6" s="1742"/>
      <c r="P6" s="3219"/>
      <c r="Q6" s="3220"/>
      <c r="R6" s="3223"/>
      <c r="S6" s="3224"/>
      <c r="T6" s="3225"/>
      <c r="U6" s="3226"/>
      <c r="V6" s="3197"/>
      <c r="W6" s="3197"/>
      <c r="X6" s="1743"/>
      <c r="Y6" s="3225"/>
      <c r="Z6" s="3226"/>
      <c r="AA6" s="3210"/>
      <c r="AB6" s="3197"/>
      <c r="AC6" s="3210"/>
    </row>
    <row r="7" spans="1:29" s="1760" customFormat="1" ht="15.75" thickBot="1">
      <c r="A7" s="1750" t="s">
        <v>1907</v>
      </c>
      <c r="B7" s="1751"/>
      <c r="C7" s="1752">
        <f>'数据-取费表'!B2</f>
        <v>44784</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1" t="s">
        <v>1908</v>
      </c>
      <c r="Q7" s="3233"/>
      <c r="R7" s="463" t="s">
        <v>14</v>
      </c>
      <c r="S7" s="1758">
        <f t="shared" ref="S7:S15" si="0">F7</f>
        <v>0</v>
      </c>
      <c r="T7" s="463" t="s">
        <v>14</v>
      </c>
      <c r="U7" s="1758">
        <f t="shared" ref="U7:U15" si="1">H7</f>
        <v>0</v>
      </c>
      <c r="V7" s="463" t="s">
        <v>14</v>
      </c>
      <c r="W7" s="1758">
        <f t="shared" ref="W7:W15" si="2">J7</f>
        <v>0</v>
      </c>
      <c r="X7" s="1759"/>
      <c r="Y7" s="3231" t="s">
        <v>1908</v>
      </c>
      <c r="Z7" s="3232"/>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1" t="s">
        <v>1911</v>
      </c>
      <c r="Q8" s="3232"/>
      <c r="R8" s="463" t="s">
        <v>14</v>
      </c>
      <c r="S8" s="1758">
        <f t="shared" si="0"/>
        <v>0</v>
      </c>
      <c r="T8" s="463" t="s">
        <v>14</v>
      </c>
      <c r="U8" s="1758">
        <f t="shared" si="1"/>
        <v>0</v>
      </c>
      <c r="V8" s="463" t="s">
        <v>14</v>
      </c>
      <c r="W8" s="1758">
        <f t="shared" si="2"/>
        <v>0</v>
      </c>
      <c r="X8" s="1759"/>
      <c r="Y8" s="3231" t="s">
        <v>1911</v>
      </c>
      <c r="Z8" s="3232"/>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7" t="s">
        <v>1914</v>
      </c>
      <c r="Q9" s="1769" t="str">
        <f t="shared" ref="Q9:Q15" si="6">B9</f>
        <v>用途</v>
      </c>
      <c r="R9" s="463" t="s">
        <v>14</v>
      </c>
      <c r="S9" s="1758">
        <f t="shared" si="0"/>
        <v>100</v>
      </c>
      <c r="T9" s="463" t="s">
        <v>14</v>
      </c>
      <c r="U9" s="1758">
        <f t="shared" si="1"/>
        <v>100</v>
      </c>
      <c r="V9" s="463" t="s">
        <v>14</v>
      </c>
      <c r="W9" s="1758">
        <f t="shared" si="2"/>
        <v>100</v>
      </c>
      <c r="X9" s="1759"/>
      <c r="Y9" s="307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7"/>
      <c r="Q10" s="1769" t="str">
        <f t="shared" si="6"/>
        <v>土地使用年限（年）</v>
      </c>
      <c r="R10" s="463" t="s">
        <v>14</v>
      </c>
      <c r="S10" s="1758">
        <f t="shared" si="0"/>
        <v>100</v>
      </c>
      <c r="T10" s="463" t="s">
        <v>14</v>
      </c>
      <c r="U10" s="1758">
        <f t="shared" si="1"/>
        <v>100</v>
      </c>
      <c r="V10" s="463" t="s">
        <v>14</v>
      </c>
      <c r="W10" s="1758">
        <f t="shared" si="2"/>
        <v>100</v>
      </c>
      <c r="X10" s="1759"/>
      <c r="Y10" s="3076"/>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7"/>
      <c r="Q11" s="1769" t="str">
        <f t="shared" si="6"/>
        <v>容积率</v>
      </c>
      <c r="R11" s="463" t="s">
        <v>14</v>
      </c>
      <c r="S11" s="1758" t="e">
        <f t="shared" si="0"/>
        <v>#N/A</v>
      </c>
      <c r="T11" s="463" t="s">
        <v>14</v>
      </c>
      <c r="U11" s="1758" t="e">
        <f t="shared" si="1"/>
        <v>#N/A</v>
      </c>
      <c r="V11" s="463" t="s">
        <v>14</v>
      </c>
      <c r="W11" s="1758" t="e">
        <f t="shared" si="2"/>
        <v>#N/A</v>
      </c>
      <c r="X11" s="1759"/>
      <c r="Y11" s="307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7"/>
      <c r="Q12" s="1769">
        <f t="shared" si="6"/>
        <v>111</v>
      </c>
      <c r="R12" s="463" t="s">
        <v>14</v>
      </c>
      <c r="S12" s="1758">
        <f t="shared" si="0"/>
        <v>100</v>
      </c>
      <c r="T12" s="463" t="s">
        <v>14</v>
      </c>
      <c r="U12" s="1758">
        <f t="shared" si="1"/>
        <v>100</v>
      </c>
      <c r="V12" s="463" t="s">
        <v>14</v>
      </c>
      <c r="W12" s="1758">
        <f t="shared" si="2"/>
        <v>100</v>
      </c>
      <c r="X12" s="1759"/>
      <c r="Y12" s="3076"/>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7"/>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7"/>
      <c r="Q14" s="1769">
        <f t="shared" si="6"/>
        <v>111</v>
      </c>
      <c r="R14" s="463" t="s">
        <v>14</v>
      </c>
      <c r="S14" s="1758">
        <f t="shared" si="0"/>
        <v>100</v>
      </c>
      <c r="T14" s="463" t="s">
        <v>14</v>
      </c>
      <c r="U14" s="1758">
        <f t="shared" si="1"/>
        <v>100</v>
      </c>
      <c r="V14" s="463" t="s">
        <v>14</v>
      </c>
      <c r="W14" s="1758">
        <f t="shared" si="2"/>
        <v>100</v>
      </c>
      <c r="X14" s="1759"/>
      <c r="Y14" s="3076"/>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5" t="s">
        <v>1919</v>
      </c>
      <c r="Q15" s="1803" t="str">
        <f t="shared" si="6"/>
        <v>商业繁华度</v>
      </c>
      <c r="R15" s="1804" t="s">
        <v>14</v>
      </c>
      <c r="S15" s="1805">
        <f t="shared" si="0"/>
        <v>100</v>
      </c>
      <c r="T15" s="1804" t="s">
        <v>14</v>
      </c>
      <c r="U15" s="1805">
        <f t="shared" si="1"/>
        <v>100</v>
      </c>
      <c r="V15" s="1804" t="s">
        <v>14</v>
      </c>
      <c r="W15" s="1805">
        <f t="shared" si="2"/>
        <v>100</v>
      </c>
      <c r="X15" s="1743"/>
      <c r="Y15" s="3198"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6"/>
      <c r="Q16" s="1803"/>
      <c r="R16" s="1804"/>
      <c r="S16" s="1805"/>
      <c r="T16" s="1804"/>
      <c r="U16" s="1805"/>
      <c r="V16" s="1804"/>
      <c r="W16" s="1805"/>
      <c r="X16" s="1743"/>
      <c r="Y16" s="3199"/>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6"/>
      <c r="Q17" s="1803" t="str">
        <f>B17</f>
        <v>交通便捷度</v>
      </c>
      <c r="R17" s="1804" t="s">
        <v>14</v>
      </c>
      <c r="S17" s="1805">
        <f>F17</f>
        <v>100</v>
      </c>
      <c r="T17" s="1804" t="s">
        <v>14</v>
      </c>
      <c r="U17" s="1805">
        <f>H17</f>
        <v>100</v>
      </c>
      <c r="V17" s="1804" t="s">
        <v>14</v>
      </c>
      <c r="W17" s="1805">
        <f>J17</f>
        <v>100</v>
      </c>
      <c r="X17" s="1743"/>
      <c r="Y17" s="3199"/>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6"/>
      <c r="Q18" s="1803"/>
      <c r="R18" s="1804"/>
      <c r="S18" s="1805"/>
      <c r="T18" s="1804"/>
      <c r="U18" s="1805"/>
      <c r="V18" s="1804"/>
      <c r="W18" s="1805"/>
      <c r="X18" s="1743"/>
      <c r="Y18" s="3199"/>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6"/>
      <c r="Q19" s="1803" t="str">
        <f>B19</f>
        <v>公共配套设施</v>
      </c>
      <c r="R19" s="1804" t="s">
        <v>14</v>
      </c>
      <c r="S19" s="1805">
        <f>F19</f>
        <v>100</v>
      </c>
      <c r="T19" s="1804" t="s">
        <v>14</v>
      </c>
      <c r="U19" s="1805">
        <f>H19</f>
        <v>100</v>
      </c>
      <c r="V19" s="1804" t="s">
        <v>14</v>
      </c>
      <c r="W19" s="1805">
        <f>J19</f>
        <v>100</v>
      </c>
      <c r="X19" s="1743"/>
      <c r="Y19" s="3199"/>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6"/>
      <c r="Q20" s="1803"/>
      <c r="R20" s="1804"/>
      <c r="S20" s="1805"/>
      <c r="T20" s="1804"/>
      <c r="U20" s="1805"/>
      <c r="V20" s="1804"/>
      <c r="W20" s="1805"/>
      <c r="X20" s="1743"/>
      <c r="Y20" s="3199"/>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6"/>
      <c r="Q21" s="1803" t="str">
        <f>B21</f>
        <v>基础设施水平</v>
      </c>
      <c r="R21" s="1804" t="s">
        <v>14</v>
      </c>
      <c r="S21" s="1805">
        <f>F21</f>
        <v>100</v>
      </c>
      <c r="T21" s="1804" t="s">
        <v>14</v>
      </c>
      <c r="U21" s="1805">
        <f>H21</f>
        <v>100</v>
      </c>
      <c r="V21" s="1804" t="s">
        <v>14</v>
      </c>
      <c r="W21" s="1805">
        <f>J21</f>
        <v>100</v>
      </c>
      <c r="X21" s="1743"/>
      <c r="Y21" s="319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6"/>
      <c r="Q22" s="1803"/>
      <c r="R22" s="1804"/>
      <c r="S22" s="1805"/>
      <c r="T22" s="1804"/>
      <c r="U22" s="1805"/>
      <c r="V22" s="1804"/>
      <c r="W22" s="1805"/>
      <c r="X22" s="1743"/>
      <c r="Y22" s="3199"/>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6"/>
      <c r="Q23" s="1803" t="str">
        <f>B23</f>
        <v>自然及人文环境</v>
      </c>
      <c r="R23" s="1804" t="s">
        <v>14</v>
      </c>
      <c r="S23" s="1805">
        <f>F23</f>
        <v>100</v>
      </c>
      <c r="T23" s="1804" t="s">
        <v>14</v>
      </c>
      <c r="U23" s="1805">
        <f>H23</f>
        <v>100</v>
      </c>
      <c r="V23" s="1804" t="s">
        <v>14</v>
      </c>
      <c r="W23" s="1805">
        <f>J23</f>
        <v>100</v>
      </c>
      <c r="X23" s="1743"/>
      <c r="Y23" s="3199"/>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6"/>
      <c r="Q24" s="1803"/>
      <c r="R24" s="1804"/>
      <c r="S24" s="1805"/>
      <c r="T24" s="1804"/>
      <c r="U24" s="1805"/>
      <c r="V24" s="1804"/>
      <c r="W24" s="1805"/>
      <c r="X24" s="1743"/>
      <c r="Y24" s="3199"/>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6"/>
      <c r="Q25" s="1803" t="str">
        <f t="shared" ref="Q25:Q46" si="11">B25</f>
        <v>临街状况</v>
      </c>
      <c r="R25" s="1804" t="s">
        <v>14</v>
      </c>
      <c r="S25" s="1805">
        <f>F25</f>
        <v>100</v>
      </c>
      <c r="T25" s="1804" t="s">
        <v>14</v>
      </c>
      <c r="U25" s="1805">
        <f>H25</f>
        <v>100</v>
      </c>
      <c r="V25" s="1804" t="s">
        <v>14</v>
      </c>
      <c r="W25" s="1805">
        <f>J25</f>
        <v>100</v>
      </c>
      <c r="X25" s="1743"/>
      <c r="Y25" s="3199"/>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6"/>
      <c r="Q26" s="1803" t="str">
        <f t="shared" si="11"/>
        <v>平面位置/可视性</v>
      </c>
      <c r="R26" s="1804" t="s">
        <v>14</v>
      </c>
      <c r="S26" s="1805">
        <f>F26</f>
        <v>100</v>
      </c>
      <c r="T26" s="1804" t="s">
        <v>14</v>
      </c>
      <c r="U26" s="1805">
        <f>H26</f>
        <v>100</v>
      </c>
      <c r="V26" s="1804" t="s">
        <v>14</v>
      </c>
      <c r="W26" s="1805">
        <f>J26</f>
        <v>100</v>
      </c>
      <c r="X26" s="1743"/>
      <c r="Y26" s="3199"/>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6"/>
      <c r="Q27" s="1769" t="str">
        <f t="shared" si="11"/>
        <v>人流量</v>
      </c>
      <c r="R27" s="463" t="s">
        <v>14</v>
      </c>
      <c r="S27" s="1758">
        <f>F27</f>
        <v>100</v>
      </c>
      <c r="T27" s="463" t="s">
        <v>14</v>
      </c>
      <c r="U27" s="1758">
        <f>H27</f>
        <v>100</v>
      </c>
      <c r="V27" s="463" t="s">
        <v>14</v>
      </c>
      <c r="W27" s="1758">
        <f>J27</f>
        <v>100</v>
      </c>
      <c r="X27" s="1759"/>
      <c r="Y27" s="3199"/>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6"/>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199"/>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6"/>
      <c r="Q29" s="1803">
        <f t="shared" si="11"/>
        <v>111</v>
      </c>
      <c r="R29" s="1804" t="s">
        <v>14</v>
      </c>
      <c r="S29" s="1805">
        <f t="shared" si="12"/>
        <v>100</v>
      </c>
      <c r="T29" s="1804" t="s">
        <v>14</v>
      </c>
      <c r="U29" s="1805">
        <f t="shared" si="13"/>
        <v>100</v>
      </c>
      <c r="V29" s="1804" t="s">
        <v>14</v>
      </c>
      <c r="W29" s="1805">
        <f t="shared" si="14"/>
        <v>100</v>
      </c>
      <c r="X29" s="1743"/>
      <c r="Y29" s="3199"/>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6"/>
      <c r="Q30" s="1803">
        <f t="shared" si="11"/>
        <v>111</v>
      </c>
      <c r="R30" s="1804" t="s">
        <v>14</v>
      </c>
      <c r="S30" s="1805">
        <f t="shared" si="12"/>
        <v>100</v>
      </c>
      <c r="T30" s="1804" t="s">
        <v>14</v>
      </c>
      <c r="U30" s="1805">
        <f t="shared" si="13"/>
        <v>100</v>
      </c>
      <c r="V30" s="1804" t="s">
        <v>14</v>
      </c>
      <c r="W30" s="1805">
        <f t="shared" si="14"/>
        <v>100</v>
      </c>
      <c r="X30" s="1743"/>
      <c r="Y30" s="3199"/>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6"/>
      <c r="Q31" s="1803">
        <f t="shared" si="11"/>
        <v>111</v>
      </c>
      <c r="R31" s="1804" t="s">
        <v>14</v>
      </c>
      <c r="S31" s="1805">
        <f t="shared" si="12"/>
        <v>100</v>
      </c>
      <c r="T31" s="1804" t="s">
        <v>14</v>
      </c>
      <c r="U31" s="1805">
        <f t="shared" si="13"/>
        <v>100</v>
      </c>
      <c r="V31" s="1804" t="s">
        <v>14</v>
      </c>
      <c r="W31" s="1805">
        <f t="shared" si="14"/>
        <v>100</v>
      </c>
      <c r="X31" s="1743"/>
      <c r="Y31" s="3199"/>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0" t="s">
        <v>1924</v>
      </c>
      <c r="Q32" s="1803" t="str">
        <f t="shared" si="11"/>
        <v>商业类型</v>
      </c>
      <c r="R32" s="1804" t="s">
        <v>14</v>
      </c>
      <c r="S32" s="1805">
        <f t="shared" si="12"/>
        <v>100</v>
      </c>
      <c r="T32" s="1804" t="s">
        <v>14</v>
      </c>
      <c r="U32" s="1805">
        <f t="shared" si="13"/>
        <v>100</v>
      </c>
      <c r="V32" s="1804" t="s">
        <v>14</v>
      </c>
      <c r="W32" s="1805">
        <f t="shared" si="14"/>
        <v>100</v>
      </c>
      <c r="X32" s="1743"/>
      <c r="Y32" s="3203"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1"/>
      <c r="Q33" s="1839" t="str">
        <f t="shared" si="11"/>
        <v>项目建筑规模</v>
      </c>
      <c r="R33" s="1840" t="s">
        <v>14</v>
      </c>
      <c r="S33" s="1841" t="e">
        <f t="shared" si="12"/>
        <v>#N/A</v>
      </c>
      <c r="T33" s="1840" t="s">
        <v>14</v>
      </c>
      <c r="U33" s="1841" t="e">
        <f t="shared" si="13"/>
        <v>#N/A</v>
      </c>
      <c r="V33" s="1840" t="s">
        <v>14</v>
      </c>
      <c r="W33" s="1841" t="e">
        <f t="shared" si="14"/>
        <v>#N/A</v>
      </c>
      <c r="X33" s="1842"/>
      <c r="Y33" s="3203"/>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1"/>
      <c r="Q34" s="1803" t="str">
        <f t="shared" si="11"/>
        <v>建筑结构</v>
      </c>
      <c r="R34" s="1804" t="s">
        <v>14</v>
      </c>
      <c r="S34" s="1805">
        <f t="shared" si="12"/>
        <v>100</v>
      </c>
      <c r="T34" s="1804" t="s">
        <v>14</v>
      </c>
      <c r="U34" s="1805">
        <f t="shared" si="13"/>
        <v>100</v>
      </c>
      <c r="V34" s="1804" t="s">
        <v>14</v>
      </c>
      <c r="W34" s="1805">
        <f t="shared" si="14"/>
        <v>100</v>
      </c>
      <c r="X34" s="1743"/>
      <c r="Y34" s="3203"/>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1"/>
      <c r="Q35" s="1803" t="str">
        <f t="shared" si="11"/>
        <v>公共部分装修</v>
      </c>
      <c r="R35" s="1804" t="s">
        <v>14</v>
      </c>
      <c r="S35" s="1805">
        <f t="shared" si="12"/>
        <v>100</v>
      </c>
      <c r="T35" s="1804" t="s">
        <v>14</v>
      </c>
      <c r="U35" s="1805">
        <f t="shared" si="13"/>
        <v>100</v>
      </c>
      <c r="V35" s="1804" t="s">
        <v>14</v>
      </c>
      <c r="W35" s="1805">
        <f t="shared" si="14"/>
        <v>100</v>
      </c>
      <c r="X35" s="1743"/>
      <c r="Y35" s="3203"/>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1"/>
      <c r="Q36" s="1803" t="str">
        <f t="shared" si="11"/>
        <v>成新度</v>
      </c>
      <c r="R36" s="1804" t="s">
        <v>14</v>
      </c>
      <c r="S36" s="1805" t="e">
        <f t="shared" si="12"/>
        <v>#N/A</v>
      </c>
      <c r="T36" s="1804" t="s">
        <v>14</v>
      </c>
      <c r="U36" s="1805" t="e">
        <f t="shared" si="13"/>
        <v>#N/A</v>
      </c>
      <c r="V36" s="1804" t="s">
        <v>14</v>
      </c>
      <c r="W36" s="1805" t="e">
        <f t="shared" si="14"/>
        <v>#N/A</v>
      </c>
      <c r="X36" s="1743"/>
      <c r="Y36" s="3203"/>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1"/>
      <c r="Q37" s="1769" t="str">
        <f t="shared" si="11"/>
        <v>市政基础设施</v>
      </c>
      <c r="R37" s="463" t="s">
        <v>14</v>
      </c>
      <c r="S37" s="1758">
        <f t="shared" si="12"/>
        <v>100</v>
      </c>
      <c r="T37" s="463" t="s">
        <v>14</v>
      </c>
      <c r="U37" s="1758">
        <f t="shared" si="13"/>
        <v>100</v>
      </c>
      <c r="V37" s="463" t="s">
        <v>14</v>
      </c>
      <c r="W37" s="1758">
        <f t="shared" si="14"/>
        <v>100</v>
      </c>
      <c r="X37" s="1759"/>
      <c r="Y37" s="3203"/>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1" t="s">
        <v>1924</v>
      </c>
      <c r="Q38" s="1803" t="str">
        <f t="shared" si="11"/>
        <v>业态</v>
      </c>
      <c r="R38" s="1804" t="s">
        <v>14</v>
      </c>
      <c r="S38" s="1805">
        <f t="shared" si="12"/>
        <v>100</v>
      </c>
      <c r="T38" s="1804" t="s">
        <v>14</v>
      </c>
      <c r="U38" s="1805">
        <f t="shared" si="13"/>
        <v>100</v>
      </c>
      <c r="V38" s="1804" t="s">
        <v>14</v>
      </c>
      <c r="W38" s="1805">
        <f t="shared" si="14"/>
        <v>100</v>
      </c>
      <c r="X38" s="1743"/>
      <c r="Y38" s="3203"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1"/>
      <c r="Q39" s="1803" t="str">
        <f t="shared" si="11"/>
        <v>层高</v>
      </c>
      <c r="R39" s="1804" t="s">
        <v>14</v>
      </c>
      <c r="S39" s="1805">
        <f t="shared" si="12"/>
        <v>100</v>
      </c>
      <c r="T39" s="1804" t="s">
        <v>14</v>
      </c>
      <c r="U39" s="1805">
        <f t="shared" si="13"/>
        <v>100</v>
      </c>
      <c r="V39" s="1804" t="s">
        <v>14</v>
      </c>
      <c r="W39" s="1805">
        <f t="shared" si="14"/>
        <v>100</v>
      </c>
      <c r="X39" s="1743"/>
      <c r="Y39" s="3203"/>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1"/>
      <c r="Q40" s="1803" t="str">
        <f t="shared" si="11"/>
        <v>单套建筑面积</v>
      </c>
      <c r="R40" s="1804" t="s">
        <v>14</v>
      </c>
      <c r="S40" s="1805">
        <f t="shared" si="12"/>
        <v>100</v>
      </c>
      <c r="T40" s="1804" t="s">
        <v>14</v>
      </c>
      <c r="U40" s="1805">
        <f t="shared" si="13"/>
        <v>100</v>
      </c>
      <c r="V40" s="1804" t="s">
        <v>14</v>
      </c>
      <c r="W40" s="1805">
        <f t="shared" si="14"/>
        <v>100</v>
      </c>
      <c r="X40" s="1743"/>
      <c r="Y40" s="3203"/>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1"/>
      <c r="Q41" s="1839" t="str">
        <f t="shared" si="11"/>
        <v>进深比</v>
      </c>
      <c r="R41" s="1840" t="s">
        <v>14</v>
      </c>
      <c r="S41" s="1841">
        <f t="shared" si="12"/>
        <v>100</v>
      </c>
      <c r="T41" s="1840" t="s">
        <v>14</v>
      </c>
      <c r="U41" s="1841">
        <f t="shared" si="13"/>
        <v>100</v>
      </c>
      <c r="V41" s="1840" t="s">
        <v>14</v>
      </c>
      <c r="W41" s="1841">
        <f t="shared" si="14"/>
        <v>100</v>
      </c>
      <c r="X41" s="1842"/>
      <c r="Y41" s="3203"/>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1"/>
      <c r="Q42" s="1803" t="str">
        <f t="shared" si="11"/>
        <v>内部装修</v>
      </c>
      <c r="R42" s="1804" t="s">
        <v>14</v>
      </c>
      <c r="S42" s="1805">
        <f t="shared" si="12"/>
        <v>100</v>
      </c>
      <c r="T42" s="1804" t="s">
        <v>14</v>
      </c>
      <c r="U42" s="1805">
        <f t="shared" si="13"/>
        <v>100</v>
      </c>
      <c r="V42" s="1804" t="s">
        <v>14</v>
      </c>
      <c r="W42" s="1805">
        <f t="shared" si="14"/>
        <v>100</v>
      </c>
      <c r="X42" s="1743"/>
      <c r="Y42" s="3203"/>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1"/>
      <c r="Q43" s="1803" t="str">
        <f t="shared" si="11"/>
        <v>内部装修维护情况</v>
      </c>
      <c r="R43" s="1804" t="s">
        <v>14</v>
      </c>
      <c r="S43" s="1805">
        <f t="shared" si="12"/>
        <v>100</v>
      </c>
      <c r="T43" s="1804" t="s">
        <v>14</v>
      </c>
      <c r="U43" s="1805">
        <f t="shared" si="13"/>
        <v>100</v>
      </c>
      <c r="V43" s="1804" t="s">
        <v>14</v>
      </c>
      <c r="W43" s="1805">
        <f t="shared" si="14"/>
        <v>100</v>
      </c>
      <c r="X43" s="1743"/>
      <c r="Y43" s="3203"/>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1"/>
      <c r="Q44" s="1769">
        <f t="shared" si="11"/>
        <v>111</v>
      </c>
      <c r="R44" s="463" t="s">
        <v>14</v>
      </c>
      <c r="S44" s="1758">
        <f t="shared" si="12"/>
        <v>100</v>
      </c>
      <c r="T44" s="463" t="s">
        <v>14</v>
      </c>
      <c r="U44" s="1758">
        <f t="shared" si="13"/>
        <v>100</v>
      </c>
      <c r="V44" s="463" t="s">
        <v>14</v>
      </c>
      <c r="W44" s="1758">
        <f t="shared" si="14"/>
        <v>100</v>
      </c>
      <c r="X44" s="1759"/>
      <c r="Y44" s="3203"/>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1"/>
      <c r="Q45" s="1803">
        <f t="shared" si="11"/>
        <v>111</v>
      </c>
      <c r="R45" s="1804" t="s">
        <v>14</v>
      </c>
      <c r="S45" s="1805">
        <f t="shared" si="12"/>
        <v>100</v>
      </c>
      <c r="T45" s="1804" t="s">
        <v>14</v>
      </c>
      <c r="U45" s="1805">
        <f t="shared" si="13"/>
        <v>100</v>
      </c>
      <c r="V45" s="1804" t="s">
        <v>14</v>
      </c>
      <c r="W45" s="1805">
        <f t="shared" si="14"/>
        <v>100</v>
      </c>
      <c r="X45" s="1743"/>
      <c r="Y45" s="3203"/>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2"/>
      <c r="Q46" s="1803">
        <f t="shared" si="11"/>
        <v>111</v>
      </c>
      <c r="R46" s="1804" t="s">
        <v>14</v>
      </c>
      <c r="S46" s="1805">
        <f t="shared" si="12"/>
        <v>100</v>
      </c>
      <c r="T46" s="1804" t="s">
        <v>14</v>
      </c>
      <c r="U46" s="1805">
        <f t="shared" si="13"/>
        <v>100</v>
      </c>
      <c r="V46" s="1804" t="s">
        <v>14</v>
      </c>
      <c r="W46" s="1805">
        <f t="shared" si="14"/>
        <v>100</v>
      </c>
      <c r="X46" s="1743"/>
      <c r="Y46" s="3204"/>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6" t="str">
        <f>A47</f>
        <v>成交单价（元/平方米）</v>
      </c>
      <c r="Q47" s="3196"/>
      <c r="R47" s="3197">
        <f>E47</f>
        <v>0</v>
      </c>
      <c r="S47" s="3197"/>
      <c r="T47" s="3197">
        <f>G47</f>
        <v>0</v>
      </c>
      <c r="U47" s="3197"/>
      <c r="V47" s="3197">
        <f>I47</f>
        <v>0</v>
      </c>
      <c r="W47" s="3197"/>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3" t="str">
        <f>A49</f>
        <v>估价对象XX用房的比较价值（楼面单价，元/平方米）</v>
      </c>
      <c r="Q49" s="3194"/>
      <c r="R49" s="3195" t="e">
        <f>IF(F1="售价",ROUND(IF(D48="简单平均",AVERAGE(R48:V48),R48*F48+T48*H48+V48*J48),0),ROUND(IF(D48="简单平均",AVERAGE(R48:V48),R48*F48+T48*H48+V48*J48),1))</f>
        <v>#DIV/0!</v>
      </c>
      <c r="S49" s="3195"/>
      <c r="T49" s="3195"/>
      <c r="U49" s="3195"/>
      <c r="V49" s="3195"/>
      <c r="W49" s="3195"/>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1" t="s">
        <v>2005</v>
      </c>
      <c r="D4" s="3212"/>
      <c r="E4" s="3213" t="s">
        <v>2006</v>
      </c>
      <c r="F4" s="3214"/>
      <c r="G4" s="3211" t="s">
        <v>2007</v>
      </c>
      <c r="H4" s="3212"/>
      <c r="I4" s="3211" t="s">
        <v>2008</v>
      </c>
      <c r="J4" s="3212"/>
      <c r="K4" s="2042" t="s">
        <v>2009</v>
      </c>
      <c r="L4" s="1741"/>
      <c r="M4" s="1742"/>
      <c r="N4" s="1742"/>
      <c r="O4" s="1742"/>
      <c r="P4" s="3244" t="s">
        <v>2010</v>
      </c>
      <c r="Q4" s="3245"/>
      <c r="R4" s="3248" t="s">
        <v>2006</v>
      </c>
      <c r="S4" s="3249"/>
      <c r="T4" s="3248" t="s">
        <v>2007</v>
      </c>
      <c r="U4" s="3249"/>
      <c r="V4" s="3250" t="s">
        <v>2008</v>
      </c>
      <c r="W4" s="3250"/>
      <c r="X4" s="2078"/>
      <c r="Y4" s="3248" t="s">
        <v>2010</v>
      </c>
      <c r="Z4" s="3249"/>
      <c r="AA4" s="3252" t="s">
        <v>2006</v>
      </c>
      <c r="AB4" s="3252" t="s">
        <v>2007</v>
      </c>
      <c r="AC4" s="3241" t="s">
        <v>2008</v>
      </c>
    </row>
    <row r="5" spans="1:29" ht="15">
      <c r="A5" s="1745"/>
      <c r="B5" s="1746"/>
      <c r="C5" s="3229" t="s">
        <v>1901</v>
      </c>
      <c r="D5" s="3230"/>
      <c r="E5" s="3236" t="s">
        <v>1902</v>
      </c>
      <c r="F5" s="3237"/>
      <c r="G5" s="3229" t="s">
        <v>1903</v>
      </c>
      <c r="H5" s="3230"/>
      <c r="I5" s="3229" t="s">
        <v>1904</v>
      </c>
      <c r="J5" s="3230"/>
      <c r="K5" s="2042"/>
      <c r="L5" s="1741"/>
      <c r="M5" s="1742"/>
      <c r="N5" s="1742"/>
      <c r="O5" s="1742"/>
      <c r="P5" s="3246"/>
      <c r="Q5" s="3218"/>
      <c r="R5" s="3223"/>
      <c r="S5" s="3224"/>
      <c r="T5" s="3223"/>
      <c r="U5" s="3224"/>
      <c r="V5" s="3197"/>
      <c r="W5" s="3197"/>
      <c r="X5" s="1743"/>
      <c r="Y5" s="3223"/>
      <c r="Z5" s="3224"/>
      <c r="AA5" s="3209"/>
      <c r="AB5" s="3209"/>
      <c r="AC5" s="3242"/>
    </row>
    <row r="6" spans="1:29" ht="15.75" thickBot="1">
      <c r="A6" s="1748"/>
      <c r="B6" s="1749"/>
      <c r="C6" s="3227" t="s">
        <v>1905</v>
      </c>
      <c r="D6" s="3228"/>
      <c r="E6" s="3234" t="s">
        <v>1905</v>
      </c>
      <c r="F6" s="3235"/>
      <c r="G6" s="3227" t="s">
        <v>1905</v>
      </c>
      <c r="H6" s="3228"/>
      <c r="I6" s="3227" t="s">
        <v>1905</v>
      </c>
      <c r="J6" s="3228"/>
      <c r="K6" s="2042" t="s">
        <v>1906</v>
      </c>
      <c r="L6" s="1741"/>
      <c r="M6" s="1742"/>
      <c r="N6" s="1742"/>
      <c r="O6" s="1742"/>
      <c r="P6" s="3247"/>
      <c r="Q6" s="3220"/>
      <c r="R6" s="3223"/>
      <c r="S6" s="3224"/>
      <c r="T6" s="3225"/>
      <c r="U6" s="3226"/>
      <c r="V6" s="3197"/>
      <c r="W6" s="3197"/>
      <c r="X6" s="1743"/>
      <c r="Y6" s="3225"/>
      <c r="Z6" s="3226"/>
      <c r="AA6" s="3210"/>
      <c r="AB6" s="3210"/>
      <c r="AC6" s="3243"/>
    </row>
    <row r="7" spans="1:29" s="1760" customFormat="1" ht="15.75" thickBot="1">
      <c r="A7" s="1750" t="s">
        <v>1907</v>
      </c>
      <c r="B7" s="1751"/>
      <c r="C7" s="1752">
        <f>'数据-取费表'!B2</f>
        <v>44784</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1" t="s">
        <v>1908</v>
      </c>
      <c r="Q7" s="3233"/>
      <c r="R7" s="463" t="s">
        <v>14</v>
      </c>
      <c r="S7" s="1758">
        <f t="shared" ref="S7:S15" si="0">F7</f>
        <v>0</v>
      </c>
      <c r="T7" s="463" t="s">
        <v>14</v>
      </c>
      <c r="U7" s="1758">
        <f t="shared" ref="U7:U15" si="1">H7</f>
        <v>0</v>
      </c>
      <c r="V7" s="463" t="s">
        <v>14</v>
      </c>
      <c r="W7" s="1758">
        <f t="shared" ref="W7:W15" si="2">J7</f>
        <v>0</v>
      </c>
      <c r="X7" s="1759"/>
      <c r="Y7" s="3231" t="s">
        <v>1908</v>
      </c>
      <c r="Z7" s="3232"/>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1" t="s">
        <v>1911</v>
      </c>
      <c r="Q8" s="3232"/>
      <c r="R8" s="463" t="s">
        <v>14</v>
      </c>
      <c r="S8" s="1758">
        <f t="shared" si="0"/>
        <v>0</v>
      </c>
      <c r="T8" s="463" t="s">
        <v>14</v>
      </c>
      <c r="U8" s="1758">
        <f t="shared" si="1"/>
        <v>0</v>
      </c>
      <c r="V8" s="463" t="s">
        <v>14</v>
      </c>
      <c r="W8" s="1758">
        <f t="shared" si="2"/>
        <v>0</v>
      </c>
      <c r="X8" s="1759"/>
      <c r="Y8" s="3231" t="s">
        <v>1911</v>
      </c>
      <c r="Z8" s="3232"/>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7" t="s">
        <v>1914</v>
      </c>
      <c r="Q9" s="1769" t="str">
        <f t="shared" ref="Q9:Q15" si="6">B9</f>
        <v>用途</v>
      </c>
      <c r="R9" s="463" t="s">
        <v>14</v>
      </c>
      <c r="S9" s="1758">
        <f t="shared" si="0"/>
        <v>100</v>
      </c>
      <c r="T9" s="463" t="s">
        <v>14</v>
      </c>
      <c r="U9" s="1758">
        <f t="shared" si="1"/>
        <v>100</v>
      </c>
      <c r="V9" s="463" t="s">
        <v>14</v>
      </c>
      <c r="W9" s="1758">
        <f t="shared" si="2"/>
        <v>100</v>
      </c>
      <c r="X9" s="1759"/>
      <c r="Y9" s="3076"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7"/>
      <c r="Q10" s="1769" t="str">
        <f t="shared" si="6"/>
        <v>土地使用年限（年）</v>
      </c>
      <c r="R10" s="463" t="s">
        <v>14</v>
      </c>
      <c r="S10" s="1758">
        <f t="shared" si="0"/>
        <v>100</v>
      </c>
      <c r="T10" s="463" t="s">
        <v>14</v>
      </c>
      <c r="U10" s="1758">
        <f t="shared" si="1"/>
        <v>100</v>
      </c>
      <c r="V10" s="463" t="s">
        <v>14</v>
      </c>
      <c r="W10" s="1758">
        <f t="shared" si="2"/>
        <v>100</v>
      </c>
      <c r="X10" s="1759"/>
      <c r="Y10" s="3076"/>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7"/>
      <c r="Q11" s="1769" t="str">
        <f t="shared" si="6"/>
        <v>容积率</v>
      </c>
      <c r="R11" s="463" t="s">
        <v>14</v>
      </c>
      <c r="S11" s="1758" t="e">
        <f t="shared" si="0"/>
        <v>#N/A</v>
      </c>
      <c r="T11" s="463" t="s">
        <v>14</v>
      </c>
      <c r="U11" s="1758" t="e">
        <f t="shared" si="1"/>
        <v>#N/A</v>
      </c>
      <c r="V11" s="463" t="s">
        <v>14</v>
      </c>
      <c r="W11" s="1758" t="e">
        <f t="shared" si="2"/>
        <v>#N/A</v>
      </c>
      <c r="X11" s="1759"/>
      <c r="Y11" s="3076"/>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7"/>
      <c r="Q12" s="1769">
        <f t="shared" si="6"/>
        <v>111</v>
      </c>
      <c r="R12" s="463" t="s">
        <v>14</v>
      </c>
      <c r="S12" s="1758">
        <f t="shared" si="0"/>
        <v>100</v>
      </c>
      <c r="T12" s="463" t="s">
        <v>14</v>
      </c>
      <c r="U12" s="1758">
        <f t="shared" si="1"/>
        <v>100</v>
      </c>
      <c r="V12" s="463" t="s">
        <v>14</v>
      </c>
      <c r="W12" s="1758">
        <f t="shared" si="2"/>
        <v>100</v>
      </c>
      <c r="X12" s="1759"/>
      <c r="Y12" s="3076"/>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7"/>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7"/>
      <c r="Q14" s="1769">
        <f t="shared" si="6"/>
        <v>111</v>
      </c>
      <c r="R14" s="463" t="s">
        <v>14</v>
      </c>
      <c r="S14" s="1758">
        <f t="shared" si="0"/>
        <v>100</v>
      </c>
      <c r="T14" s="463" t="s">
        <v>14</v>
      </c>
      <c r="U14" s="1758">
        <f t="shared" si="1"/>
        <v>100</v>
      </c>
      <c r="V14" s="463" t="s">
        <v>14</v>
      </c>
      <c r="W14" s="1758">
        <f t="shared" si="2"/>
        <v>100</v>
      </c>
      <c r="X14" s="1759"/>
      <c r="Y14" s="3076"/>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5" t="s">
        <v>1919</v>
      </c>
      <c r="Q15" s="1803" t="str">
        <f t="shared" si="6"/>
        <v>办公集聚程度</v>
      </c>
      <c r="R15" s="1804" t="s">
        <v>14</v>
      </c>
      <c r="S15" s="1805">
        <f t="shared" si="0"/>
        <v>100</v>
      </c>
      <c r="T15" s="1804" t="s">
        <v>14</v>
      </c>
      <c r="U15" s="1805">
        <f t="shared" si="1"/>
        <v>100</v>
      </c>
      <c r="V15" s="1804" t="s">
        <v>14</v>
      </c>
      <c r="W15" s="1805">
        <f t="shared" si="2"/>
        <v>100</v>
      </c>
      <c r="X15" s="1743"/>
      <c r="Y15" s="3198"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6"/>
      <c r="Q16" s="1803"/>
      <c r="R16" s="1804"/>
      <c r="S16" s="1805"/>
      <c r="T16" s="1804"/>
      <c r="U16" s="1805"/>
      <c r="V16" s="1804"/>
      <c r="W16" s="1805"/>
      <c r="X16" s="1743"/>
      <c r="Y16" s="3199"/>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6"/>
      <c r="Q17" s="1803" t="str">
        <f>B17</f>
        <v>交通便捷度</v>
      </c>
      <c r="R17" s="1804" t="s">
        <v>14</v>
      </c>
      <c r="S17" s="1805">
        <f>F17</f>
        <v>100</v>
      </c>
      <c r="T17" s="1804" t="s">
        <v>14</v>
      </c>
      <c r="U17" s="1805">
        <f>H17</f>
        <v>100</v>
      </c>
      <c r="V17" s="1804" t="s">
        <v>14</v>
      </c>
      <c r="W17" s="1805">
        <f>J17</f>
        <v>100</v>
      </c>
      <c r="X17" s="1743"/>
      <c r="Y17" s="3199"/>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6"/>
      <c r="Q18" s="1803"/>
      <c r="R18" s="1804"/>
      <c r="S18" s="1805"/>
      <c r="T18" s="1804"/>
      <c r="U18" s="1805"/>
      <c r="V18" s="1804"/>
      <c r="W18" s="1805"/>
      <c r="X18" s="1743"/>
      <c r="Y18" s="3199"/>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6"/>
      <c r="Q19" s="1803" t="str">
        <f>B19</f>
        <v>公共配套设施</v>
      </c>
      <c r="R19" s="1804" t="s">
        <v>14</v>
      </c>
      <c r="S19" s="1805">
        <f>F19</f>
        <v>100</v>
      </c>
      <c r="T19" s="1804" t="s">
        <v>14</v>
      </c>
      <c r="U19" s="1805">
        <f>H19</f>
        <v>100</v>
      </c>
      <c r="V19" s="1804" t="s">
        <v>14</v>
      </c>
      <c r="W19" s="1805">
        <f>J19</f>
        <v>100</v>
      </c>
      <c r="X19" s="1743"/>
      <c r="Y19" s="3199"/>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6"/>
      <c r="Q20" s="1803"/>
      <c r="R20" s="1804"/>
      <c r="S20" s="1805"/>
      <c r="T20" s="1804"/>
      <c r="U20" s="1805"/>
      <c r="V20" s="1804"/>
      <c r="W20" s="1805"/>
      <c r="X20" s="1743"/>
      <c r="Y20" s="3199"/>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6"/>
      <c r="Q21" s="1803" t="str">
        <f>B21</f>
        <v>基础设施水平</v>
      </c>
      <c r="R21" s="1804" t="s">
        <v>14</v>
      </c>
      <c r="S21" s="1805">
        <f>F21</f>
        <v>100</v>
      </c>
      <c r="T21" s="1804" t="s">
        <v>14</v>
      </c>
      <c r="U21" s="1805">
        <f>H21</f>
        <v>100</v>
      </c>
      <c r="V21" s="1804" t="s">
        <v>14</v>
      </c>
      <c r="W21" s="1805">
        <f>J21</f>
        <v>100</v>
      </c>
      <c r="X21" s="1743"/>
      <c r="Y21" s="3199"/>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6"/>
      <c r="Q22" s="1803"/>
      <c r="R22" s="1804"/>
      <c r="S22" s="1805"/>
      <c r="T22" s="1804"/>
      <c r="U22" s="1805"/>
      <c r="V22" s="1804"/>
      <c r="W22" s="1805"/>
      <c r="X22" s="1743"/>
      <c r="Y22" s="3199"/>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6"/>
      <c r="Q23" s="1803" t="str">
        <f>B23</f>
        <v>环境质量</v>
      </c>
      <c r="R23" s="1804" t="s">
        <v>14</v>
      </c>
      <c r="S23" s="1805">
        <f>F23</f>
        <v>100</v>
      </c>
      <c r="T23" s="1804" t="s">
        <v>14</v>
      </c>
      <c r="U23" s="1805">
        <f>H23</f>
        <v>100</v>
      </c>
      <c r="V23" s="1804" t="s">
        <v>14</v>
      </c>
      <c r="W23" s="1805">
        <f>J23</f>
        <v>100</v>
      </c>
      <c r="X23" s="1743"/>
      <c r="Y23" s="3199"/>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6"/>
      <c r="Q24" s="1803"/>
      <c r="R24" s="1804"/>
      <c r="S24" s="1805"/>
      <c r="T24" s="1804"/>
      <c r="U24" s="1805"/>
      <c r="V24" s="1804"/>
      <c r="W24" s="1805"/>
      <c r="X24" s="1743"/>
      <c r="Y24" s="3199"/>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6"/>
      <c r="Q25" s="1803" t="str">
        <f>B25</f>
        <v>毗邻道路的类型与等级</v>
      </c>
      <c r="R25" s="1804" t="s">
        <v>14</v>
      </c>
      <c r="S25" s="1805">
        <f>F25</f>
        <v>100</v>
      </c>
      <c r="T25" s="1804" t="s">
        <v>14</v>
      </c>
      <c r="U25" s="1805">
        <f>H25</f>
        <v>100</v>
      </c>
      <c r="V25" s="1804" t="s">
        <v>14</v>
      </c>
      <c r="W25" s="1805">
        <f>J25</f>
        <v>100</v>
      </c>
      <c r="X25" s="1743"/>
      <c r="Y25" s="3199"/>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6"/>
      <c r="Q26" s="1803"/>
      <c r="R26" s="1804"/>
      <c r="S26" s="1805"/>
      <c r="T26" s="1804"/>
      <c r="U26" s="1805"/>
      <c r="V26" s="1804"/>
      <c r="W26" s="1805"/>
      <c r="X26" s="1743"/>
      <c r="Y26" s="3199"/>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6"/>
      <c r="Q27" s="1803" t="str">
        <f t="shared" ref="Q27:Q47" si="11">B27</f>
        <v>楼层</v>
      </c>
      <c r="R27" s="1804" t="s">
        <v>14</v>
      </c>
      <c r="S27" s="1805">
        <f>F27</f>
        <v>100</v>
      </c>
      <c r="T27" s="1804" t="s">
        <v>14</v>
      </c>
      <c r="U27" s="1805">
        <f>H27</f>
        <v>100</v>
      </c>
      <c r="V27" s="1804" t="s">
        <v>14</v>
      </c>
      <c r="W27" s="1805">
        <f>J27</f>
        <v>100</v>
      </c>
      <c r="X27" s="1743"/>
      <c r="Y27" s="3199"/>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6"/>
      <c r="Q28" s="1769" t="str">
        <f t="shared" si="11"/>
        <v>朝向</v>
      </c>
      <c r="R28" s="463" t="s">
        <v>14</v>
      </c>
      <c r="S28" s="1758">
        <f>F28</f>
        <v>100</v>
      </c>
      <c r="T28" s="463" t="s">
        <v>14</v>
      </c>
      <c r="U28" s="1758">
        <f>H28</f>
        <v>100</v>
      </c>
      <c r="V28" s="463" t="s">
        <v>14</v>
      </c>
      <c r="W28" s="1758">
        <f>J28</f>
        <v>100</v>
      </c>
      <c r="X28" s="1759"/>
      <c r="Y28" s="3199"/>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6"/>
      <c r="Q29" s="1803">
        <f t="shared" si="11"/>
        <v>111</v>
      </c>
      <c r="R29" s="1804" t="s">
        <v>14</v>
      </c>
      <c r="S29" s="1805">
        <f t="shared" ref="S29:S47" si="12">F29</f>
        <v>100</v>
      </c>
      <c r="T29" s="1804" t="s">
        <v>14</v>
      </c>
      <c r="U29" s="1805">
        <f t="shared" ref="U29:U47" si="13">H29</f>
        <v>100</v>
      </c>
      <c r="V29" s="1804" t="s">
        <v>14</v>
      </c>
      <c r="W29" s="1805">
        <f t="shared" ref="W29:W47" si="14">J29</f>
        <v>100</v>
      </c>
      <c r="X29" s="1743"/>
      <c r="Y29" s="3199"/>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6"/>
      <c r="Q30" s="1803">
        <f t="shared" si="11"/>
        <v>111</v>
      </c>
      <c r="R30" s="1804" t="s">
        <v>14</v>
      </c>
      <c r="S30" s="1805">
        <f t="shared" si="12"/>
        <v>100</v>
      </c>
      <c r="T30" s="1804" t="s">
        <v>14</v>
      </c>
      <c r="U30" s="1805">
        <f t="shared" si="13"/>
        <v>100</v>
      </c>
      <c r="V30" s="1804" t="s">
        <v>14</v>
      </c>
      <c r="W30" s="1805">
        <f t="shared" si="14"/>
        <v>100</v>
      </c>
      <c r="X30" s="1743"/>
      <c r="Y30" s="3199"/>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6"/>
      <c r="Q31" s="1803">
        <f t="shared" si="11"/>
        <v>111</v>
      </c>
      <c r="R31" s="1804" t="s">
        <v>14</v>
      </c>
      <c r="S31" s="1805">
        <f t="shared" si="12"/>
        <v>100</v>
      </c>
      <c r="T31" s="1804" t="s">
        <v>14</v>
      </c>
      <c r="U31" s="1805">
        <f t="shared" si="13"/>
        <v>100</v>
      </c>
      <c r="V31" s="1804" t="s">
        <v>14</v>
      </c>
      <c r="W31" s="1805">
        <f t="shared" si="14"/>
        <v>100</v>
      </c>
      <c r="X31" s="1743"/>
      <c r="Y31" s="3199"/>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6"/>
      <c r="Q32" s="1803">
        <f t="shared" si="11"/>
        <v>111</v>
      </c>
      <c r="R32" s="1804" t="s">
        <v>14</v>
      </c>
      <c r="S32" s="1805">
        <f t="shared" si="12"/>
        <v>100</v>
      </c>
      <c r="T32" s="1804" t="s">
        <v>14</v>
      </c>
      <c r="U32" s="1805">
        <f t="shared" si="13"/>
        <v>100</v>
      </c>
      <c r="V32" s="1804" t="s">
        <v>14</v>
      </c>
      <c r="W32" s="1805">
        <f t="shared" si="14"/>
        <v>100</v>
      </c>
      <c r="X32" s="1743"/>
      <c r="Y32" s="3199"/>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0" t="s">
        <v>1924</v>
      </c>
      <c r="Q33" s="1803" t="str">
        <f t="shared" si="11"/>
        <v>建筑类型</v>
      </c>
      <c r="R33" s="1804" t="s">
        <v>14</v>
      </c>
      <c r="S33" s="1805">
        <f t="shared" si="12"/>
        <v>100</v>
      </c>
      <c r="T33" s="1804" t="s">
        <v>14</v>
      </c>
      <c r="U33" s="1805">
        <f t="shared" si="13"/>
        <v>100</v>
      </c>
      <c r="V33" s="1804" t="s">
        <v>14</v>
      </c>
      <c r="W33" s="1805">
        <f t="shared" si="14"/>
        <v>100</v>
      </c>
      <c r="X33" s="1743"/>
      <c r="Y33" s="3203"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1"/>
      <c r="Q34" s="1839" t="str">
        <f t="shared" si="11"/>
        <v>项目建筑规模</v>
      </c>
      <c r="R34" s="1840" t="s">
        <v>14</v>
      </c>
      <c r="S34" s="1841" t="e">
        <f t="shared" si="12"/>
        <v>#N/A</v>
      </c>
      <c r="T34" s="1840" t="s">
        <v>14</v>
      </c>
      <c r="U34" s="1841" t="e">
        <f t="shared" si="13"/>
        <v>#N/A</v>
      </c>
      <c r="V34" s="1840" t="s">
        <v>14</v>
      </c>
      <c r="W34" s="1841" t="e">
        <f t="shared" si="14"/>
        <v>#N/A</v>
      </c>
      <c r="X34" s="1842"/>
      <c r="Y34" s="3203"/>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1"/>
      <c r="Q35" s="1803" t="str">
        <f t="shared" si="11"/>
        <v>建筑结构</v>
      </c>
      <c r="R35" s="1804" t="s">
        <v>14</v>
      </c>
      <c r="S35" s="1805">
        <f t="shared" si="12"/>
        <v>100</v>
      </c>
      <c r="T35" s="1804" t="s">
        <v>14</v>
      </c>
      <c r="U35" s="1805">
        <f t="shared" si="13"/>
        <v>100</v>
      </c>
      <c r="V35" s="1804" t="s">
        <v>14</v>
      </c>
      <c r="W35" s="1805">
        <f t="shared" si="14"/>
        <v>100</v>
      </c>
      <c r="X35" s="1743"/>
      <c r="Y35" s="3203"/>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1"/>
      <c r="Q36" s="1803" t="str">
        <f t="shared" si="11"/>
        <v>公共部分装修</v>
      </c>
      <c r="R36" s="1804" t="s">
        <v>14</v>
      </c>
      <c r="S36" s="1805">
        <f t="shared" si="12"/>
        <v>100</v>
      </c>
      <c r="T36" s="1804" t="s">
        <v>14</v>
      </c>
      <c r="U36" s="1805">
        <f t="shared" si="13"/>
        <v>100</v>
      </c>
      <c r="V36" s="1804" t="s">
        <v>14</v>
      </c>
      <c r="W36" s="1805">
        <f t="shared" si="14"/>
        <v>100</v>
      </c>
      <c r="X36" s="1743"/>
      <c r="Y36" s="3203"/>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1"/>
      <c r="Q37" s="1803" t="str">
        <f t="shared" si="11"/>
        <v>成新度</v>
      </c>
      <c r="R37" s="1804" t="s">
        <v>14</v>
      </c>
      <c r="S37" s="1805" t="e">
        <f t="shared" si="12"/>
        <v>#N/A</v>
      </c>
      <c r="T37" s="1804" t="s">
        <v>14</v>
      </c>
      <c r="U37" s="1805" t="e">
        <f t="shared" si="13"/>
        <v>#N/A</v>
      </c>
      <c r="V37" s="1804" t="s">
        <v>14</v>
      </c>
      <c r="W37" s="1805" t="e">
        <f t="shared" si="14"/>
        <v>#N/A</v>
      </c>
      <c r="X37" s="1743"/>
      <c r="Y37" s="3203"/>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1"/>
      <c r="Q38" s="1769" t="str">
        <f t="shared" si="11"/>
        <v>写字楼等级</v>
      </c>
      <c r="R38" s="463" t="s">
        <v>14</v>
      </c>
      <c r="S38" s="1758">
        <f t="shared" si="12"/>
        <v>100</v>
      </c>
      <c r="T38" s="463" t="s">
        <v>14</v>
      </c>
      <c r="U38" s="1758">
        <f t="shared" si="13"/>
        <v>100</v>
      </c>
      <c r="V38" s="463" t="s">
        <v>14</v>
      </c>
      <c r="W38" s="1758">
        <f t="shared" si="14"/>
        <v>100</v>
      </c>
      <c r="X38" s="1759"/>
      <c r="Y38" s="3203"/>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1" t="s">
        <v>1924</v>
      </c>
      <c r="Q39" s="1803" t="str">
        <f t="shared" si="11"/>
        <v>物业管理</v>
      </c>
      <c r="R39" s="1804" t="s">
        <v>14</v>
      </c>
      <c r="S39" s="1805">
        <f t="shared" si="12"/>
        <v>100</v>
      </c>
      <c r="T39" s="1804" t="s">
        <v>14</v>
      </c>
      <c r="U39" s="1805">
        <f t="shared" si="13"/>
        <v>100</v>
      </c>
      <c r="V39" s="1804" t="s">
        <v>14</v>
      </c>
      <c r="W39" s="1805">
        <f t="shared" si="14"/>
        <v>100</v>
      </c>
      <c r="X39" s="1743"/>
      <c r="Y39" s="3203"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1"/>
      <c r="Q40" s="1803" t="str">
        <f t="shared" si="11"/>
        <v>市政基础设施</v>
      </c>
      <c r="R40" s="1804" t="s">
        <v>14</v>
      </c>
      <c r="S40" s="1805">
        <f t="shared" si="12"/>
        <v>100</v>
      </c>
      <c r="T40" s="1804" t="s">
        <v>14</v>
      </c>
      <c r="U40" s="1805">
        <f t="shared" si="13"/>
        <v>100</v>
      </c>
      <c r="V40" s="1804" t="s">
        <v>14</v>
      </c>
      <c r="W40" s="1805">
        <f t="shared" si="14"/>
        <v>100</v>
      </c>
      <c r="X40" s="1743"/>
      <c r="Y40" s="3203"/>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1"/>
      <c r="Q41" s="1803" t="str">
        <f t="shared" si="11"/>
        <v>层高</v>
      </c>
      <c r="R41" s="1804" t="s">
        <v>14</v>
      </c>
      <c r="S41" s="1805">
        <f t="shared" si="12"/>
        <v>100</v>
      </c>
      <c r="T41" s="1804" t="s">
        <v>14</v>
      </c>
      <c r="U41" s="1805">
        <f t="shared" si="13"/>
        <v>100</v>
      </c>
      <c r="V41" s="1804" t="s">
        <v>14</v>
      </c>
      <c r="W41" s="1805">
        <f t="shared" si="14"/>
        <v>100</v>
      </c>
      <c r="X41" s="1743"/>
      <c r="Y41" s="3203"/>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1"/>
      <c r="Q42" s="1839" t="str">
        <f t="shared" si="11"/>
        <v>单套建筑面积</v>
      </c>
      <c r="R42" s="1840" t="s">
        <v>14</v>
      </c>
      <c r="S42" s="1841">
        <f t="shared" si="12"/>
        <v>100</v>
      </c>
      <c r="T42" s="1840" t="s">
        <v>14</v>
      </c>
      <c r="U42" s="1841">
        <f t="shared" si="13"/>
        <v>100</v>
      </c>
      <c r="V42" s="1840" t="s">
        <v>14</v>
      </c>
      <c r="W42" s="1841">
        <f t="shared" si="14"/>
        <v>100</v>
      </c>
      <c r="X42" s="1842"/>
      <c r="Y42" s="3203"/>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1"/>
      <c r="Q43" s="1803" t="str">
        <f t="shared" si="11"/>
        <v>内部装修</v>
      </c>
      <c r="R43" s="1804" t="s">
        <v>14</v>
      </c>
      <c r="S43" s="1805">
        <f t="shared" si="12"/>
        <v>100</v>
      </c>
      <c r="T43" s="1804" t="s">
        <v>14</v>
      </c>
      <c r="U43" s="1805">
        <f t="shared" si="13"/>
        <v>100</v>
      </c>
      <c r="V43" s="1804" t="s">
        <v>14</v>
      </c>
      <c r="W43" s="1805">
        <f t="shared" si="14"/>
        <v>100</v>
      </c>
      <c r="X43" s="1743"/>
      <c r="Y43" s="3203"/>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1"/>
      <c r="Q44" s="1803" t="str">
        <f t="shared" si="11"/>
        <v>内部装修维护情况</v>
      </c>
      <c r="R44" s="1804" t="s">
        <v>14</v>
      </c>
      <c r="S44" s="1805">
        <f t="shared" si="12"/>
        <v>100</v>
      </c>
      <c r="T44" s="1804" t="s">
        <v>14</v>
      </c>
      <c r="U44" s="1805">
        <f t="shared" si="13"/>
        <v>100</v>
      </c>
      <c r="V44" s="1804" t="s">
        <v>14</v>
      </c>
      <c r="W44" s="1805">
        <f t="shared" si="14"/>
        <v>100</v>
      </c>
      <c r="X44" s="1743"/>
      <c r="Y44" s="3203"/>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1"/>
      <c r="Q45" s="1769">
        <f t="shared" si="11"/>
        <v>111</v>
      </c>
      <c r="R45" s="463" t="s">
        <v>14</v>
      </c>
      <c r="S45" s="1758">
        <f t="shared" si="12"/>
        <v>100</v>
      </c>
      <c r="T45" s="463" t="s">
        <v>14</v>
      </c>
      <c r="U45" s="1758">
        <f t="shared" si="13"/>
        <v>100</v>
      </c>
      <c r="V45" s="463" t="s">
        <v>14</v>
      </c>
      <c r="W45" s="1758">
        <f t="shared" si="14"/>
        <v>100</v>
      </c>
      <c r="X45" s="1759"/>
      <c r="Y45" s="3203"/>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1"/>
      <c r="Q46" s="1803">
        <f t="shared" si="11"/>
        <v>111</v>
      </c>
      <c r="R46" s="1804" t="s">
        <v>14</v>
      </c>
      <c r="S46" s="1805">
        <f t="shared" si="12"/>
        <v>100</v>
      </c>
      <c r="T46" s="1804" t="s">
        <v>14</v>
      </c>
      <c r="U46" s="1805">
        <f t="shared" si="13"/>
        <v>100</v>
      </c>
      <c r="V46" s="1804" t="s">
        <v>14</v>
      </c>
      <c r="W46" s="1805">
        <f t="shared" si="14"/>
        <v>100</v>
      </c>
      <c r="X46" s="1743"/>
      <c r="Y46" s="3203"/>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2"/>
      <c r="Q47" s="1803">
        <f t="shared" si="11"/>
        <v>111</v>
      </c>
      <c r="R47" s="1804" t="s">
        <v>14</v>
      </c>
      <c r="S47" s="1805">
        <f t="shared" si="12"/>
        <v>100</v>
      </c>
      <c r="T47" s="1804" t="s">
        <v>14</v>
      </c>
      <c r="U47" s="1805">
        <f t="shared" si="13"/>
        <v>100</v>
      </c>
      <c r="V47" s="1804" t="s">
        <v>14</v>
      </c>
      <c r="W47" s="1805">
        <f t="shared" si="14"/>
        <v>100</v>
      </c>
      <c r="X47" s="1743"/>
      <c r="Y47" s="3204"/>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7" t="str">
        <f>A48</f>
        <v>成交单价（元/平方米）</v>
      </c>
      <c r="Q48" s="3196"/>
      <c r="R48" s="3197">
        <f>E48</f>
        <v>0</v>
      </c>
      <c r="S48" s="3197"/>
      <c r="T48" s="3197">
        <f>G48</f>
        <v>0</v>
      </c>
      <c r="U48" s="3197"/>
      <c r="V48" s="3197">
        <f>I48</f>
        <v>0</v>
      </c>
      <c r="W48" s="3197"/>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7" t="str">
        <f>A49</f>
        <v>比较价值（元/平方米）</v>
      </c>
      <c r="Q49" s="3196"/>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38" t="str">
        <f>A50</f>
        <v>估价对象XX用房的比较价值（楼面单价，元/平方米）</v>
      </c>
      <c r="Q50" s="3239"/>
      <c r="R50" s="3240" t="e">
        <f>IF(F1="售价",ROUND(IF(D49="简单平均",AVERAGE(R49:V49),R49*F49+T49*H49+V49*J49),0),ROUND(IF(D49="简单平均",AVERAGE(R49:V49),R49*F49+T49*H49+V49*J49),1))</f>
        <v>#DIV/0!</v>
      </c>
      <c r="S50" s="3240"/>
      <c r="T50" s="3240"/>
      <c r="U50" s="3240"/>
      <c r="V50" s="3240"/>
      <c r="W50" s="3240"/>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1" t="s">
        <v>2005</v>
      </c>
      <c r="D4" s="3212"/>
      <c r="E4" s="3213" t="s">
        <v>2006</v>
      </c>
      <c r="F4" s="3214"/>
      <c r="G4" s="3211" t="s">
        <v>2007</v>
      </c>
      <c r="H4" s="3212"/>
      <c r="I4" s="3211" t="s">
        <v>2008</v>
      </c>
      <c r="J4" s="3212"/>
      <c r="K4" s="2042" t="s">
        <v>2009</v>
      </c>
      <c r="L4" s="2108"/>
      <c r="M4" s="2109"/>
      <c r="N4" s="2109"/>
      <c r="O4" s="2109"/>
      <c r="P4" s="3215" t="s">
        <v>2010</v>
      </c>
      <c r="Q4" s="3216"/>
      <c r="R4" s="3221" t="s">
        <v>2006</v>
      </c>
      <c r="S4" s="3222"/>
      <c r="T4" s="3221" t="s">
        <v>2007</v>
      </c>
      <c r="U4" s="3222"/>
      <c r="V4" s="3197" t="s">
        <v>2008</v>
      </c>
      <c r="W4" s="3197"/>
      <c r="X4" s="1743"/>
      <c r="Y4" s="3221" t="s">
        <v>2010</v>
      </c>
      <c r="Z4" s="3222"/>
      <c r="AA4" s="3208" t="s">
        <v>2006</v>
      </c>
      <c r="AB4" s="3209" t="s">
        <v>2007</v>
      </c>
      <c r="AC4" s="3208" t="s">
        <v>2008</v>
      </c>
    </row>
    <row r="5" spans="1:29" ht="15">
      <c r="A5" s="1745"/>
      <c r="B5" s="1746"/>
      <c r="C5" s="3229" t="s">
        <v>1901</v>
      </c>
      <c r="D5" s="3230"/>
      <c r="E5" s="3236" t="s">
        <v>1902</v>
      </c>
      <c r="F5" s="3237"/>
      <c r="G5" s="3229" t="s">
        <v>1903</v>
      </c>
      <c r="H5" s="3230"/>
      <c r="I5" s="3229" t="s">
        <v>1904</v>
      </c>
      <c r="J5" s="3230"/>
      <c r="K5" s="2042"/>
      <c r="L5" s="2108"/>
      <c r="M5" s="2109"/>
      <c r="N5" s="2109"/>
      <c r="O5" s="2109"/>
      <c r="P5" s="3217"/>
      <c r="Q5" s="3218"/>
      <c r="R5" s="3223"/>
      <c r="S5" s="3224"/>
      <c r="T5" s="3223"/>
      <c r="U5" s="3224"/>
      <c r="V5" s="3197"/>
      <c r="W5" s="3197"/>
      <c r="X5" s="1743"/>
      <c r="Y5" s="3223"/>
      <c r="Z5" s="3224"/>
      <c r="AA5" s="3209"/>
      <c r="AB5" s="3209"/>
      <c r="AC5" s="3209"/>
    </row>
    <row r="6" spans="1:29" ht="15.75" thickBot="1">
      <c r="A6" s="1748"/>
      <c r="B6" s="1749"/>
      <c r="C6" s="3227" t="s">
        <v>1905</v>
      </c>
      <c r="D6" s="3228"/>
      <c r="E6" s="3234" t="s">
        <v>1905</v>
      </c>
      <c r="F6" s="3235"/>
      <c r="G6" s="3227" t="s">
        <v>1905</v>
      </c>
      <c r="H6" s="3228"/>
      <c r="I6" s="3227" t="s">
        <v>1905</v>
      </c>
      <c r="J6" s="3228"/>
      <c r="K6" s="2042" t="s">
        <v>1906</v>
      </c>
      <c r="L6" s="2108"/>
      <c r="M6" s="2109"/>
      <c r="N6" s="2109"/>
      <c r="O6" s="2109"/>
      <c r="P6" s="3219"/>
      <c r="Q6" s="3220"/>
      <c r="R6" s="3223"/>
      <c r="S6" s="3224"/>
      <c r="T6" s="3225"/>
      <c r="U6" s="3226"/>
      <c r="V6" s="3197"/>
      <c r="W6" s="3197"/>
      <c r="X6" s="1743"/>
      <c r="Y6" s="3225"/>
      <c r="Z6" s="3226"/>
      <c r="AA6" s="3210"/>
      <c r="AB6" s="3210"/>
      <c r="AC6" s="3210"/>
    </row>
    <row r="7" spans="1:29" s="1760" customFormat="1" ht="15.75" thickBot="1">
      <c r="A7" s="1750" t="s">
        <v>1907</v>
      </c>
      <c r="B7" s="1751"/>
      <c r="C7" s="1752">
        <f>'数据-取费表'!B2</f>
        <v>44784</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1" t="s">
        <v>1908</v>
      </c>
      <c r="Q7" s="3233"/>
      <c r="R7" s="463" t="s">
        <v>14</v>
      </c>
      <c r="S7" s="1758">
        <f t="shared" ref="S7:S15" si="0">F7</f>
        <v>0</v>
      </c>
      <c r="T7" s="463" t="s">
        <v>14</v>
      </c>
      <c r="U7" s="1758">
        <f t="shared" ref="U7:U15" si="1">H7</f>
        <v>0</v>
      </c>
      <c r="V7" s="463" t="s">
        <v>14</v>
      </c>
      <c r="W7" s="1758">
        <f t="shared" ref="W7:W15" si="2">J7</f>
        <v>0</v>
      </c>
      <c r="X7" s="1759"/>
      <c r="Y7" s="3231" t="s">
        <v>1908</v>
      </c>
      <c r="Z7" s="3232"/>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1" t="s">
        <v>1911</v>
      </c>
      <c r="Q8" s="3232"/>
      <c r="R8" s="463" t="s">
        <v>14</v>
      </c>
      <c r="S8" s="1758">
        <f t="shared" si="0"/>
        <v>0</v>
      </c>
      <c r="T8" s="463" t="s">
        <v>14</v>
      </c>
      <c r="U8" s="1758">
        <f t="shared" si="1"/>
        <v>0</v>
      </c>
      <c r="V8" s="463" t="s">
        <v>14</v>
      </c>
      <c r="W8" s="1758">
        <f t="shared" si="2"/>
        <v>0</v>
      </c>
      <c r="X8" s="1759"/>
      <c r="Y8" s="3231" t="s">
        <v>1911</v>
      </c>
      <c r="Z8" s="3232"/>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6" t="s">
        <v>1914</v>
      </c>
      <c r="Q9" s="1769" t="str">
        <f t="shared" ref="Q9:Q15" si="6">B9</f>
        <v>用途</v>
      </c>
      <c r="R9" s="463" t="s">
        <v>14</v>
      </c>
      <c r="S9" s="1758">
        <f t="shared" si="0"/>
        <v>100</v>
      </c>
      <c r="T9" s="463" t="s">
        <v>14</v>
      </c>
      <c r="U9" s="1758">
        <f t="shared" si="1"/>
        <v>100</v>
      </c>
      <c r="V9" s="463" t="s">
        <v>14</v>
      </c>
      <c r="W9" s="1758">
        <f t="shared" si="2"/>
        <v>100</v>
      </c>
      <c r="X9" s="1759"/>
      <c r="Y9" s="307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6"/>
      <c r="Q10" s="1769" t="str">
        <f t="shared" si="6"/>
        <v>土地使用年限（年）</v>
      </c>
      <c r="R10" s="463" t="s">
        <v>14</v>
      </c>
      <c r="S10" s="1758">
        <f t="shared" si="0"/>
        <v>100</v>
      </c>
      <c r="T10" s="463" t="s">
        <v>14</v>
      </c>
      <c r="U10" s="1758">
        <f t="shared" si="1"/>
        <v>100</v>
      </c>
      <c r="V10" s="463" t="s">
        <v>14</v>
      </c>
      <c r="W10" s="1758">
        <f t="shared" si="2"/>
        <v>100</v>
      </c>
      <c r="X10" s="1759"/>
      <c r="Y10" s="3076"/>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6"/>
      <c r="Q11" s="1769" t="str">
        <f t="shared" si="6"/>
        <v>容积率</v>
      </c>
      <c r="R11" s="463" t="s">
        <v>14</v>
      </c>
      <c r="S11" s="1758" t="e">
        <f t="shared" si="0"/>
        <v>#N/A</v>
      </c>
      <c r="T11" s="463" t="s">
        <v>14</v>
      </c>
      <c r="U11" s="1758" t="e">
        <f t="shared" si="1"/>
        <v>#N/A</v>
      </c>
      <c r="V11" s="463" t="s">
        <v>14</v>
      </c>
      <c r="W11" s="1758" t="e">
        <f t="shared" si="2"/>
        <v>#N/A</v>
      </c>
      <c r="X11" s="1759"/>
      <c r="Y11" s="307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6"/>
      <c r="Q12" s="1769">
        <f t="shared" si="6"/>
        <v>111</v>
      </c>
      <c r="R12" s="463" t="s">
        <v>14</v>
      </c>
      <c r="S12" s="1758">
        <f t="shared" si="0"/>
        <v>100</v>
      </c>
      <c r="T12" s="463" t="s">
        <v>14</v>
      </c>
      <c r="U12" s="1758">
        <f t="shared" si="1"/>
        <v>100</v>
      </c>
      <c r="V12" s="463" t="s">
        <v>14</v>
      </c>
      <c r="W12" s="1758">
        <f t="shared" si="2"/>
        <v>100</v>
      </c>
      <c r="X12" s="1759"/>
      <c r="Y12" s="3076"/>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6"/>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6"/>
      <c r="Q14" s="1769">
        <f t="shared" si="6"/>
        <v>111</v>
      </c>
      <c r="R14" s="463" t="s">
        <v>14</v>
      </c>
      <c r="S14" s="1758">
        <f t="shared" si="0"/>
        <v>100</v>
      </c>
      <c r="T14" s="463" t="s">
        <v>14</v>
      </c>
      <c r="U14" s="1758">
        <f t="shared" si="1"/>
        <v>100</v>
      </c>
      <c r="V14" s="463" t="s">
        <v>14</v>
      </c>
      <c r="W14" s="1758">
        <f t="shared" si="2"/>
        <v>100</v>
      </c>
      <c r="X14" s="1759"/>
      <c r="Y14" s="3076"/>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198" t="s">
        <v>1919</v>
      </c>
      <c r="Q15" s="1803" t="str">
        <f t="shared" si="6"/>
        <v>产业集聚程度</v>
      </c>
      <c r="R15" s="1804" t="s">
        <v>14</v>
      </c>
      <c r="S15" s="1805">
        <f t="shared" si="0"/>
        <v>100</v>
      </c>
      <c r="T15" s="1804" t="s">
        <v>14</v>
      </c>
      <c r="U15" s="1805">
        <f t="shared" si="1"/>
        <v>100</v>
      </c>
      <c r="V15" s="1804" t="s">
        <v>14</v>
      </c>
      <c r="W15" s="1805">
        <f t="shared" si="2"/>
        <v>100</v>
      </c>
      <c r="X15" s="1743"/>
      <c r="Y15" s="3198"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199"/>
      <c r="Q16" s="1803"/>
      <c r="R16" s="1804"/>
      <c r="S16" s="1805"/>
      <c r="T16" s="1804"/>
      <c r="U16" s="1805"/>
      <c r="V16" s="1804"/>
      <c r="W16" s="1805"/>
      <c r="X16" s="1743"/>
      <c r="Y16" s="3199"/>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199"/>
      <c r="Q17" s="1803" t="str">
        <f>B17</f>
        <v>交通便捷度</v>
      </c>
      <c r="R17" s="1804" t="s">
        <v>14</v>
      </c>
      <c r="S17" s="1805">
        <f>F17</f>
        <v>100</v>
      </c>
      <c r="T17" s="1804" t="s">
        <v>14</v>
      </c>
      <c r="U17" s="1805">
        <f>H17</f>
        <v>100</v>
      </c>
      <c r="V17" s="1804" t="s">
        <v>14</v>
      </c>
      <c r="W17" s="1805">
        <f>J17</f>
        <v>100</v>
      </c>
      <c r="X17" s="1743"/>
      <c r="Y17" s="3199"/>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199"/>
      <c r="Q18" s="1803"/>
      <c r="R18" s="1804"/>
      <c r="S18" s="1805"/>
      <c r="T18" s="1804"/>
      <c r="U18" s="1805"/>
      <c r="V18" s="1804"/>
      <c r="W18" s="1805"/>
      <c r="X18" s="1743"/>
      <c r="Y18" s="3199"/>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199"/>
      <c r="Q19" s="1803" t="str">
        <f>B19</f>
        <v>公共配套设施</v>
      </c>
      <c r="R19" s="1804" t="s">
        <v>14</v>
      </c>
      <c r="S19" s="1805">
        <f>F19</f>
        <v>100</v>
      </c>
      <c r="T19" s="1804" t="s">
        <v>14</v>
      </c>
      <c r="U19" s="1805">
        <f>H19</f>
        <v>100</v>
      </c>
      <c r="V19" s="1804" t="s">
        <v>14</v>
      </c>
      <c r="W19" s="1805">
        <f>J19</f>
        <v>100</v>
      </c>
      <c r="X19" s="1743"/>
      <c r="Y19" s="3199"/>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199"/>
      <c r="Q20" s="1803"/>
      <c r="R20" s="1804"/>
      <c r="S20" s="1805"/>
      <c r="T20" s="1804"/>
      <c r="U20" s="1805"/>
      <c r="V20" s="1804"/>
      <c r="W20" s="1805"/>
      <c r="X20" s="1743"/>
      <c r="Y20" s="3199"/>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199"/>
      <c r="Q21" s="1803" t="str">
        <f>B21</f>
        <v>基础设施水平</v>
      </c>
      <c r="R21" s="1804" t="s">
        <v>14</v>
      </c>
      <c r="S21" s="1805">
        <f>F21</f>
        <v>100</v>
      </c>
      <c r="T21" s="1804" t="s">
        <v>14</v>
      </c>
      <c r="U21" s="1805">
        <f>H21</f>
        <v>100</v>
      </c>
      <c r="V21" s="1804" t="s">
        <v>14</v>
      </c>
      <c r="W21" s="1805">
        <f>J21</f>
        <v>100</v>
      </c>
      <c r="X21" s="1743"/>
      <c r="Y21" s="319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199"/>
      <c r="Q22" s="1803"/>
      <c r="R22" s="1804"/>
      <c r="S22" s="1805"/>
      <c r="T22" s="1804"/>
      <c r="U22" s="1805"/>
      <c r="V22" s="1804"/>
      <c r="W22" s="1805"/>
      <c r="X22" s="1743"/>
      <c r="Y22" s="3199"/>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199"/>
      <c r="Q23" s="1803" t="str">
        <f>B23</f>
        <v>环境质量</v>
      </c>
      <c r="R23" s="1804" t="s">
        <v>14</v>
      </c>
      <c r="S23" s="1805">
        <f>F23</f>
        <v>100</v>
      </c>
      <c r="T23" s="1804" t="s">
        <v>14</v>
      </c>
      <c r="U23" s="1805">
        <f>H23</f>
        <v>100</v>
      </c>
      <c r="V23" s="1804" t="s">
        <v>14</v>
      </c>
      <c r="W23" s="1805">
        <f>J23</f>
        <v>100</v>
      </c>
      <c r="X23" s="1743"/>
      <c r="Y23" s="3199"/>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199"/>
      <c r="Q24" s="1803"/>
      <c r="R24" s="1804"/>
      <c r="S24" s="1805"/>
      <c r="T24" s="1804"/>
      <c r="U24" s="1805"/>
      <c r="V24" s="1804"/>
      <c r="W24" s="1805"/>
      <c r="X24" s="1743"/>
      <c r="Y24" s="3199"/>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199"/>
      <c r="Q25" s="1803">
        <f>B25</f>
        <v>111</v>
      </c>
      <c r="R25" s="1804" t="s">
        <v>14</v>
      </c>
      <c r="S25" s="1805">
        <f>F25</f>
        <v>100</v>
      </c>
      <c r="T25" s="1804" t="s">
        <v>14</v>
      </c>
      <c r="U25" s="1805">
        <f>H25</f>
        <v>100</v>
      </c>
      <c r="V25" s="1804" t="s">
        <v>14</v>
      </c>
      <c r="W25" s="1805">
        <f>J25</f>
        <v>100</v>
      </c>
      <c r="X25" s="1743"/>
      <c r="Y25" s="3199"/>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199"/>
      <c r="Q26" s="1803">
        <f t="shared" ref="Q26:Q40" si="11">B26</f>
        <v>111</v>
      </c>
      <c r="R26" s="1804" t="s">
        <v>14</v>
      </c>
      <c r="S26" s="1805">
        <f>F26</f>
        <v>100</v>
      </c>
      <c r="T26" s="1804" t="s">
        <v>14</v>
      </c>
      <c r="U26" s="1805">
        <f>H26</f>
        <v>100</v>
      </c>
      <c r="V26" s="1804" t="s">
        <v>14</v>
      </c>
      <c r="W26" s="1805">
        <f>J26</f>
        <v>100</v>
      </c>
      <c r="X26" s="1743"/>
      <c r="Y26" s="3199"/>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199"/>
      <c r="Q27" s="1769">
        <f t="shared" si="11"/>
        <v>111</v>
      </c>
      <c r="R27" s="463" t="s">
        <v>14</v>
      </c>
      <c r="S27" s="1758">
        <f>F27</f>
        <v>100</v>
      </c>
      <c r="T27" s="463" t="s">
        <v>14</v>
      </c>
      <c r="U27" s="1758">
        <f>H27</f>
        <v>100</v>
      </c>
      <c r="V27" s="463" t="s">
        <v>14</v>
      </c>
      <c r="W27" s="1758">
        <f>J27</f>
        <v>100</v>
      </c>
      <c r="X27" s="1759"/>
      <c r="Y27" s="3199"/>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199"/>
      <c r="Q28" s="1803">
        <f t="shared" si="11"/>
        <v>111</v>
      </c>
      <c r="R28" s="1804" t="s">
        <v>14</v>
      </c>
      <c r="S28" s="1805">
        <f t="shared" ref="S28:S40" si="12">F28</f>
        <v>100</v>
      </c>
      <c r="T28" s="1804" t="s">
        <v>14</v>
      </c>
      <c r="U28" s="1805">
        <f t="shared" ref="U28:U40" si="13">H28</f>
        <v>100</v>
      </c>
      <c r="V28" s="1804" t="s">
        <v>14</v>
      </c>
      <c r="W28" s="1805">
        <f t="shared" ref="W28:W40" si="14">J28</f>
        <v>100</v>
      </c>
      <c r="X28" s="1743"/>
      <c r="Y28" s="3199"/>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3" t="s">
        <v>1924</v>
      </c>
      <c r="Q29" s="1803" t="str">
        <f t="shared" si="11"/>
        <v>建筑类型</v>
      </c>
      <c r="R29" s="1804" t="s">
        <v>14</v>
      </c>
      <c r="S29" s="1805">
        <f t="shared" si="12"/>
        <v>100</v>
      </c>
      <c r="T29" s="1804" t="s">
        <v>14</v>
      </c>
      <c r="U29" s="1805">
        <f t="shared" si="13"/>
        <v>100</v>
      </c>
      <c r="V29" s="1804" t="s">
        <v>14</v>
      </c>
      <c r="W29" s="1805">
        <f t="shared" si="14"/>
        <v>100</v>
      </c>
      <c r="X29" s="1743"/>
      <c r="Y29" s="3203"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3"/>
      <c r="Q30" s="1839" t="str">
        <f t="shared" si="11"/>
        <v>项目建筑规模</v>
      </c>
      <c r="R30" s="1840" t="s">
        <v>14</v>
      </c>
      <c r="S30" s="1841" t="e">
        <f t="shared" si="12"/>
        <v>#N/A</v>
      </c>
      <c r="T30" s="1840" t="s">
        <v>14</v>
      </c>
      <c r="U30" s="1841" t="e">
        <f t="shared" si="13"/>
        <v>#N/A</v>
      </c>
      <c r="V30" s="1840" t="s">
        <v>14</v>
      </c>
      <c r="W30" s="1841" t="e">
        <f t="shared" si="14"/>
        <v>#N/A</v>
      </c>
      <c r="X30" s="1842"/>
      <c r="Y30" s="3203"/>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3"/>
      <c r="Q31" s="1803" t="str">
        <f t="shared" si="11"/>
        <v>建筑结构</v>
      </c>
      <c r="R31" s="1804" t="s">
        <v>14</v>
      </c>
      <c r="S31" s="1805">
        <f t="shared" si="12"/>
        <v>100</v>
      </c>
      <c r="T31" s="1804" t="s">
        <v>14</v>
      </c>
      <c r="U31" s="1805">
        <f t="shared" si="13"/>
        <v>100</v>
      </c>
      <c r="V31" s="1804" t="s">
        <v>14</v>
      </c>
      <c r="W31" s="1805">
        <f t="shared" si="14"/>
        <v>100</v>
      </c>
      <c r="X31" s="1743"/>
      <c r="Y31" s="3203"/>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3"/>
      <c r="Q32" s="1803" t="str">
        <f t="shared" si="11"/>
        <v>公共部分装修</v>
      </c>
      <c r="R32" s="1804" t="s">
        <v>14</v>
      </c>
      <c r="S32" s="1805">
        <f t="shared" si="12"/>
        <v>100</v>
      </c>
      <c r="T32" s="1804" t="s">
        <v>14</v>
      </c>
      <c r="U32" s="1805">
        <f t="shared" si="13"/>
        <v>100</v>
      </c>
      <c r="V32" s="1804" t="s">
        <v>14</v>
      </c>
      <c r="W32" s="1805">
        <f t="shared" si="14"/>
        <v>100</v>
      </c>
      <c r="X32" s="1743"/>
      <c r="Y32" s="3203"/>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3"/>
      <c r="Q33" s="1803" t="str">
        <f t="shared" si="11"/>
        <v>成新度</v>
      </c>
      <c r="R33" s="1804" t="s">
        <v>14</v>
      </c>
      <c r="S33" s="1805" t="e">
        <f t="shared" si="12"/>
        <v>#N/A</v>
      </c>
      <c r="T33" s="1804" t="s">
        <v>14</v>
      </c>
      <c r="U33" s="1805" t="e">
        <f t="shared" si="13"/>
        <v>#N/A</v>
      </c>
      <c r="V33" s="1804" t="s">
        <v>14</v>
      </c>
      <c r="W33" s="1805" t="e">
        <f t="shared" si="14"/>
        <v>#N/A</v>
      </c>
      <c r="X33" s="1743"/>
      <c r="Y33" s="3203"/>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3"/>
      <c r="Q34" s="1769" t="str">
        <f t="shared" si="11"/>
        <v>物业管理</v>
      </c>
      <c r="R34" s="463" t="s">
        <v>14</v>
      </c>
      <c r="S34" s="1758">
        <f t="shared" si="12"/>
        <v>100</v>
      </c>
      <c r="T34" s="463" t="s">
        <v>14</v>
      </c>
      <c r="U34" s="1758">
        <f t="shared" si="13"/>
        <v>100</v>
      </c>
      <c r="V34" s="463" t="s">
        <v>14</v>
      </c>
      <c r="W34" s="1758">
        <f t="shared" si="14"/>
        <v>100</v>
      </c>
      <c r="X34" s="1759"/>
      <c r="Y34" s="3203"/>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3" t="s">
        <v>1924</v>
      </c>
      <c r="Q35" s="1803" t="str">
        <f t="shared" si="11"/>
        <v>市政基础设施</v>
      </c>
      <c r="R35" s="1804" t="s">
        <v>14</v>
      </c>
      <c r="S35" s="1805">
        <f t="shared" si="12"/>
        <v>100</v>
      </c>
      <c r="T35" s="1804" t="s">
        <v>14</v>
      </c>
      <c r="U35" s="1805">
        <f t="shared" si="13"/>
        <v>100</v>
      </c>
      <c r="V35" s="1804" t="s">
        <v>14</v>
      </c>
      <c r="W35" s="1805">
        <f t="shared" si="14"/>
        <v>100</v>
      </c>
      <c r="X35" s="1743"/>
      <c r="Y35" s="3203"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3"/>
      <c r="Q36" s="1803" t="str">
        <f t="shared" si="11"/>
        <v>内部装修</v>
      </c>
      <c r="R36" s="1804" t="s">
        <v>14</v>
      </c>
      <c r="S36" s="1805">
        <f t="shared" si="12"/>
        <v>100</v>
      </c>
      <c r="T36" s="1804" t="s">
        <v>14</v>
      </c>
      <c r="U36" s="1805">
        <f t="shared" si="13"/>
        <v>100</v>
      </c>
      <c r="V36" s="1804" t="s">
        <v>14</v>
      </c>
      <c r="W36" s="1805">
        <f t="shared" si="14"/>
        <v>100</v>
      </c>
      <c r="X36" s="1743"/>
      <c r="Y36" s="3203"/>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3"/>
      <c r="Q37" s="1803" t="str">
        <f t="shared" si="11"/>
        <v>内部装修状况</v>
      </c>
      <c r="R37" s="1804" t="s">
        <v>14</v>
      </c>
      <c r="S37" s="1805">
        <f t="shared" si="12"/>
        <v>100</v>
      </c>
      <c r="T37" s="1804" t="s">
        <v>14</v>
      </c>
      <c r="U37" s="1805">
        <f t="shared" si="13"/>
        <v>100</v>
      </c>
      <c r="V37" s="1804" t="s">
        <v>14</v>
      </c>
      <c r="W37" s="1805">
        <f t="shared" si="14"/>
        <v>100</v>
      </c>
      <c r="X37" s="1743"/>
      <c r="Y37" s="3203"/>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3"/>
      <c r="Q38" s="1839">
        <f t="shared" si="11"/>
        <v>111</v>
      </c>
      <c r="R38" s="1840" t="s">
        <v>14</v>
      </c>
      <c r="S38" s="1841">
        <f t="shared" si="12"/>
        <v>100</v>
      </c>
      <c r="T38" s="1840" t="s">
        <v>14</v>
      </c>
      <c r="U38" s="1841">
        <f t="shared" si="13"/>
        <v>100</v>
      </c>
      <c r="V38" s="1840" t="s">
        <v>14</v>
      </c>
      <c r="W38" s="1841">
        <f t="shared" si="14"/>
        <v>100</v>
      </c>
      <c r="X38" s="1842"/>
      <c r="Y38" s="3203"/>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3"/>
      <c r="Q39" s="1803">
        <f t="shared" si="11"/>
        <v>111</v>
      </c>
      <c r="R39" s="1804" t="s">
        <v>14</v>
      </c>
      <c r="S39" s="1805">
        <f t="shared" si="12"/>
        <v>100</v>
      </c>
      <c r="T39" s="1804" t="s">
        <v>14</v>
      </c>
      <c r="U39" s="1805">
        <f t="shared" si="13"/>
        <v>100</v>
      </c>
      <c r="V39" s="1804" t="s">
        <v>14</v>
      </c>
      <c r="W39" s="1805">
        <f t="shared" si="14"/>
        <v>100</v>
      </c>
      <c r="X39" s="1743"/>
      <c r="Y39" s="3203"/>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4"/>
      <c r="Q40" s="1803">
        <f t="shared" si="11"/>
        <v>111</v>
      </c>
      <c r="R40" s="1804" t="s">
        <v>14</v>
      </c>
      <c r="S40" s="1805">
        <f t="shared" si="12"/>
        <v>100</v>
      </c>
      <c r="T40" s="1804" t="s">
        <v>14</v>
      </c>
      <c r="U40" s="1805">
        <f t="shared" si="13"/>
        <v>100</v>
      </c>
      <c r="V40" s="1804" t="s">
        <v>14</v>
      </c>
      <c r="W40" s="1805">
        <f t="shared" si="14"/>
        <v>100</v>
      </c>
      <c r="X40" s="1743"/>
      <c r="Y40" s="3204"/>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6" t="str">
        <f>A41</f>
        <v>成交单价（元/平方米）</v>
      </c>
      <c r="Q41" s="3196"/>
      <c r="R41" s="3197">
        <f>E41</f>
        <v>0</v>
      </c>
      <c r="S41" s="3197"/>
      <c r="T41" s="3197">
        <f>G41</f>
        <v>0</v>
      </c>
      <c r="U41" s="3197"/>
      <c r="V41" s="3197">
        <f>I41</f>
        <v>0</v>
      </c>
      <c r="W41" s="3197"/>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3" t="str">
        <f>A43</f>
        <v>估价对象XX用房的比较价值（楼面单价，元/平方米）</v>
      </c>
      <c r="Q43" s="3194"/>
      <c r="R43" s="3195" t="e">
        <f>IF(F1="售价",ROUND(IF(D42="简单平均",AVERAGE(R42:V42),R42*F42+T42*H42+V42*J42),0),ROUND(IF(D42="简单平均",AVERAGE(R42:V42),R42*F42+T42*H42+V42*J42),1))</f>
        <v>#DIV/0!</v>
      </c>
      <c r="S43" s="3195"/>
      <c r="T43" s="3195"/>
      <c r="U43" s="3195"/>
      <c r="V43" s="3195"/>
      <c r="W43" s="3195"/>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1" t="s">
        <v>2005</v>
      </c>
      <c r="D4" s="3212"/>
      <c r="E4" s="3213" t="s">
        <v>2006</v>
      </c>
      <c r="F4" s="3214"/>
      <c r="G4" s="3211" t="s">
        <v>2007</v>
      </c>
      <c r="H4" s="3212"/>
      <c r="I4" s="3211" t="s">
        <v>2008</v>
      </c>
      <c r="J4" s="3212"/>
      <c r="K4" s="2042" t="s">
        <v>2009</v>
      </c>
      <c r="L4" s="1741"/>
      <c r="M4" s="1742"/>
      <c r="N4" s="1742"/>
      <c r="O4" s="1742"/>
      <c r="P4" s="3215" t="s">
        <v>2010</v>
      </c>
      <c r="Q4" s="3216"/>
      <c r="R4" s="3221" t="s">
        <v>2006</v>
      </c>
      <c r="S4" s="3222"/>
      <c r="T4" s="3221" t="s">
        <v>2007</v>
      </c>
      <c r="U4" s="3222"/>
      <c r="V4" s="3197" t="s">
        <v>2008</v>
      </c>
      <c r="W4" s="3197"/>
      <c r="X4" s="1743"/>
      <c r="Y4" s="3221" t="s">
        <v>2010</v>
      </c>
      <c r="Z4" s="3222"/>
      <c r="AA4" s="3208" t="s">
        <v>2006</v>
      </c>
      <c r="AB4" s="3209" t="s">
        <v>2007</v>
      </c>
      <c r="AC4" s="3208" t="s">
        <v>2008</v>
      </c>
    </row>
    <row r="5" spans="1:29" ht="15">
      <c r="A5" s="1745"/>
      <c r="B5" s="1746"/>
      <c r="C5" s="3229" t="s">
        <v>1901</v>
      </c>
      <c r="D5" s="3230"/>
      <c r="E5" s="3236" t="s">
        <v>1902</v>
      </c>
      <c r="F5" s="3237"/>
      <c r="G5" s="3229" t="s">
        <v>1903</v>
      </c>
      <c r="H5" s="3230"/>
      <c r="I5" s="3229" t="s">
        <v>1904</v>
      </c>
      <c r="J5" s="3230"/>
      <c r="K5" s="2042"/>
      <c r="L5" s="1741"/>
      <c r="M5" s="1742"/>
      <c r="N5" s="1742"/>
      <c r="O5" s="1742"/>
      <c r="P5" s="3217"/>
      <c r="Q5" s="3218"/>
      <c r="R5" s="3223"/>
      <c r="S5" s="3224"/>
      <c r="T5" s="3223"/>
      <c r="U5" s="3224"/>
      <c r="V5" s="3197"/>
      <c r="W5" s="3197"/>
      <c r="X5" s="1743"/>
      <c r="Y5" s="3223"/>
      <c r="Z5" s="3224"/>
      <c r="AA5" s="3209"/>
      <c r="AB5" s="3209"/>
      <c r="AC5" s="3209"/>
    </row>
    <row r="6" spans="1:29" ht="15.75" thickBot="1">
      <c r="A6" s="1748"/>
      <c r="B6" s="1749"/>
      <c r="C6" s="3227" t="s">
        <v>1905</v>
      </c>
      <c r="D6" s="3228"/>
      <c r="E6" s="3234" t="s">
        <v>1905</v>
      </c>
      <c r="F6" s="3235"/>
      <c r="G6" s="3227" t="s">
        <v>1905</v>
      </c>
      <c r="H6" s="3228"/>
      <c r="I6" s="3227" t="s">
        <v>1905</v>
      </c>
      <c r="J6" s="3228"/>
      <c r="K6" s="2042" t="s">
        <v>1906</v>
      </c>
      <c r="L6" s="1741"/>
      <c r="M6" s="1742"/>
      <c r="N6" s="1742"/>
      <c r="O6" s="1742"/>
      <c r="P6" s="3219"/>
      <c r="Q6" s="3220"/>
      <c r="R6" s="3223"/>
      <c r="S6" s="3224"/>
      <c r="T6" s="3225"/>
      <c r="U6" s="3226"/>
      <c r="V6" s="3197"/>
      <c r="W6" s="3197"/>
      <c r="X6" s="1743"/>
      <c r="Y6" s="3225"/>
      <c r="Z6" s="3226"/>
      <c r="AA6" s="3210"/>
      <c r="AB6" s="3210"/>
      <c r="AC6" s="3210"/>
    </row>
    <row r="7" spans="1:29" s="1760" customFormat="1" ht="15.75" thickBot="1">
      <c r="A7" s="1750" t="s">
        <v>1907</v>
      </c>
      <c r="B7" s="1751"/>
      <c r="C7" s="1752">
        <f>'数据-取费表'!B2</f>
        <v>44784</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1" t="s">
        <v>1908</v>
      </c>
      <c r="Q7" s="3233"/>
      <c r="R7" s="463" t="s">
        <v>14</v>
      </c>
      <c r="S7" s="1758">
        <f t="shared" ref="S7:S14" si="0">F7</f>
        <v>0</v>
      </c>
      <c r="T7" s="463" t="s">
        <v>14</v>
      </c>
      <c r="U7" s="1758">
        <f t="shared" ref="U7:U14" si="1">H7</f>
        <v>0</v>
      </c>
      <c r="V7" s="463" t="s">
        <v>14</v>
      </c>
      <c r="W7" s="1758">
        <f t="shared" ref="W7:W14" si="2">J7</f>
        <v>0</v>
      </c>
      <c r="X7" s="1759"/>
      <c r="Y7" s="3231" t="s">
        <v>1908</v>
      </c>
      <c r="Z7" s="3232"/>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1" t="s">
        <v>1911</v>
      </c>
      <c r="Q8" s="3232"/>
      <c r="R8" s="463" t="s">
        <v>14</v>
      </c>
      <c r="S8" s="1758">
        <f t="shared" si="0"/>
        <v>0</v>
      </c>
      <c r="T8" s="463" t="s">
        <v>14</v>
      </c>
      <c r="U8" s="1758">
        <f t="shared" si="1"/>
        <v>0</v>
      </c>
      <c r="V8" s="463" t="s">
        <v>14</v>
      </c>
      <c r="W8" s="1758">
        <f t="shared" si="2"/>
        <v>0</v>
      </c>
      <c r="X8" s="1759"/>
      <c r="Y8" s="3231" t="s">
        <v>1911</v>
      </c>
      <c r="Z8" s="3232"/>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6" t="s">
        <v>1914</v>
      </c>
      <c r="Q9" s="1769" t="str">
        <f t="shared" ref="Q9:Q14" si="6">B9</f>
        <v>用途</v>
      </c>
      <c r="R9" s="463" t="s">
        <v>14</v>
      </c>
      <c r="S9" s="1758">
        <f t="shared" si="0"/>
        <v>100</v>
      </c>
      <c r="T9" s="463" t="s">
        <v>14</v>
      </c>
      <c r="U9" s="1758">
        <f t="shared" si="1"/>
        <v>100</v>
      </c>
      <c r="V9" s="463" t="s">
        <v>14</v>
      </c>
      <c r="W9" s="1758">
        <f t="shared" si="2"/>
        <v>100</v>
      </c>
      <c r="X9" s="1759"/>
      <c r="Y9" s="3076"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6"/>
      <c r="Q10" s="1769" t="str">
        <f t="shared" si="6"/>
        <v>土地使用年限（年）</v>
      </c>
      <c r="R10" s="463" t="s">
        <v>14</v>
      </c>
      <c r="S10" s="1758">
        <f t="shared" si="0"/>
        <v>100</v>
      </c>
      <c r="T10" s="463" t="s">
        <v>14</v>
      </c>
      <c r="U10" s="1758">
        <f t="shared" si="1"/>
        <v>100</v>
      </c>
      <c r="V10" s="463" t="s">
        <v>14</v>
      </c>
      <c r="W10" s="1758">
        <f t="shared" si="2"/>
        <v>100</v>
      </c>
      <c r="X10" s="1759"/>
      <c r="Y10" s="3076"/>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6"/>
      <c r="Q11" s="1769">
        <f t="shared" si="6"/>
        <v>111</v>
      </c>
      <c r="R11" s="463" t="s">
        <v>14</v>
      </c>
      <c r="S11" s="1758">
        <f t="shared" si="0"/>
        <v>100</v>
      </c>
      <c r="T11" s="463" t="s">
        <v>14</v>
      </c>
      <c r="U11" s="1758">
        <f t="shared" si="1"/>
        <v>100</v>
      </c>
      <c r="V11" s="463" t="s">
        <v>14</v>
      </c>
      <c r="W11" s="1758">
        <f t="shared" si="2"/>
        <v>100</v>
      </c>
      <c r="X11" s="1759"/>
      <c r="Y11" s="3076"/>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6"/>
      <c r="Q12" s="1769">
        <f t="shared" si="6"/>
        <v>111</v>
      </c>
      <c r="R12" s="463" t="s">
        <v>14</v>
      </c>
      <c r="S12" s="1758">
        <f t="shared" si="0"/>
        <v>100</v>
      </c>
      <c r="T12" s="463" t="s">
        <v>14</v>
      </c>
      <c r="U12" s="1758">
        <f t="shared" si="1"/>
        <v>100</v>
      </c>
      <c r="V12" s="463" t="s">
        <v>14</v>
      </c>
      <c r="W12" s="1758">
        <f t="shared" si="2"/>
        <v>100</v>
      </c>
      <c r="X12" s="1759"/>
      <c r="Y12" s="3076"/>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6"/>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198" t="s">
        <v>1919</v>
      </c>
      <c r="Q14" s="1803" t="str">
        <f t="shared" si="6"/>
        <v>交通便捷度</v>
      </c>
      <c r="R14" s="1804" t="s">
        <v>14</v>
      </c>
      <c r="S14" s="1805">
        <f t="shared" si="0"/>
        <v>100</v>
      </c>
      <c r="T14" s="1804" t="s">
        <v>14</v>
      </c>
      <c r="U14" s="1805">
        <f t="shared" si="1"/>
        <v>100</v>
      </c>
      <c r="V14" s="1804" t="s">
        <v>14</v>
      </c>
      <c r="W14" s="1805">
        <f t="shared" si="2"/>
        <v>100</v>
      </c>
      <c r="X14" s="1743"/>
      <c r="Y14" s="3198"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199"/>
      <c r="Q15" s="1803"/>
      <c r="R15" s="1804"/>
      <c r="S15" s="1805"/>
      <c r="T15" s="1804"/>
      <c r="U15" s="1805"/>
      <c r="V15" s="1804"/>
      <c r="W15" s="1805"/>
      <c r="X15" s="1743"/>
      <c r="Y15" s="3199"/>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199"/>
      <c r="Q16" s="1803" t="str">
        <f>B16</f>
        <v>公共配套设施</v>
      </c>
      <c r="R16" s="1804" t="s">
        <v>14</v>
      </c>
      <c r="S16" s="1805">
        <f>F16</f>
        <v>100</v>
      </c>
      <c r="T16" s="1804" t="s">
        <v>14</v>
      </c>
      <c r="U16" s="1805">
        <f>H16</f>
        <v>100</v>
      </c>
      <c r="V16" s="1804" t="s">
        <v>14</v>
      </c>
      <c r="W16" s="1805">
        <f>J16</f>
        <v>100</v>
      </c>
      <c r="X16" s="1743"/>
      <c r="Y16" s="3199"/>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199"/>
      <c r="Q17" s="1803"/>
      <c r="R17" s="1804"/>
      <c r="S17" s="1805"/>
      <c r="T17" s="1804"/>
      <c r="U17" s="1805"/>
      <c r="V17" s="1804"/>
      <c r="W17" s="1805"/>
      <c r="X17" s="1743"/>
      <c r="Y17" s="3199"/>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199"/>
      <c r="Q18" s="1803" t="str">
        <f>B18</f>
        <v>基础设施水平</v>
      </c>
      <c r="R18" s="1804" t="s">
        <v>14</v>
      </c>
      <c r="S18" s="1805">
        <f>F18</f>
        <v>100</v>
      </c>
      <c r="T18" s="1804" t="s">
        <v>14</v>
      </c>
      <c r="U18" s="1805">
        <f>H18</f>
        <v>100</v>
      </c>
      <c r="V18" s="1804" t="s">
        <v>14</v>
      </c>
      <c r="W18" s="1805">
        <f>J18</f>
        <v>100</v>
      </c>
      <c r="X18" s="1743"/>
      <c r="Y18" s="3199"/>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199"/>
      <c r="Q19" s="1803"/>
      <c r="R19" s="1804"/>
      <c r="S19" s="1805"/>
      <c r="T19" s="1804"/>
      <c r="U19" s="1805"/>
      <c r="V19" s="1804"/>
      <c r="W19" s="1805"/>
      <c r="X19" s="1743"/>
      <c r="Y19" s="3199"/>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199"/>
      <c r="Q20" s="1803" t="str">
        <f>B20</f>
        <v>自然及人文环境</v>
      </c>
      <c r="R20" s="1804" t="s">
        <v>14</v>
      </c>
      <c r="S20" s="1805">
        <f>F20</f>
        <v>100</v>
      </c>
      <c r="T20" s="1804" t="s">
        <v>14</v>
      </c>
      <c r="U20" s="1805">
        <f>H20</f>
        <v>100</v>
      </c>
      <c r="V20" s="1804" t="s">
        <v>14</v>
      </c>
      <c r="W20" s="1805">
        <f>J20</f>
        <v>100</v>
      </c>
      <c r="X20" s="1743"/>
      <c r="Y20" s="3199"/>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199"/>
      <c r="Q21" s="1803"/>
      <c r="R21" s="1804"/>
      <c r="S21" s="1805"/>
      <c r="T21" s="1804"/>
      <c r="U21" s="1805"/>
      <c r="V21" s="1804"/>
      <c r="W21" s="1805"/>
      <c r="X21" s="1743"/>
      <c r="Y21" s="3199"/>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199"/>
      <c r="Q22" s="1803" t="str">
        <f>B22</f>
        <v>楼层</v>
      </c>
      <c r="R22" s="1804" t="s">
        <v>14</v>
      </c>
      <c r="S22" s="1805">
        <f>F22</f>
        <v>100</v>
      </c>
      <c r="T22" s="1804" t="s">
        <v>14</v>
      </c>
      <c r="U22" s="1805">
        <f>H22</f>
        <v>100</v>
      </c>
      <c r="V22" s="1804" t="s">
        <v>14</v>
      </c>
      <c r="W22" s="1805">
        <f>J22</f>
        <v>100</v>
      </c>
      <c r="X22" s="1743"/>
      <c r="Y22" s="3199"/>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199"/>
      <c r="Q23" s="1803">
        <f>B23</f>
        <v>111</v>
      </c>
      <c r="R23" s="1804" t="s">
        <v>14</v>
      </c>
      <c r="S23" s="1805">
        <f>F23</f>
        <v>100</v>
      </c>
      <c r="T23" s="1804" t="s">
        <v>14</v>
      </c>
      <c r="U23" s="1805">
        <f>H23</f>
        <v>100</v>
      </c>
      <c r="V23" s="1804" t="s">
        <v>14</v>
      </c>
      <c r="W23" s="1805">
        <f>J23</f>
        <v>100</v>
      </c>
      <c r="X23" s="1743"/>
      <c r="Y23" s="3199"/>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199"/>
      <c r="Q24" s="1803">
        <f t="shared" ref="Q24:Q36" si="11">B24</f>
        <v>111</v>
      </c>
      <c r="R24" s="1804" t="s">
        <v>14</v>
      </c>
      <c r="S24" s="1805">
        <f>F24</f>
        <v>100</v>
      </c>
      <c r="T24" s="1804" t="s">
        <v>14</v>
      </c>
      <c r="U24" s="1805">
        <f>H24</f>
        <v>100</v>
      </c>
      <c r="V24" s="1804" t="s">
        <v>14</v>
      </c>
      <c r="W24" s="1805">
        <f>J24</f>
        <v>100</v>
      </c>
      <c r="X24" s="1743"/>
      <c r="Y24" s="3199"/>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199"/>
      <c r="Q25" s="1769">
        <f t="shared" si="11"/>
        <v>111</v>
      </c>
      <c r="R25" s="463" t="s">
        <v>14</v>
      </c>
      <c r="S25" s="1758">
        <f>F25</f>
        <v>100</v>
      </c>
      <c r="T25" s="463" t="s">
        <v>14</v>
      </c>
      <c r="U25" s="1758">
        <f>H25</f>
        <v>100</v>
      </c>
      <c r="V25" s="463" t="s">
        <v>14</v>
      </c>
      <c r="W25" s="1758">
        <f>J25</f>
        <v>100</v>
      </c>
      <c r="X25" s="1759"/>
      <c r="Y25" s="3199"/>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3"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3"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3"/>
      <c r="Q27" s="1839" t="str">
        <f t="shared" si="11"/>
        <v>项目停车位配比</v>
      </c>
      <c r="R27" s="1840" t="s">
        <v>14</v>
      </c>
      <c r="S27" s="1841">
        <f t="shared" si="12"/>
        <v>100</v>
      </c>
      <c r="T27" s="1840" t="s">
        <v>14</v>
      </c>
      <c r="U27" s="1841">
        <f t="shared" si="13"/>
        <v>100</v>
      </c>
      <c r="V27" s="1840" t="s">
        <v>14</v>
      </c>
      <c r="W27" s="1841">
        <f t="shared" si="14"/>
        <v>100</v>
      </c>
      <c r="X27" s="1842"/>
      <c r="Y27" s="3203"/>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3"/>
      <c r="Q28" s="1803" t="str">
        <f t="shared" si="11"/>
        <v>公共部分装修</v>
      </c>
      <c r="R28" s="1804" t="s">
        <v>14</v>
      </c>
      <c r="S28" s="1805">
        <f t="shared" si="12"/>
        <v>100</v>
      </c>
      <c r="T28" s="1804" t="s">
        <v>14</v>
      </c>
      <c r="U28" s="1805">
        <f t="shared" si="13"/>
        <v>100</v>
      </c>
      <c r="V28" s="1804" t="s">
        <v>14</v>
      </c>
      <c r="W28" s="1805">
        <f t="shared" si="14"/>
        <v>100</v>
      </c>
      <c r="X28" s="1743"/>
      <c r="Y28" s="3203"/>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3"/>
      <c r="Q29" s="1803" t="str">
        <f t="shared" si="11"/>
        <v>成新率</v>
      </c>
      <c r="R29" s="1804" t="s">
        <v>14</v>
      </c>
      <c r="S29" s="1805" t="e">
        <f t="shared" si="12"/>
        <v>#N/A</v>
      </c>
      <c r="T29" s="1804" t="s">
        <v>14</v>
      </c>
      <c r="U29" s="1805" t="e">
        <f t="shared" si="13"/>
        <v>#N/A</v>
      </c>
      <c r="V29" s="1804" t="s">
        <v>14</v>
      </c>
      <c r="W29" s="1805" t="e">
        <f t="shared" si="14"/>
        <v>#N/A</v>
      </c>
      <c r="X29" s="1743"/>
      <c r="Y29" s="3203"/>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3"/>
      <c r="Q30" s="1803" t="str">
        <f t="shared" si="11"/>
        <v>物业等级</v>
      </c>
      <c r="R30" s="1804" t="s">
        <v>14</v>
      </c>
      <c r="S30" s="1805">
        <f t="shared" si="12"/>
        <v>100</v>
      </c>
      <c r="T30" s="1804" t="s">
        <v>14</v>
      </c>
      <c r="U30" s="1805">
        <f t="shared" si="13"/>
        <v>100</v>
      </c>
      <c r="V30" s="1804" t="s">
        <v>14</v>
      </c>
      <c r="W30" s="1805">
        <f t="shared" si="14"/>
        <v>100</v>
      </c>
      <c r="X30" s="1743"/>
      <c r="Y30" s="3203"/>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3"/>
      <c r="Q31" s="1769" t="str">
        <f t="shared" si="11"/>
        <v>停车位面积</v>
      </c>
      <c r="R31" s="463" t="s">
        <v>14</v>
      </c>
      <c r="S31" s="1758" t="e">
        <f t="shared" si="12"/>
        <v>#N/A</v>
      </c>
      <c r="T31" s="463" t="s">
        <v>14</v>
      </c>
      <c r="U31" s="1758" t="e">
        <f t="shared" si="13"/>
        <v>#N/A</v>
      </c>
      <c r="V31" s="463" t="s">
        <v>14</v>
      </c>
      <c r="W31" s="1758" t="e">
        <f t="shared" si="14"/>
        <v>#N/A</v>
      </c>
      <c r="X31" s="1759"/>
      <c r="Y31" s="3203"/>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3" t="s">
        <v>1924</v>
      </c>
      <c r="Q32" s="1803" t="str">
        <f t="shared" si="11"/>
        <v>车位类型</v>
      </c>
      <c r="R32" s="1804" t="s">
        <v>14</v>
      </c>
      <c r="S32" s="1805">
        <f t="shared" si="12"/>
        <v>100</v>
      </c>
      <c r="T32" s="1804" t="s">
        <v>14</v>
      </c>
      <c r="U32" s="1805">
        <f t="shared" si="13"/>
        <v>100</v>
      </c>
      <c r="V32" s="1804" t="s">
        <v>14</v>
      </c>
      <c r="W32" s="1805">
        <f t="shared" si="14"/>
        <v>100</v>
      </c>
      <c r="X32" s="1743"/>
      <c r="Y32" s="3203"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3"/>
      <c r="Q33" s="1803" t="str">
        <f t="shared" si="11"/>
        <v>是否直接入户</v>
      </c>
      <c r="R33" s="1804" t="s">
        <v>14</v>
      </c>
      <c r="S33" s="1805">
        <f t="shared" si="12"/>
        <v>100</v>
      </c>
      <c r="T33" s="1804" t="s">
        <v>14</v>
      </c>
      <c r="U33" s="1805">
        <f t="shared" si="13"/>
        <v>100</v>
      </c>
      <c r="V33" s="1804" t="s">
        <v>14</v>
      </c>
      <c r="W33" s="1805">
        <f t="shared" si="14"/>
        <v>100</v>
      </c>
      <c r="X33" s="1743"/>
      <c r="Y33" s="3203"/>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3"/>
      <c r="Q34" s="1803">
        <f t="shared" si="11"/>
        <v>111</v>
      </c>
      <c r="R34" s="1804" t="s">
        <v>14</v>
      </c>
      <c r="S34" s="1805">
        <f t="shared" si="12"/>
        <v>100</v>
      </c>
      <c r="T34" s="1804" t="s">
        <v>14</v>
      </c>
      <c r="U34" s="1805">
        <f t="shared" si="13"/>
        <v>100</v>
      </c>
      <c r="V34" s="1804" t="s">
        <v>14</v>
      </c>
      <c r="W34" s="1805">
        <f t="shared" si="14"/>
        <v>100</v>
      </c>
      <c r="X34" s="1743"/>
      <c r="Y34" s="3203"/>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3"/>
      <c r="Q35" s="1839">
        <f t="shared" si="11"/>
        <v>111</v>
      </c>
      <c r="R35" s="1840" t="s">
        <v>14</v>
      </c>
      <c r="S35" s="1841">
        <f t="shared" si="12"/>
        <v>100</v>
      </c>
      <c r="T35" s="1840" t="s">
        <v>14</v>
      </c>
      <c r="U35" s="1841">
        <f t="shared" si="13"/>
        <v>100</v>
      </c>
      <c r="V35" s="1840" t="s">
        <v>14</v>
      </c>
      <c r="W35" s="1841">
        <f t="shared" si="14"/>
        <v>100</v>
      </c>
      <c r="X35" s="1842"/>
      <c r="Y35" s="3203"/>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3"/>
      <c r="Q36" s="1803">
        <f t="shared" si="11"/>
        <v>111</v>
      </c>
      <c r="R36" s="1804" t="s">
        <v>14</v>
      </c>
      <c r="S36" s="1805">
        <f t="shared" si="12"/>
        <v>100</v>
      </c>
      <c r="T36" s="1804" t="s">
        <v>14</v>
      </c>
      <c r="U36" s="1805">
        <f t="shared" si="13"/>
        <v>100</v>
      </c>
      <c r="V36" s="1804" t="s">
        <v>14</v>
      </c>
      <c r="W36" s="1805">
        <f t="shared" si="14"/>
        <v>100</v>
      </c>
      <c r="X36" s="1743"/>
      <c r="Y36" s="3203"/>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6" t="str">
        <f>A37</f>
        <v>成交单价</v>
      </c>
      <c r="Q37" s="3196"/>
      <c r="R37" s="3197">
        <f>E37</f>
        <v>0</v>
      </c>
      <c r="S37" s="3197"/>
      <c r="T37" s="3197">
        <f>G37</f>
        <v>0</v>
      </c>
      <c r="U37" s="3197"/>
      <c r="V37" s="3197">
        <f>I37</f>
        <v>0</v>
      </c>
      <c r="W37" s="3197"/>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3" t="str">
        <f>A39</f>
        <v>估价对象XX用房的比较价值（楼面单价，元/平方米）</v>
      </c>
      <c r="Q39" s="3194"/>
      <c r="R39" s="3254" t="e">
        <f>IF(F1="售价",ROUND(IF(D38="简单平均",AVERAGE(R38:W38),R38*F38+T38*H38+V38*J38),0),ROUND(IF(D38="简单平均",AVERAGE(R38:V38),R38*F38+T38*H38+V38*J38),1))</f>
        <v>#DIV/0!</v>
      </c>
      <c r="S39" s="3254"/>
      <c r="T39" s="3254"/>
      <c r="U39" s="3254"/>
      <c r="V39" s="3254"/>
      <c r="W39" s="3254"/>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2022年8月11日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1" t="s">
        <v>2005</v>
      </c>
      <c r="D4" s="3212"/>
      <c r="E4" s="3213" t="s">
        <v>2006</v>
      </c>
      <c r="F4" s="3214"/>
      <c r="G4" s="3211" t="s">
        <v>2007</v>
      </c>
      <c r="H4" s="3212"/>
      <c r="I4" s="3211" t="s">
        <v>2008</v>
      </c>
      <c r="J4" s="3212"/>
      <c r="K4" s="2042" t="s">
        <v>2009</v>
      </c>
      <c r="L4" s="1741"/>
      <c r="M4" s="1742"/>
      <c r="N4" s="1742"/>
      <c r="O4" s="1742"/>
      <c r="P4" s="3215" t="s">
        <v>2010</v>
      </c>
      <c r="Q4" s="3216"/>
      <c r="R4" s="3221" t="s">
        <v>2006</v>
      </c>
      <c r="S4" s="3222"/>
      <c r="T4" s="3221" t="s">
        <v>2007</v>
      </c>
      <c r="U4" s="3222"/>
      <c r="V4" s="3197" t="s">
        <v>2008</v>
      </c>
      <c r="W4" s="3197"/>
      <c r="X4" s="1743"/>
      <c r="Y4" s="3221" t="s">
        <v>2010</v>
      </c>
      <c r="Z4" s="3222"/>
      <c r="AA4" s="3208" t="s">
        <v>2006</v>
      </c>
      <c r="AB4" s="3209" t="s">
        <v>2007</v>
      </c>
      <c r="AC4" s="3208" t="s">
        <v>2008</v>
      </c>
    </row>
    <row r="5" spans="1:29" ht="15">
      <c r="A5" s="1745"/>
      <c r="B5" s="1746"/>
      <c r="C5" s="3229" t="s">
        <v>1901</v>
      </c>
      <c r="D5" s="3230"/>
      <c r="E5" s="3236" t="s">
        <v>1902</v>
      </c>
      <c r="F5" s="3237"/>
      <c r="G5" s="3229" t="s">
        <v>1903</v>
      </c>
      <c r="H5" s="3230"/>
      <c r="I5" s="3229" t="s">
        <v>1904</v>
      </c>
      <c r="J5" s="3230"/>
      <c r="K5" s="2042"/>
      <c r="L5" s="1741"/>
      <c r="M5" s="1742"/>
      <c r="N5" s="1742"/>
      <c r="O5" s="1742"/>
      <c r="P5" s="3217"/>
      <c r="Q5" s="3218"/>
      <c r="R5" s="3223"/>
      <c r="S5" s="3224"/>
      <c r="T5" s="3223"/>
      <c r="U5" s="3224"/>
      <c r="V5" s="3197"/>
      <c r="W5" s="3197"/>
      <c r="X5" s="1743"/>
      <c r="Y5" s="3223"/>
      <c r="Z5" s="3224"/>
      <c r="AA5" s="3209"/>
      <c r="AB5" s="3209"/>
      <c r="AC5" s="3209"/>
    </row>
    <row r="6" spans="1:29" ht="15.75" thickBot="1">
      <c r="A6" s="1748"/>
      <c r="B6" s="1749"/>
      <c r="C6" s="3227" t="s">
        <v>1905</v>
      </c>
      <c r="D6" s="3228"/>
      <c r="E6" s="3234" t="s">
        <v>1905</v>
      </c>
      <c r="F6" s="3235"/>
      <c r="G6" s="3227" t="s">
        <v>1905</v>
      </c>
      <c r="H6" s="3228"/>
      <c r="I6" s="3227" t="s">
        <v>1905</v>
      </c>
      <c r="J6" s="3228"/>
      <c r="K6" s="2042" t="s">
        <v>1906</v>
      </c>
      <c r="L6" s="1741"/>
      <c r="M6" s="1742"/>
      <c r="N6" s="1742"/>
      <c r="O6" s="1742"/>
      <c r="P6" s="3219"/>
      <c r="Q6" s="3220"/>
      <c r="R6" s="3223"/>
      <c r="S6" s="3224"/>
      <c r="T6" s="3225"/>
      <c r="U6" s="3226"/>
      <c r="V6" s="3197"/>
      <c r="W6" s="3197"/>
      <c r="X6" s="1743"/>
      <c r="Y6" s="3225"/>
      <c r="Z6" s="3226"/>
      <c r="AA6" s="3210"/>
      <c r="AB6" s="3210"/>
      <c r="AC6" s="3210"/>
    </row>
    <row r="7" spans="1:29" s="1760" customFormat="1" ht="15.75" thickBot="1">
      <c r="A7" s="1750" t="s">
        <v>1907</v>
      </c>
      <c r="B7" s="1751"/>
      <c r="C7" s="1752">
        <f>'数据-取费表'!B2</f>
        <v>44784</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1" t="s">
        <v>1908</v>
      </c>
      <c r="Q7" s="3233"/>
      <c r="R7" s="463" t="s">
        <v>14</v>
      </c>
      <c r="S7" s="1758">
        <f t="shared" ref="S7:S14" si="0">F7</f>
        <v>0</v>
      </c>
      <c r="T7" s="463" t="s">
        <v>14</v>
      </c>
      <c r="U7" s="1758">
        <f t="shared" ref="U7:U14" si="1">H7</f>
        <v>0</v>
      </c>
      <c r="V7" s="463" t="s">
        <v>14</v>
      </c>
      <c r="W7" s="1758">
        <f t="shared" ref="W7:W14" si="2">J7</f>
        <v>0</v>
      </c>
      <c r="X7" s="1759"/>
      <c r="Y7" s="3231" t="s">
        <v>1908</v>
      </c>
      <c r="Z7" s="3232"/>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1" t="s">
        <v>1911</v>
      </c>
      <c r="Q8" s="3232"/>
      <c r="R8" s="463" t="s">
        <v>14</v>
      </c>
      <c r="S8" s="1758">
        <f t="shared" si="0"/>
        <v>0</v>
      </c>
      <c r="T8" s="463" t="s">
        <v>14</v>
      </c>
      <c r="U8" s="1758">
        <f t="shared" si="1"/>
        <v>0</v>
      </c>
      <c r="V8" s="463" t="s">
        <v>14</v>
      </c>
      <c r="W8" s="1758">
        <f t="shared" si="2"/>
        <v>0</v>
      </c>
      <c r="X8" s="1759"/>
      <c r="Y8" s="3231" t="s">
        <v>1911</v>
      </c>
      <c r="Z8" s="3232"/>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6" t="s">
        <v>1914</v>
      </c>
      <c r="Q9" s="1769" t="str">
        <f t="shared" ref="Q9:Q14" si="6">B9</f>
        <v>用途</v>
      </c>
      <c r="R9" s="463" t="s">
        <v>14</v>
      </c>
      <c r="S9" s="1758">
        <f t="shared" si="0"/>
        <v>100</v>
      </c>
      <c r="T9" s="463" t="s">
        <v>14</v>
      </c>
      <c r="U9" s="1758">
        <f t="shared" si="1"/>
        <v>100</v>
      </c>
      <c r="V9" s="463" t="s">
        <v>14</v>
      </c>
      <c r="W9" s="1758">
        <f t="shared" si="2"/>
        <v>100</v>
      </c>
      <c r="X9" s="1759"/>
      <c r="Y9" s="3076"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6"/>
      <c r="Q10" s="1769" t="str">
        <f t="shared" si="6"/>
        <v>土地使用年限（年）</v>
      </c>
      <c r="R10" s="463" t="s">
        <v>14</v>
      </c>
      <c r="S10" s="1758">
        <f t="shared" si="0"/>
        <v>100</v>
      </c>
      <c r="T10" s="463" t="s">
        <v>14</v>
      </c>
      <c r="U10" s="1758">
        <f t="shared" si="1"/>
        <v>100</v>
      </c>
      <c r="V10" s="463" t="s">
        <v>14</v>
      </c>
      <c r="W10" s="1758">
        <f t="shared" si="2"/>
        <v>100</v>
      </c>
      <c r="X10" s="1759"/>
      <c r="Y10" s="3076"/>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6"/>
      <c r="Q11" s="1769">
        <f t="shared" si="6"/>
        <v>111</v>
      </c>
      <c r="R11" s="463" t="s">
        <v>14</v>
      </c>
      <c r="S11" s="1758">
        <f t="shared" si="0"/>
        <v>100</v>
      </c>
      <c r="T11" s="463" t="s">
        <v>14</v>
      </c>
      <c r="U11" s="1758">
        <f t="shared" si="1"/>
        <v>100</v>
      </c>
      <c r="V11" s="463" t="s">
        <v>14</v>
      </c>
      <c r="W11" s="1758">
        <f t="shared" si="2"/>
        <v>100</v>
      </c>
      <c r="X11" s="1759"/>
      <c r="Y11" s="3076"/>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6"/>
      <c r="Q12" s="1769">
        <f t="shared" si="6"/>
        <v>111</v>
      </c>
      <c r="R12" s="463" t="s">
        <v>14</v>
      </c>
      <c r="S12" s="1758">
        <f t="shared" si="0"/>
        <v>100</v>
      </c>
      <c r="T12" s="463" t="s">
        <v>14</v>
      </c>
      <c r="U12" s="1758">
        <f t="shared" si="1"/>
        <v>100</v>
      </c>
      <c r="V12" s="463" t="s">
        <v>14</v>
      </c>
      <c r="W12" s="1758">
        <f t="shared" si="2"/>
        <v>100</v>
      </c>
      <c r="X12" s="1759"/>
      <c r="Y12" s="3076"/>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6"/>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198" t="s">
        <v>1919</v>
      </c>
      <c r="Q14" s="1803" t="str">
        <f t="shared" si="6"/>
        <v>交通便捷度</v>
      </c>
      <c r="R14" s="1804" t="s">
        <v>14</v>
      </c>
      <c r="S14" s="1805">
        <f t="shared" si="0"/>
        <v>100</v>
      </c>
      <c r="T14" s="1804" t="s">
        <v>14</v>
      </c>
      <c r="U14" s="1805">
        <f t="shared" si="1"/>
        <v>100</v>
      </c>
      <c r="V14" s="1804" t="s">
        <v>14</v>
      </c>
      <c r="W14" s="1805">
        <f t="shared" si="2"/>
        <v>100</v>
      </c>
      <c r="X14" s="1743"/>
      <c r="Y14" s="3198"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199"/>
      <c r="Q15" s="1803"/>
      <c r="R15" s="1804"/>
      <c r="S15" s="1805"/>
      <c r="T15" s="1804"/>
      <c r="U15" s="1805"/>
      <c r="V15" s="1804"/>
      <c r="W15" s="1805"/>
      <c r="X15" s="1743"/>
      <c r="Y15" s="3199"/>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199"/>
      <c r="Q16" s="1803" t="str">
        <f>B16</f>
        <v>公共配套设施</v>
      </c>
      <c r="R16" s="1804" t="s">
        <v>14</v>
      </c>
      <c r="S16" s="1805">
        <f>F16</f>
        <v>100</v>
      </c>
      <c r="T16" s="1804" t="s">
        <v>14</v>
      </c>
      <c r="U16" s="1805">
        <f>H16</f>
        <v>100</v>
      </c>
      <c r="V16" s="1804" t="s">
        <v>14</v>
      </c>
      <c r="W16" s="1805">
        <f>J16</f>
        <v>100</v>
      </c>
      <c r="X16" s="1743"/>
      <c r="Y16" s="3199"/>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199"/>
      <c r="Q17" s="1803"/>
      <c r="R17" s="1804"/>
      <c r="S17" s="1805"/>
      <c r="T17" s="1804"/>
      <c r="U17" s="1805"/>
      <c r="V17" s="1804"/>
      <c r="W17" s="1805"/>
      <c r="X17" s="1743"/>
      <c r="Y17" s="3199"/>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199"/>
      <c r="Q18" s="1803" t="str">
        <f>B18</f>
        <v>基础设施水平</v>
      </c>
      <c r="R18" s="1804" t="s">
        <v>14</v>
      </c>
      <c r="S18" s="1805">
        <f>F18</f>
        <v>100</v>
      </c>
      <c r="T18" s="1804" t="s">
        <v>14</v>
      </c>
      <c r="U18" s="1805">
        <f>H18</f>
        <v>100</v>
      </c>
      <c r="V18" s="1804" t="s">
        <v>14</v>
      </c>
      <c r="W18" s="1805">
        <f>J18</f>
        <v>100</v>
      </c>
      <c r="X18" s="1743"/>
      <c r="Y18" s="3199"/>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199"/>
      <c r="Q19" s="1803"/>
      <c r="R19" s="1804"/>
      <c r="S19" s="1805"/>
      <c r="T19" s="1804"/>
      <c r="U19" s="1805"/>
      <c r="V19" s="1804"/>
      <c r="W19" s="1805"/>
      <c r="X19" s="1743"/>
      <c r="Y19" s="3199"/>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199"/>
      <c r="Q20" s="1803" t="str">
        <f>B20</f>
        <v>自然及人文环境</v>
      </c>
      <c r="R20" s="1804" t="s">
        <v>14</v>
      </c>
      <c r="S20" s="1805">
        <f>F20</f>
        <v>100</v>
      </c>
      <c r="T20" s="1804" t="s">
        <v>14</v>
      </c>
      <c r="U20" s="1805">
        <f>H20</f>
        <v>100</v>
      </c>
      <c r="V20" s="1804" t="s">
        <v>14</v>
      </c>
      <c r="W20" s="1805">
        <f>J20</f>
        <v>100</v>
      </c>
      <c r="X20" s="1743"/>
      <c r="Y20" s="3199"/>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199"/>
      <c r="Q21" s="1803"/>
      <c r="R21" s="1804"/>
      <c r="S21" s="1805"/>
      <c r="T21" s="1804"/>
      <c r="U21" s="1805"/>
      <c r="V21" s="1804"/>
      <c r="W21" s="1805"/>
      <c r="X21" s="1743"/>
      <c r="Y21" s="3199"/>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199"/>
      <c r="Q22" s="1803" t="str">
        <f>B22</f>
        <v>楼层</v>
      </c>
      <c r="R22" s="1804" t="s">
        <v>14</v>
      </c>
      <c r="S22" s="1805">
        <f>F22</f>
        <v>100</v>
      </c>
      <c r="T22" s="1804" t="s">
        <v>14</v>
      </c>
      <c r="U22" s="1805">
        <f>H22</f>
        <v>100</v>
      </c>
      <c r="V22" s="1804" t="s">
        <v>14</v>
      </c>
      <c r="W22" s="1805">
        <f>J22</f>
        <v>100</v>
      </c>
      <c r="X22" s="1743"/>
      <c r="Y22" s="3199"/>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199"/>
      <c r="Q23" s="1803">
        <f>B23</f>
        <v>111</v>
      </c>
      <c r="R23" s="1804" t="s">
        <v>14</v>
      </c>
      <c r="S23" s="1805">
        <f>F23</f>
        <v>100</v>
      </c>
      <c r="T23" s="1804" t="s">
        <v>14</v>
      </c>
      <c r="U23" s="1805">
        <f>H23</f>
        <v>100</v>
      </c>
      <c r="V23" s="1804" t="s">
        <v>14</v>
      </c>
      <c r="W23" s="1805">
        <f>J23</f>
        <v>100</v>
      </c>
      <c r="X23" s="1743"/>
      <c r="Y23" s="3199"/>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199"/>
      <c r="Q24" s="1803">
        <f t="shared" ref="Q24:Q34" si="11">B24</f>
        <v>111</v>
      </c>
      <c r="R24" s="1804" t="s">
        <v>14</v>
      </c>
      <c r="S24" s="1805">
        <f>F24</f>
        <v>100</v>
      </c>
      <c r="T24" s="1804" t="s">
        <v>14</v>
      </c>
      <c r="U24" s="1805">
        <f>H24</f>
        <v>100</v>
      </c>
      <c r="V24" s="1804" t="s">
        <v>14</v>
      </c>
      <c r="W24" s="1805">
        <f>J24</f>
        <v>100</v>
      </c>
      <c r="X24" s="1743"/>
      <c r="Y24" s="3199"/>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199"/>
      <c r="Q25" s="1769">
        <f t="shared" si="11"/>
        <v>111</v>
      </c>
      <c r="R25" s="463" t="s">
        <v>14</v>
      </c>
      <c r="S25" s="1758">
        <f>F25</f>
        <v>100</v>
      </c>
      <c r="T25" s="463" t="s">
        <v>14</v>
      </c>
      <c r="U25" s="1758">
        <f>H25</f>
        <v>100</v>
      </c>
      <c r="V25" s="463" t="s">
        <v>14</v>
      </c>
      <c r="W25" s="1758">
        <f>J25</f>
        <v>100</v>
      </c>
      <c r="X25" s="1759"/>
      <c r="Y25" s="3199"/>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3"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3"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3"/>
      <c r="Q27" s="1839" t="str">
        <f t="shared" si="11"/>
        <v>成新率</v>
      </c>
      <c r="R27" s="1840" t="s">
        <v>14</v>
      </c>
      <c r="S27" s="1841" t="e">
        <f t="shared" si="12"/>
        <v>#N/A</v>
      </c>
      <c r="T27" s="1840" t="s">
        <v>14</v>
      </c>
      <c r="U27" s="1841" t="e">
        <f t="shared" si="13"/>
        <v>#N/A</v>
      </c>
      <c r="V27" s="1840" t="s">
        <v>14</v>
      </c>
      <c r="W27" s="1841" t="e">
        <f t="shared" si="14"/>
        <v>#N/A</v>
      </c>
      <c r="X27" s="1842"/>
      <c r="Y27" s="3203"/>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3"/>
      <c r="Q28" s="1803" t="str">
        <f t="shared" si="11"/>
        <v>物业等级</v>
      </c>
      <c r="R28" s="1804" t="s">
        <v>14</v>
      </c>
      <c r="S28" s="1805">
        <f t="shared" si="12"/>
        <v>100</v>
      </c>
      <c r="T28" s="1804" t="s">
        <v>14</v>
      </c>
      <c r="U28" s="1805">
        <f t="shared" si="13"/>
        <v>100</v>
      </c>
      <c r="V28" s="1804" t="s">
        <v>14</v>
      </c>
      <c r="W28" s="1805">
        <f t="shared" si="14"/>
        <v>100</v>
      </c>
      <c r="X28" s="1743"/>
      <c r="Y28" s="3203"/>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3"/>
      <c r="Q29" s="1803" t="str">
        <f t="shared" si="11"/>
        <v>有无电梯</v>
      </c>
      <c r="R29" s="1804" t="s">
        <v>14</v>
      </c>
      <c r="S29" s="1805">
        <f t="shared" si="12"/>
        <v>100</v>
      </c>
      <c r="T29" s="1804" t="s">
        <v>14</v>
      </c>
      <c r="U29" s="1805">
        <f t="shared" si="13"/>
        <v>100</v>
      </c>
      <c r="V29" s="1804" t="s">
        <v>14</v>
      </c>
      <c r="W29" s="1805">
        <f t="shared" si="14"/>
        <v>100</v>
      </c>
      <c r="X29" s="1743"/>
      <c r="Y29" s="3203"/>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3"/>
      <c r="Q30" s="1803" t="str">
        <f t="shared" si="11"/>
        <v>建筑面积</v>
      </c>
      <c r="R30" s="1804" t="s">
        <v>14</v>
      </c>
      <c r="S30" s="1805" t="e">
        <f t="shared" si="12"/>
        <v>#N/A</v>
      </c>
      <c r="T30" s="1804" t="s">
        <v>14</v>
      </c>
      <c r="U30" s="1805" t="e">
        <f t="shared" si="13"/>
        <v>#N/A</v>
      </c>
      <c r="V30" s="1804" t="s">
        <v>14</v>
      </c>
      <c r="W30" s="1805" t="e">
        <f t="shared" si="14"/>
        <v>#N/A</v>
      </c>
      <c r="X30" s="1743"/>
      <c r="Y30" s="3203"/>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3"/>
      <c r="Q31" s="1769" t="str">
        <f t="shared" si="11"/>
        <v>是否封闭</v>
      </c>
      <c r="R31" s="463" t="s">
        <v>14</v>
      </c>
      <c r="S31" s="1758">
        <f t="shared" si="12"/>
        <v>100</v>
      </c>
      <c r="T31" s="463" t="s">
        <v>14</v>
      </c>
      <c r="U31" s="1758">
        <f t="shared" si="13"/>
        <v>100</v>
      </c>
      <c r="V31" s="463" t="s">
        <v>14</v>
      </c>
      <c r="W31" s="1758">
        <f t="shared" si="14"/>
        <v>100</v>
      </c>
      <c r="X31" s="1759"/>
      <c r="Y31" s="3203"/>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3" t="s">
        <v>1924</v>
      </c>
      <c r="Q32" s="1803">
        <f t="shared" si="11"/>
        <v>111</v>
      </c>
      <c r="R32" s="1804" t="s">
        <v>14</v>
      </c>
      <c r="S32" s="1805">
        <f t="shared" si="12"/>
        <v>100</v>
      </c>
      <c r="T32" s="1804" t="s">
        <v>14</v>
      </c>
      <c r="U32" s="1805">
        <f t="shared" si="13"/>
        <v>100</v>
      </c>
      <c r="V32" s="1804" t="s">
        <v>14</v>
      </c>
      <c r="W32" s="1805">
        <f t="shared" si="14"/>
        <v>100</v>
      </c>
      <c r="X32" s="1743"/>
      <c r="Y32" s="3203"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3"/>
      <c r="Q33" s="1803">
        <f t="shared" si="11"/>
        <v>111</v>
      </c>
      <c r="R33" s="1804" t="s">
        <v>14</v>
      </c>
      <c r="S33" s="1805">
        <f t="shared" si="12"/>
        <v>100</v>
      </c>
      <c r="T33" s="1804" t="s">
        <v>14</v>
      </c>
      <c r="U33" s="1805">
        <f t="shared" si="13"/>
        <v>100</v>
      </c>
      <c r="V33" s="1804" t="s">
        <v>14</v>
      </c>
      <c r="W33" s="1805">
        <f t="shared" si="14"/>
        <v>100</v>
      </c>
      <c r="X33" s="1743"/>
      <c r="Y33" s="3203"/>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3"/>
      <c r="Q34" s="1803">
        <f t="shared" si="11"/>
        <v>111</v>
      </c>
      <c r="R34" s="1804" t="s">
        <v>14</v>
      </c>
      <c r="S34" s="1805">
        <f t="shared" si="12"/>
        <v>100</v>
      </c>
      <c r="T34" s="1804" t="s">
        <v>14</v>
      </c>
      <c r="U34" s="1805">
        <f t="shared" si="13"/>
        <v>100</v>
      </c>
      <c r="V34" s="1804" t="s">
        <v>14</v>
      </c>
      <c r="W34" s="1805">
        <f t="shared" si="14"/>
        <v>100</v>
      </c>
      <c r="X34" s="1743"/>
      <c r="Y34" s="3203"/>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6" t="str">
        <f>A35</f>
        <v>成交单价（元/平方米）</v>
      </c>
      <c r="Q35" s="3196"/>
      <c r="R35" s="3197">
        <f>E35</f>
        <v>0</v>
      </c>
      <c r="S35" s="3197"/>
      <c r="T35" s="3197">
        <f>G35</f>
        <v>0</v>
      </c>
      <c r="U35" s="3197"/>
      <c r="V35" s="3197">
        <f>I35</f>
        <v>0</v>
      </c>
      <c r="W35" s="3197"/>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3" t="str">
        <f>A37</f>
        <v>估价对象XX用房的比较价值（楼面单价，元/平方米）</v>
      </c>
      <c r="Q37" s="3194"/>
      <c r="R37" s="3254" t="e">
        <f>IF(F1="售价",ROUND(IF(D36="简单平均",AVERAGE(R36:W36),R36*F36+T36*H36+V36*J36),0),ROUND(IF(D36="简单平均",AVERAGE(R36:V36),R36*F36+T36*H36+V36*J36),1))</f>
        <v>#DIV/0!</v>
      </c>
      <c r="S37" s="3254"/>
      <c r="T37" s="3254"/>
      <c r="U37" s="3254"/>
      <c r="V37" s="3254"/>
      <c r="W37" s="3254"/>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1" t="s">
        <v>2005</v>
      </c>
      <c r="D4" s="3212"/>
      <c r="E4" s="3213" t="s">
        <v>2006</v>
      </c>
      <c r="F4" s="3214"/>
      <c r="G4" s="3211" t="s">
        <v>2007</v>
      </c>
      <c r="H4" s="3212"/>
      <c r="I4" s="3211" t="s">
        <v>2008</v>
      </c>
      <c r="J4" s="3212"/>
      <c r="K4" s="2042" t="s">
        <v>2009</v>
      </c>
      <c r="L4" s="1741"/>
      <c r="M4" s="1742"/>
      <c r="N4" s="1742"/>
      <c r="O4" s="1742"/>
      <c r="P4" s="3215" t="s">
        <v>2010</v>
      </c>
      <c r="Q4" s="3216"/>
      <c r="R4" s="3221" t="s">
        <v>2006</v>
      </c>
      <c r="S4" s="3222"/>
      <c r="T4" s="3221" t="s">
        <v>2007</v>
      </c>
      <c r="U4" s="3222"/>
      <c r="V4" s="3197" t="s">
        <v>2008</v>
      </c>
      <c r="W4" s="3197"/>
      <c r="X4" s="1743"/>
      <c r="Y4" s="3221" t="s">
        <v>2010</v>
      </c>
      <c r="Z4" s="3222"/>
      <c r="AA4" s="3208" t="s">
        <v>2006</v>
      </c>
      <c r="AB4" s="3209" t="s">
        <v>2007</v>
      </c>
      <c r="AC4" s="3208" t="s">
        <v>2008</v>
      </c>
    </row>
    <row r="5" spans="1:30" ht="15">
      <c r="A5" s="1745"/>
      <c r="B5" s="1746"/>
      <c r="C5" s="3229" t="s">
        <v>1901</v>
      </c>
      <c r="D5" s="3230"/>
      <c r="E5" s="3236" t="s">
        <v>1902</v>
      </c>
      <c r="F5" s="3237"/>
      <c r="G5" s="3229" t="s">
        <v>1903</v>
      </c>
      <c r="H5" s="3230"/>
      <c r="I5" s="3229" t="s">
        <v>1904</v>
      </c>
      <c r="J5" s="3230"/>
      <c r="K5" s="2042"/>
      <c r="L5" s="1741"/>
      <c r="M5" s="1742"/>
      <c r="N5" s="1742"/>
      <c r="O5" s="1742"/>
      <c r="P5" s="3217"/>
      <c r="Q5" s="3218"/>
      <c r="R5" s="3223"/>
      <c r="S5" s="3224"/>
      <c r="T5" s="3223"/>
      <c r="U5" s="3224"/>
      <c r="V5" s="3197"/>
      <c r="W5" s="3197"/>
      <c r="X5" s="1743"/>
      <c r="Y5" s="3223"/>
      <c r="Z5" s="3224"/>
      <c r="AA5" s="3209"/>
      <c r="AB5" s="3209"/>
      <c r="AC5" s="3209"/>
    </row>
    <row r="6" spans="1:30" ht="15.75" thickBot="1">
      <c r="A6" s="1748"/>
      <c r="B6" s="1749"/>
      <c r="C6" s="3227" t="s">
        <v>1905</v>
      </c>
      <c r="D6" s="3228"/>
      <c r="E6" s="3234" t="s">
        <v>1905</v>
      </c>
      <c r="F6" s="3235"/>
      <c r="G6" s="3227" t="s">
        <v>1905</v>
      </c>
      <c r="H6" s="3228"/>
      <c r="I6" s="3227" t="s">
        <v>1905</v>
      </c>
      <c r="J6" s="3228"/>
      <c r="K6" s="2042" t="s">
        <v>1906</v>
      </c>
      <c r="L6" s="1741"/>
      <c r="M6" s="1742"/>
      <c r="N6" s="1742"/>
      <c r="O6" s="1742"/>
      <c r="P6" s="3219"/>
      <c r="Q6" s="3220"/>
      <c r="R6" s="3223"/>
      <c r="S6" s="3224"/>
      <c r="T6" s="3225"/>
      <c r="U6" s="3226"/>
      <c r="V6" s="3197"/>
      <c r="W6" s="3197"/>
      <c r="X6" s="1743"/>
      <c r="Y6" s="3225"/>
      <c r="Z6" s="3226"/>
      <c r="AA6" s="3210"/>
      <c r="AB6" s="3210"/>
      <c r="AC6" s="3210"/>
    </row>
    <row r="7" spans="1:30" s="1760" customFormat="1" ht="15.75" thickBot="1">
      <c r="A7" s="1750" t="s">
        <v>1907</v>
      </c>
      <c r="B7" s="1751"/>
      <c r="C7" s="1752">
        <f>'数据-取费表'!B2</f>
        <v>44784</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1" t="s">
        <v>1908</v>
      </c>
      <c r="Q7" s="3233"/>
      <c r="R7" s="463" t="s">
        <v>14</v>
      </c>
      <c r="S7" s="1758">
        <f t="shared" ref="S7:S15" si="0">F7</f>
        <v>0</v>
      </c>
      <c r="T7" s="463" t="s">
        <v>14</v>
      </c>
      <c r="U7" s="1758">
        <f t="shared" ref="U7:U15" si="1">H7</f>
        <v>0</v>
      </c>
      <c r="V7" s="463" t="s">
        <v>14</v>
      </c>
      <c r="W7" s="1758">
        <f t="shared" ref="W7:W15" si="2">J7</f>
        <v>0</v>
      </c>
      <c r="X7" s="1759"/>
      <c r="Y7" s="3231" t="s">
        <v>1908</v>
      </c>
      <c r="Z7" s="3232"/>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1" t="s">
        <v>1911</v>
      </c>
      <c r="Q8" s="3232"/>
      <c r="R8" s="463" t="s">
        <v>14</v>
      </c>
      <c r="S8" s="1758">
        <f t="shared" si="0"/>
        <v>0</v>
      </c>
      <c r="T8" s="463" t="s">
        <v>14</v>
      </c>
      <c r="U8" s="1758">
        <f t="shared" si="1"/>
        <v>0</v>
      </c>
      <c r="V8" s="463" t="s">
        <v>14</v>
      </c>
      <c r="W8" s="1758">
        <f t="shared" si="2"/>
        <v>0</v>
      </c>
      <c r="X8" s="1759"/>
      <c r="Y8" s="3231" t="s">
        <v>1911</v>
      </c>
      <c r="Z8" s="3232"/>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6" t="s">
        <v>1914</v>
      </c>
      <c r="Q9" s="1769" t="str">
        <f t="shared" ref="Q9:Q15" si="6">B9</f>
        <v>用途</v>
      </c>
      <c r="R9" s="463" t="s">
        <v>14</v>
      </c>
      <c r="S9" s="1758">
        <f t="shared" si="0"/>
        <v>100</v>
      </c>
      <c r="T9" s="463" t="s">
        <v>14</v>
      </c>
      <c r="U9" s="1758">
        <f t="shared" si="1"/>
        <v>100</v>
      </c>
      <c r="V9" s="463" t="s">
        <v>14</v>
      </c>
      <c r="W9" s="1758">
        <f t="shared" si="2"/>
        <v>100</v>
      </c>
      <c r="X9" s="1759"/>
      <c r="Y9" s="3076"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6"/>
      <c r="Q10" s="1769" t="str">
        <f t="shared" si="6"/>
        <v>土地使用年限（年）</v>
      </c>
      <c r="R10" s="463" t="s">
        <v>14</v>
      </c>
      <c r="S10" s="1758" t="e">
        <f t="shared" si="0"/>
        <v>#DIV/0!</v>
      </c>
      <c r="T10" s="463" t="s">
        <v>14</v>
      </c>
      <c r="U10" s="1758" t="e">
        <f t="shared" si="1"/>
        <v>#DIV/0!</v>
      </c>
      <c r="V10" s="463" t="s">
        <v>14</v>
      </c>
      <c r="W10" s="1758" t="e">
        <f t="shared" si="2"/>
        <v>#DIV/0!</v>
      </c>
      <c r="X10" s="1759"/>
      <c r="Y10" s="3076"/>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6"/>
      <c r="Q11" s="1769" t="str">
        <f t="shared" si="6"/>
        <v>容积率</v>
      </c>
      <c r="R11" s="463" t="s">
        <v>14</v>
      </c>
      <c r="S11" s="1758" t="e">
        <f t="shared" si="0"/>
        <v>#N/A</v>
      </c>
      <c r="T11" s="463" t="s">
        <v>14</v>
      </c>
      <c r="U11" s="1758" t="e">
        <f t="shared" si="1"/>
        <v>#N/A</v>
      </c>
      <c r="V11" s="463" t="s">
        <v>14</v>
      </c>
      <c r="W11" s="1758" t="e">
        <f t="shared" si="2"/>
        <v>#N/A</v>
      </c>
      <c r="X11" s="1759"/>
      <c r="Y11" s="3076"/>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6"/>
      <c r="Q12" s="1769" t="str">
        <f t="shared" si="6"/>
        <v>配建</v>
      </c>
      <c r="R12" s="463" t="s">
        <v>14</v>
      </c>
      <c r="S12" s="1758">
        <f t="shared" si="0"/>
        <v>100</v>
      </c>
      <c r="T12" s="463" t="s">
        <v>14</v>
      </c>
      <c r="U12" s="1758">
        <f t="shared" si="1"/>
        <v>100</v>
      </c>
      <c r="V12" s="463" t="s">
        <v>14</v>
      </c>
      <c r="W12" s="1758">
        <f t="shared" si="2"/>
        <v>100</v>
      </c>
      <c r="X12" s="1759"/>
      <c r="Y12" s="3076"/>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6"/>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6"/>
      <c r="Q14" s="1769">
        <f t="shared" si="6"/>
        <v>111</v>
      </c>
      <c r="R14" s="463" t="s">
        <v>14</v>
      </c>
      <c r="S14" s="1758">
        <f t="shared" si="0"/>
        <v>100</v>
      </c>
      <c r="T14" s="463" t="s">
        <v>14</v>
      </c>
      <c r="U14" s="1758">
        <f t="shared" si="1"/>
        <v>100</v>
      </c>
      <c r="V14" s="463" t="s">
        <v>14</v>
      </c>
      <c r="W14" s="1758">
        <f t="shared" si="2"/>
        <v>100</v>
      </c>
      <c r="X14" s="1759"/>
      <c r="Y14" s="3076"/>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198" t="s">
        <v>1919</v>
      </c>
      <c r="Q15" s="1803" t="str">
        <f t="shared" si="6"/>
        <v>居住社区成熟度</v>
      </c>
      <c r="R15" s="1804" t="s">
        <v>14</v>
      </c>
      <c r="S15" s="1805">
        <f t="shared" si="0"/>
        <v>100</v>
      </c>
      <c r="T15" s="1804" t="s">
        <v>14</v>
      </c>
      <c r="U15" s="1805">
        <f t="shared" si="1"/>
        <v>100</v>
      </c>
      <c r="V15" s="1804" t="s">
        <v>14</v>
      </c>
      <c r="W15" s="1805">
        <f t="shared" si="2"/>
        <v>100</v>
      </c>
      <c r="X15" s="1743"/>
      <c r="Y15" s="3198"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199"/>
      <c r="Q16" s="1803"/>
      <c r="R16" s="1804"/>
      <c r="S16" s="1805"/>
      <c r="T16" s="1804"/>
      <c r="U16" s="1805"/>
      <c r="V16" s="1804"/>
      <c r="W16" s="1805"/>
      <c r="X16" s="1743"/>
      <c r="Y16" s="3199"/>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199"/>
      <c r="Q17" s="1803" t="str">
        <f>B17</f>
        <v>商业繁华度</v>
      </c>
      <c r="R17" s="1804" t="s">
        <v>14</v>
      </c>
      <c r="S17" s="1805">
        <f>F17</f>
        <v>100</v>
      </c>
      <c r="T17" s="1804" t="s">
        <v>14</v>
      </c>
      <c r="U17" s="1805">
        <f>H17</f>
        <v>100</v>
      </c>
      <c r="V17" s="1804" t="s">
        <v>14</v>
      </c>
      <c r="W17" s="1805">
        <f>J17</f>
        <v>100</v>
      </c>
      <c r="X17" s="1743"/>
      <c r="Y17" s="3199"/>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199"/>
      <c r="Q18" s="1803"/>
      <c r="R18" s="1804"/>
      <c r="S18" s="1805"/>
      <c r="T18" s="1804"/>
      <c r="U18" s="1805"/>
      <c r="V18" s="1804"/>
      <c r="W18" s="1805"/>
      <c r="X18" s="1743"/>
      <c r="Y18" s="3199"/>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199"/>
      <c r="Q19" s="1803" t="str">
        <f>B19</f>
        <v>办公集聚程度</v>
      </c>
      <c r="R19" s="1804" t="s">
        <v>14</v>
      </c>
      <c r="S19" s="1805">
        <f>F19</f>
        <v>100</v>
      </c>
      <c r="T19" s="1804" t="s">
        <v>14</v>
      </c>
      <c r="U19" s="1805">
        <f>H19</f>
        <v>100</v>
      </c>
      <c r="V19" s="1804" t="s">
        <v>14</v>
      </c>
      <c r="W19" s="1805">
        <f>J19</f>
        <v>100</v>
      </c>
      <c r="X19" s="1743"/>
      <c r="Y19" s="3199"/>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199"/>
      <c r="Q20" s="1803"/>
      <c r="R20" s="1804"/>
      <c r="S20" s="1805"/>
      <c r="T20" s="1804"/>
      <c r="U20" s="1805"/>
      <c r="V20" s="1804"/>
      <c r="W20" s="1805"/>
      <c r="X20" s="1743"/>
      <c r="Y20" s="3199"/>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199"/>
      <c r="Q21" s="1803" t="str">
        <f>B21</f>
        <v>交通便捷度</v>
      </c>
      <c r="R21" s="1804" t="s">
        <v>14</v>
      </c>
      <c r="S21" s="1805">
        <f>F21</f>
        <v>100</v>
      </c>
      <c r="T21" s="1804" t="s">
        <v>14</v>
      </c>
      <c r="U21" s="1805">
        <f>H21</f>
        <v>100</v>
      </c>
      <c r="V21" s="1804" t="s">
        <v>14</v>
      </c>
      <c r="W21" s="1805">
        <f>J21</f>
        <v>100</v>
      </c>
      <c r="X21" s="1743"/>
      <c r="Y21" s="3199"/>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199"/>
      <c r="Q22" s="1803"/>
      <c r="R22" s="1804"/>
      <c r="S22" s="1805"/>
      <c r="T22" s="1804"/>
      <c r="U22" s="1805"/>
      <c r="V22" s="1804"/>
      <c r="W22" s="1805"/>
      <c r="X22" s="1743"/>
      <c r="Y22" s="3199"/>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199"/>
      <c r="Q23" s="1803" t="str">
        <f t="shared" ref="Q23:Q37" si="8">B23</f>
        <v>区域土地利用方向</v>
      </c>
      <c r="R23" s="1804" t="s">
        <v>14</v>
      </c>
      <c r="S23" s="1805">
        <f>F23</f>
        <v>100</v>
      </c>
      <c r="T23" s="1804" t="s">
        <v>14</v>
      </c>
      <c r="U23" s="1805">
        <f>H23</f>
        <v>100</v>
      </c>
      <c r="V23" s="1804" t="s">
        <v>14</v>
      </c>
      <c r="W23" s="1805">
        <f>J23</f>
        <v>100</v>
      </c>
      <c r="X23" s="1743"/>
      <c r="Y23" s="3199"/>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199"/>
      <c r="Q24" s="1803"/>
      <c r="R24" s="1804"/>
      <c r="S24" s="1805"/>
      <c r="T24" s="1804"/>
      <c r="U24" s="1805"/>
      <c r="V24" s="1804"/>
      <c r="W24" s="1805"/>
      <c r="X24" s="1743"/>
      <c r="Y24" s="3199"/>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199"/>
      <c r="Q25" s="1803" t="str">
        <f t="shared" si="8"/>
        <v>自然及人文环境状况</v>
      </c>
      <c r="R25" s="1804" t="s">
        <v>14</v>
      </c>
      <c r="S25" s="1805">
        <f>F25</f>
        <v>100</v>
      </c>
      <c r="T25" s="1804" t="s">
        <v>14</v>
      </c>
      <c r="U25" s="1805">
        <f>H25</f>
        <v>100</v>
      </c>
      <c r="V25" s="1804" t="s">
        <v>14</v>
      </c>
      <c r="W25" s="1805">
        <f>J25</f>
        <v>100</v>
      </c>
      <c r="X25" s="1743"/>
      <c r="Y25" s="3199"/>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199"/>
      <c r="Q26" s="1803"/>
      <c r="R26" s="1804"/>
      <c r="S26" s="1805"/>
      <c r="T26" s="1804"/>
      <c r="U26" s="1805"/>
      <c r="V26" s="1804"/>
      <c r="W26" s="1805"/>
      <c r="X26" s="1743"/>
      <c r="Y26" s="3199"/>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199"/>
      <c r="Q27" s="1769" t="str">
        <f t="shared" si="8"/>
        <v>公共配套设施</v>
      </c>
      <c r="R27" s="463" t="s">
        <v>14</v>
      </c>
      <c r="S27" s="1758">
        <f>F27</f>
        <v>100</v>
      </c>
      <c r="T27" s="463" t="s">
        <v>14</v>
      </c>
      <c r="U27" s="1758">
        <f>H27</f>
        <v>100</v>
      </c>
      <c r="V27" s="463" t="s">
        <v>14</v>
      </c>
      <c r="W27" s="1758">
        <f>J27</f>
        <v>100</v>
      </c>
      <c r="X27" s="1759"/>
      <c r="Y27" s="3199"/>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199"/>
      <c r="Q28" s="1769"/>
      <c r="R28" s="463"/>
      <c r="S28" s="1758"/>
      <c r="T28" s="463"/>
      <c r="U28" s="1758"/>
      <c r="V28" s="463"/>
      <c r="W28" s="1758"/>
      <c r="X28" s="1759"/>
      <c r="Y28" s="3199"/>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199"/>
      <c r="Q29" s="1769" t="str">
        <f t="shared" ref="Q29" si="9">B29</f>
        <v>基础设施水平</v>
      </c>
      <c r="R29" s="463" t="s">
        <v>14</v>
      </c>
      <c r="S29" s="1758">
        <f>F29</f>
        <v>100</v>
      </c>
      <c r="T29" s="463" t="s">
        <v>14</v>
      </c>
      <c r="U29" s="1758">
        <f>H29</f>
        <v>100</v>
      </c>
      <c r="V29" s="463" t="s">
        <v>14</v>
      </c>
      <c r="W29" s="1758">
        <f>J29</f>
        <v>100</v>
      </c>
      <c r="X29" s="1759"/>
      <c r="Y29" s="3199"/>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199"/>
      <c r="Q30" s="1769"/>
      <c r="R30" s="463"/>
      <c r="S30" s="1758"/>
      <c r="T30" s="463"/>
      <c r="U30" s="1758"/>
      <c r="V30" s="463"/>
      <c r="W30" s="1758"/>
      <c r="X30" s="1759"/>
      <c r="Y30" s="3199"/>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199"/>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199"/>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199"/>
      <c r="Q32" s="1803" t="str">
        <f t="shared" si="8"/>
        <v>毗邻道路的类型与等级</v>
      </c>
      <c r="R32" s="1804" t="s">
        <v>14</v>
      </c>
      <c r="S32" s="1805">
        <f t="shared" si="10"/>
        <v>100</v>
      </c>
      <c r="T32" s="1804" t="s">
        <v>14</v>
      </c>
      <c r="U32" s="1805">
        <f t="shared" si="11"/>
        <v>100</v>
      </c>
      <c r="V32" s="1804" t="s">
        <v>14</v>
      </c>
      <c r="W32" s="1805">
        <f t="shared" si="12"/>
        <v>100</v>
      </c>
      <c r="X32" s="1743"/>
      <c r="Y32" s="3199"/>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199"/>
      <c r="Q33" s="1803"/>
      <c r="R33" s="1804"/>
      <c r="S33" s="1805"/>
      <c r="T33" s="1804"/>
      <c r="U33" s="1805"/>
      <c r="V33" s="1804"/>
      <c r="W33" s="1805"/>
      <c r="X33" s="1743"/>
      <c r="Y33" s="3199"/>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199"/>
      <c r="Q34" s="1803" t="str">
        <f t="shared" si="8"/>
        <v>土地级别</v>
      </c>
      <c r="R34" s="1804" t="s">
        <v>14</v>
      </c>
      <c r="S34" s="1805">
        <f t="shared" si="10"/>
        <v>100</v>
      </c>
      <c r="T34" s="1804" t="s">
        <v>14</v>
      </c>
      <c r="U34" s="1805">
        <f t="shared" si="11"/>
        <v>100</v>
      </c>
      <c r="V34" s="1804" t="s">
        <v>14</v>
      </c>
      <c r="W34" s="1805">
        <f t="shared" si="12"/>
        <v>100</v>
      </c>
      <c r="X34" s="1743"/>
      <c r="Y34" s="3199"/>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199"/>
      <c r="Q35" s="1803">
        <f t="shared" si="8"/>
        <v>111</v>
      </c>
      <c r="R35" s="1804" t="s">
        <v>14</v>
      </c>
      <c r="S35" s="1805">
        <f t="shared" si="10"/>
        <v>100</v>
      </c>
      <c r="T35" s="1804" t="s">
        <v>14</v>
      </c>
      <c r="U35" s="1805">
        <f t="shared" si="11"/>
        <v>100</v>
      </c>
      <c r="V35" s="1804" t="s">
        <v>14</v>
      </c>
      <c r="W35" s="1805">
        <f t="shared" si="12"/>
        <v>100</v>
      </c>
      <c r="X35" s="1743"/>
      <c r="Y35" s="3199"/>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3" t="s">
        <v>1924</v>
      </c>
      <c r="Q36" s="1803">
        <f t="shared" si="8"/>
        <v>111</v>
      </c>
      <c r="R36" s="1804" t="s">
        <v>14</v>
      </c>
      <c r="S36" s="1805">
        <f t="shared" si="10"/>
        <v>100</v>
      </c>
      <c r="T36" s="1804" t="s">
        <v>14</v>
      </c>
      <c r="U36" s="1805">
        <f t="shared" si="11"/>
        <v>100</v>
      </c>
      <c r="V36" s="1804" t="s">
        <v>14</v>
      </c>
      <c r="W36" s="1805">
        <f t="shared" si="12"/>
        <v>100</v>
      </c>
      <c r="X36" s="1743"/>
      <c r="Y36" s="3203"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3"/>
      <c r="Q37" s="1803">
        <f t="shared" si="8"/>
        <v>111</v>
      </c>
      <c r="R37" s="1840" t="s">
        <v>14</v>
      </c>
      <c r="S37" s="1841">
        <f t="shared" si="10"/>
        <v>100</v>
      </c>
      <c r="T37" s="1840" t="s">
        <v>14</v>
      </c>
      <c r="U37" s="1841">
        <f t="shared" si="11"/>
        <v>100</v>
      </c>
      <c r="V37" s="1840" t="s">
        <v>14</v>
      </c>
      <c r="W37" s="1841">
        <f t="shared" si="12"/>
        <v>100</v>
      </c>
      <c r="X37" s="1842"/>
      <c r="Y37" s="3203"/>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3"/>
      <c r="Q38" s="1803" t="str">
        <f>B38</f>
        <v>宗地面积</v>
      </c>
      <c r="R38" s="1804" t="s">
        <v>14</v>
      </c>
      <c r="S38" s="1805" t="e">
        <f t="shared" si="10"/>
        <v>#N/A</v>
      </c>
      <c r="T38" s="1804" t="s">
        <v>14</v>
      </c>
      <c r="U38" s="1805" t="e">
        <f t="shared" si="11"/>
        <v>#N/A</v>
      </c>
      <c r="V38" s="1804" t="s">
        <v>14</v>
      </c>
      <c r="W38" s="1805" t="e">
        <f t="shared" si="12"/>
        <v>#N/A</v>
      </c>
      <c r="X38" s="1743"/>
      <c r="Y38" s="3203"/>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3"/>
      <c r="Q39" s="1803" t="str">
        <f t="shared" ref="Q39:Q45" si="14">B39</f>
        <v>宗地形状</v>
      </c>
      <c r="R39" s="1804" t="s">
        <v>14</v>
      </c>
      <c r="S39" s="1805">
        <f t="shared" si="10"/>
        <v>100</v>
      </c>
      <c r="T39" s="1804" t="s">
        <v>14</v>
      </c>
      <c r="U39" s="1805">
        <f t="shared" si="11"/>
        <v>100</v>
      </c>
      <c r="V39" s="1804" t="s">
        <v>14</v>
      </c>
      <c r="W39" s="1805">
        <f t="shared" si="12"/>
        <v>100</v>
      </c>
      <c r="X39" s="1743"/>
      <c r="Y39" s="3203"/>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3"/>
      <c r="Q40" s="1803" t="str">
        <f t="shared" si="14"/>
        <v>临街宽度及深度</v>
      </c>
      <c r="R40" s="1804" t="s">
        <v>14</v>
      </c>
      <c r="S40" s="1805">
        <f t="shared" si="10"/>
        <v>100</v>
      </c>
      <c r="T40" s="1804" t="s">
        <v>14</v>
      </c>
      <c r="U40" s="1805">
        <f t="shared" si="11"/>
        <v>100</v>
      </c>
      <c r="V40" s="1804" t="s">
        <v>14</v>
      </c>
      <c r="W40" s="1805">
        <f t="shared" si="12"/>
        <v>100</v>
      </c>
      <c r="X40" s="1743"/>
      <c r="Y40" s="3203"/>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3"/>
      <c r="Q41" s="1803" t="str">
        <f t="shared" si="14"/>
        <v>宗地开发程度</v>
      </c>
      <c r="R41" s="463" t="s">
        <v>14</v>
      </c>
      <c r="S41" s="1758">
        <f t="shared" si="10"/>
        <v>100</v>
      </c>
      <c r="T41" s="463" t="s">
        <v>14</v>
      </c>
      <c r="U41" s="1758">
        <f t="shared" si="11"/>
        <v>100</v>
      </c>
      <c r="V41" s="463" t="s">
        <v>14</v>
      </c>
      <c r="W41" s="1758">
        <f t="shared" si="12"/>
        <v>100</v>
      </c>
      <c r="X41" s="1759"/>
      <c r="Y41" s="3203"/>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3" t="s">
        <v>1924</v>
      </c>
      <c r="Q42" s="1803" t="str">
        <f t="shared" si="14"/>
        <v>工程地质条件</v>
      </c>
      <c r="R42" s="1804" t="s">
        <v>14</v>
      </c>
      <c r="S42" s="1805">
        <f t="shared" si="10"/>
        <v>100</v>
      </c>
      <c r="T42" s="1804" t="s">
        <v>14</v>
      </c>
      <c r="U42" s="1805">
        <f t="shared" si="11"/>
        <v>100</v>
      </c>
      <c r="V42" s="1804" t="s">
        <v>14</v>
      </c>
      <c r="W42" s="1805">
        <f t="shared" si="12"/>
        <v>100</v>
      </c>
      <c r="X42" s="1743"/>
      <c r="Y42" s="3203"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3"/>
      <c r="Q43" s="1803">
        <f t="shared" si="14"/>
        <v>111</v>
      </c>
      <c r="R43" s="1804" t="s">
        <v>14</v>
      </c>
      <c r="S43" s="1805">
        <f t="shared" si="10"/>
        <v>100</v>
      </c>
      <c r="T43" s="1804" t="s">
        <v>14</v>
      </c>
      <c r="U43" s="1805">
        <f t="shared" si="11"/>
        <v>100</v>
      </c>
      <c r="V43" s="1804" t="s">
        <v>14</v>
      </c>
      <c r="W43" s="1805">
        <f t="shared" si="12"/>
        <v>100</v>
      </c>
      <c r="X43" s="1743"/>
      <c r="Y43" s="3203"/>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3"/>
      <c r="Q44" s="1803">
        <f t="shared" si="14"/>
        <v>111</v>
      </c>
      <c r="R44" s="1804" t="s">
        <v>14</v>
      </c>
      <c r="S44" s="1805">
        <f t="shared" si="10"/>
        <v>100</v>
      </c>
      <c r="T44" s="1804" t="s">
        <v>14</v>
      </c>
      <c r="U44" s="1805">
        <f t="shared" si="11"/>
        <v>100</v>
      </c>
      <c r="V44" s="1804" t="s">
        <v>14</v>
      </c>
      <c r="W44" s="1805">
        <f t="shared" si="12"/>
        <v>100</v>
      </c>
      <c r="X44" s="1743"/>
      <c r="Y44" s="3203"/>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3"/>
      <c r="Q45" s="1803">
        <f t="shared" si="14"/>
        <v>111</v>
      </c>
      <c r="R45" s="1840" t="s">
        <v>14</v>
      </c>
      <c r="S45" s="1841">
        <f t="shared" si="10"/>
        <v>100</v>
      </c>
      <c r="T45" s="1840" t="s">
        <v>14</v>
      </c>
      <c r="U45" s="1841">
        <f t="shared" si="11"/>
        <v>100</v>
      </c>
      <c r="V45" s="1840" t="s">
        <v>14</v>
      </c>
      <c r="W45" s="1841">
        <f t="shared" si="12"/>
        <v>100</v>
      </c>
      <c r="X45" s="1842"/>
      <c r="Y45" s="3203"/>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6" t="str">
        <f>A46</f>
        <v>成交单价</v>
      </c>
      <c r="Q46" s="3196"/>
      <c r="R46" s="3197">
        <f>E46</f>
        <v>0</v>
      </c>
      <c r="S46" s="3197"/>
      <c r="T46" s="3197">
        <f>G46</f>
        <v>0</v>
      </c>
      <c r="U46" s="3197"/>
      <c r="V46" s="3197">
        <f>I46</f>
        <v>0</v>
      </c>
      <c r="W46" s="3197"/>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6" t="str">
        <f>A47</f>
        <v>比较价值（元/平方米）</v>
      </c>
      <c r="Q47" s="3196"/>
      <c r="R47" s="3197" t="e">
        <f>ROUND(PRODUCT(R46,AA7:AA45),0)</f>
        <v>#DIV/0!</v>
      </c>
      <c r="S47" s="3197"/>
      <c r="T47" s="3197" t="e">
        <f>ROUND(PRODUCT(T46,AB7:AB45),0)</f>
        <v>#DIV/0!</v>
      </c>
      <c r="U47" s="3197"/>
      <c r="V47" s="3197" t="e">
        <f>ROUND(PRODUCT(V46,AC7:AC45),0)</f>
        <v>#DIV/0!</v>
      </c>
      <c r="W47" s="3197"/>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3" t="str">
        <f>A48</f>
        <v>估价对象XX用房的比较价值（楼面单价，元/平方米）</v>
      </c>
      <c r="Q48" s="3194"/>
      <c r="R48" s="3195" t="e">
        <f>ROUND(IF(D47="简单平均",AVERAGE(R47:W47),R47*F47+T47*H47+V47*J47),0)</f>
        <v>#DIV/0!</v>
      </c>
      <c r="S48" s="3195"/>
      <c r="T48" s="3195"/>
      <c r="U48" s="3195"/>
      <c r="V48" s="3195"/>
      <c r="W48" s="3195"/>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1" t="s">
        <v>2123</v>
      </c>
      <c r="H55" s="3255"/>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7"/>
      <c r="H56" s="3196"/>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6"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6"/>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6"/>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6"/>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1" t="s">
        <v>2005</v>
      </c>
      <c r="D4" s="3212"/>
      <c r="E4" s="3213" t="s">
        <v>2006</v>
      </c>
      <c r="F4" s="3214"/>
      <c r="G4" s="3211" t="s">
        <v>2007</v>
      </c>
      <c r="H4" s="3212"/>
      <c r="I4" s="3211" t="s">
        <v>2008</v>
      </c>
      <c r="J4" s="3212"/>
      <c r="K4" s="2042" t="s">
        <v>2009</v>
      </c>
      <c r="L4" s="1741"/>
      <c r="M4" s="1742"/>
      <c r="N4" s="1742"/>
      <c r="O4" s="1742"/>
      <c r="P4" s="3215" t="s">
        <v>2010</v>
      </c>
      <c r="Q4" s="3216"/>
      <c r="R4" s="3221" t="s">
        <v>2006</v>
      </c>
      <c r="S4" s="3222"/>
      <c r="T4" s="3221" t="s">
        <v>2007</v>
      </c>
      <c r="U4" s="3222"/>
      <c r="V4" s="3197" t="s">
        <v>2008</v>
      </c>
      <c r="W4" s="3197"/>
      <c r="X4" s="1743"/>
      <c r="Y4" s="3221" t="s">
        <v>2010</v>
      </c>
      <c r="Z4" s="3222"/>
      <c r="AA4" s="3208" t="s">
        <v>2006</v>
      </c>
      <c r="AB4" s="3209" t="s">
        <v>2007</v>
      </c>
      <c r="AC4" s="3208" t="s">
        <v>2008</v>
      </c>
    </row>
    <row r="5" spans="1:29" ht="15">
      <c r="A5" s="1745"/>
      <c r="B5" s="1746"/>
      <c r="C5" s="3229" t="s">
        <v>1901</v>
      </c>
      <c r="D5" s="3230"/>
      <c r="E5" s="3236" t="s">
        <v>1902</v>
      </c>
      <c r="F5" s="3237"/>
      <c r="G5" s="3229" t="s">
        <v>1903</v>
      </c>
      <c r="H5" s="3230"/>
      <c r="I5" s="3229" t="s">
        <v>1904</v>
      </c>
      <c r="J5" s="3230"/>
      <c r="K5" s="2042"/>
      <c r="L5" s="1741"/>
      <c r="M5" s="1742"/>
      <c r="N5" s="1742"/>
      <c r="O5" s="1742"/>
      <c r="P5" s="3217"/>
      <c r="Q5" s="3218"/>
      <c r="R5" s="3223"/>
      <c r="S5" s="3224"/>
      <c r="T5" s="3223"/>
      <c r="U5" s="3224"/>
      <c r="V5" s="3197"/>
      <c r="W5" s="3197"/>
      <c r="X5" s="1743"/>
      <c r="Y5" s="3223"/>
      <c r="Z5" s="3224"/>
      <c r="AA5" s="3209"/>
      <c r="AB5" s="3209"/>
      <c r="AC5" s="3209"/>
    </row>
    <row r="6" spans="1:29" ht="15.75" thickBot="1">
      <c r="A6" s="1748"/>
      <c r="B6" s="1749"/>
      <c r="C6" s="3257" t="s">
        <v>2156</v>
      </c>
      <c r="D6" s="3258"/>
      <c r="E6" s="3259" t="s">
        <v>2156</v>
      </c>
      <c r="F6" s="3260"/>
      <c r="G6" s="3257" t="s">
        <v>2156</v>
      </c>
      <c r="H6" s="3258"/>
      <c r="I6" s="3257" t="s">
        <v>2156</v>
      </c>
      <c r="J6" s="3258"/>
      <c r="K6" s="2042" t="s">
        <v>1906</v>
      </c>
      <c r="L6" s="1741"/>
      <c r="M6" s="1742"/>
      <c r="N6" s="1742"/>
      <c r="O6" s="1742"/>
      <c r="P6" s="3219"/>
      <c r="Q6" s="3220"/>
      <c r="R6" s="3223"/>
      <c r="S6" s="3224"/>
      <c r="T6" s="3225"/>
      <c r="U6" s="3226"/>
      <c r="V6" s="3197"/>
      <c r="W6" s="3197"/>
      <c r="X6" s="1743"/>
      <c r="Y6" s="3225"/>
      <c r="Z6" s="3226"/>
      <c r="AA6" s="3210"/>
      <c r="AB6" s="3210"/>
      <c r="AC6" s="3210"/>
    </row>
    <row r="7" spans="1:29" s="1760" customFormat="1" ht="15.75" thickBot="1">
      <c r="A7" s="1750" t="s">
        <v>1907</v>
      </c>
      <c r="B7" s="1751"/>
      <c r="C7" s="1752">
        <f>'数据-取费表'!B2</f>
        <v>44784</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1" t="s">
        <v>1908</v>
      </c>
      <c r="Q7" s="3233"/>
      <c r="R7" s="463" t="s">
        <v>14</v>
      </c>
      <c r="S7" s="1758">
        <f t="shared" ref="S7:S15" si="0">F7</f>
        <v>0</v>
      </c>
      <c r="T7" s="463" t="s">
        <v>14</v>
      </c>
      <c r="U7" s="1758">
        <f t="shared" ref="U7:U15" si="1">H7</f>
        <v>0</v>
      </c>
      <c r="V7" s="463" t="s">
        <v>14</v>
      </c>
      <c r="W7" s="1758">
        <f t="shared" ref="W7:W15" si="2">J7</f>
        <v>0</v>
      </c>
      <c r="X7" s="1759"/>
      <c r="Y7" s="3231" t="s">
        <v>1908</v>
      </c>
      <c r="Z7" s="3232"/>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1" t="s">
        <v>1911</v>
      </c>
      <c r="Q8" s="3232"/>
      <c r="R8" s="463" t="s">
        <v>14</v>
      </c>
      <c r="S8" s="1758">
        <f t="shared" si="0"/>
        <v>0</v>
      </c>
      <c r="T8" s="463" t="s">
        <v>14</v>
      </c>
      <c r="U8" s="1758">
        <f t="shared" si="1"/>
        <v>0</v>
      </c>
      <c r="V8" s="463" t="s">
        <v>14</v>
      </c>
      <c r="W8" s="1758">
        <f t="shared" si="2"/>
        <v>0</v>
      </c>
      <c r="X8" s="1759"/>
      <c r="Y8" s="3231" t="s">
        <v>1911</v>
      </c>
      <c r="Z8" s="3232"/>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6" t="s">
        <v>1914</v>
      </c>
      <c r="Q9" s="1769" t="str">
        <f t="shared" ref="Q9:Q15" si="6">B9</f>
        <v>用途</v>
      </c>
      <c r="R9" s="463" t="s">
        <v>14</v>
      </c>
      <c r="S9" s="1758">
        <f t="shared" si="0"/>
        <v>100</v>
      </c>
      <c r="T9" s="463" t="s">
        <v>14</v>
      </c>
      <c r="U9" s="1758">
        <f t="shared" si="1"/>
        <v>100</v>
      </c>
      <c r="V9" s="463" t="s">
        <v>14</v>
      </c>
      <c r="W9" s="1758">
        <f t="shared" si="2"/>
        <v>100</v>
      </c>
      <c r="X9" s="1759"/>
      <c r="Y9" s="3076"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6"/>
      <c r="Q10" s="1769" t="str">
        <f t="shared" si="6"/>
        <v>土地使用年限（年）</v>
      </c>
      <c r="R10" s="463" t="s">
        <v>14</v>
      </c>
      <c r="S10" s="1758" t="e">
        <f t="shared" si="0"/>
        <v>#DIV/0!</v>
      </c>
      <c r="T10" s="463" t="s">
        <v>14</v>
      </c>
      <c r="U10" s="1758" t="e">
        <f t="shared" si="1"/>
        <v>#DIV/0!</v>
      </c>
      <c r="V10" s="463" t="s">
        <v>14</v>
      </c>
      <c r="W10" s="1758" t="e">
        <f t="shared" si="2"/>
        <v>#DIV/0!</v>
      </c>
      <c r="X10" s="1759"/>
      <c r="Y10" s="3076"/>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6"/>
      <c r="Q11" s="1769" t="str">
        <f t="shared" si="6"/>
        <v>容积率</v>
      </c>
      <c r="R11" s="463" t="s">
        <v>14</v>
      </c>
      <c r="S11" s="1758" t="e">
        <f t="shared" si="0"/>
        <v>#N/A</v>
      </c>
      <c r="T11" s="463" t="s">
        <v>14</v>
      </c>
      <c r="U11" s="1758" t="e">
        <f t="shared" si="1"/>
        <v>#N/A</v>
      </c>
      <c r="V11" s="463" t="s">
        <v>14</v>
      </c>
      <c r="W11" s="1758" t="e">
        <f t="shared" si="2"/>
        <v>#N/A</v>
      </c>
      <c r="X11" s="1759"/>
      <c r="Y11" s="307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6"/>
      <c r="Q12" s="1769">
        <f t="shared" si="6"/>
        <v>111</v>
      </c>
      <c r="R12" s="463" t="s">
        <v>14</v>
      </c>
      <c r="S12" s="1758">
        <f t="shared" si="0"/>
        <v>100</v>
      </c>
      <c r="T12" s="463" t="s">
        <v>14</v>
      </c>
      <c r="U12" s="1758">
        <f t="shared" si="1"/>
        <v>100</v>
      </c>
      <c r="V12" s="463" t="s">
        <v>14</v>
      </c>
      <c r="W12" s="1758">
        <f t="shared" si="2"/>
        <v>100</v>
      </c>
      <c r="X12" s="1759"/>
      <c r="Y12" s="3076"/>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6"/>
      <c r="Q13" s="1769">
        <f t="shared" si="6"/>
        <v>111</v>
      </c>
      <c r="R13" s="463" t="s">
        <v>14</v>
      </c>
      <c r="S13" s="1758">
        <f t="shared" si="0"/>
        <v>100</v>
      </c>
      <c r="T13" s="463" t="s">
        <v>14</v>
      </c>
      <c r="U13" s="1758">
        <f t="shared" si="1"/>
        <v>100</v>
      </c>
      <c r="V13" s="463" t="s">
        <v>14</v>
      </c>
      <c r="W13" s="1758">
        <f t="shared" si="2"/>
        <v>100</v>
      </c>
      <c r="X13" s="1759"/>
      <c r="Y13" s="3076"/>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6"/>
      <c r="Q14" s="1769">
        <f t="shared" si="6"/>
        <v>111</v>
      </c>
      <c r="R14" s="463" t="s">
        <v>14</v>
      </c>
      <c r="S14" s="1758">
        <f t="shared" si="0"/>
        <v>100</v>
      </c>
      <c r="T14" s="463" t="s">
        <v>14</v>
      </c>
      <c r="U14" s="1758">
        <f t="shared" si="1"/>
        <v>100</v>
      </c>
      <c r="V14" s="463" t="s">
        <v>14</v>
      </c>
      <c r="W14" s="1758">
        <f t="shared" si="2"/>
        <v>100</v>
      </c>
      <c r="X14" s="1759"/>
      <c r="Y14" s="3076"/>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198" t="s">
        <v>1919</v>
      </c>
      <c r="Q15" s="1803" t="str">
        <f t="shared" si="6"/>
        <v>产业集聚程度</v>
      </c>
      <c r="R15" s="1804" t="s">
        <v>14</v>
      </c>
      <c r="S15" s="1805">
        <f t="shared" si="0"/>
        <v>100</v>
      </c>
      <c r="T15" s="1804" t="s">
        <v>14</v>
      </c>
      <c r="U15" s="1805">
        <f t="shared" si="1"/>
        <v>100</v>
      </c>
      <c r="V15" s="1804" t="s">
        <v>14</v>
      </c>
      <c r="W15" s="1805">
        <f t="shared" si="2"/>
        <v>100</v>
      </c>
      <c r="X15" s="1743"/>
      <c r="Y15" s="3198"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199"/>
      <c r="Q16" s="1803"/>
      <c r="R16" s="1804"/>
      <c r="S16" s="1805"/>
      <c r="T16" s="1804"/>
      <c r="U16" s="1805"/>
      <c r="V16" s="1804"/>
      <c r="W16" s="1805"/>
      <c r="X16" s="1743"/>
      <c r="Y16" s="3199"/>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199"/>
      <c r="Q17" s="1803" t="str">
        <f>B17</f>
        <v>交通便捷度</v>
      </c>
      <c r="R17" s="1804" t="s">
        <v>14</v>
      </c>
      <c r="S17" s="1805">
        <f>F17</f>
        <v>100</v>
      </c>
      <c r="T17" s="1804" t="s">
        <v>14</v>
      </c>
      <c r="U17" s="1805">
        <f>H17</f>
        <v>100</v>
      </c>
      <c r="V17" s="1804" t="s">
        <v>14</v>
      </c>
      <c r="W17" s="1805">
        <f>J17</f>
        <v>100</v>
      </c>
      <c r="X17" s="1743"/>
      <c r="Y17" s="3199"/>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199"/>
      <c r="Q18" s="1803"/>
      <c r="R18" s="1804"/>
      <c r="S18" s="1805"/>
      <c r="T18" s="1804"/>
      <c r="U18" s="1805"/>
      <c r="V18" s="1804"/>
      <c r="W18" s="1805"/>
      <c r="X18" s="1743"/>
      <c r="Y18" s="3199"/>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199"/>
      <c r="Q19" s="1803" t="str">
        <f t="shared" ref="Q19:Q33" si="8">B19</f>
        <v>区域土地利用方向</v>
      </c>
      <c r="R19" s="1804" t="s">
        <v>14</v>
      </c>
      <c r="S19" s="1805">
        <f>F19</f>
        <v>100</v>
      </c>
      <c r="T19" s="1804" t="s">
        <v>14</v>
      </c>
      <c r="U19" s="1805">
        <f>H19</f>
        <v>100</v>
      </c>
      <c r="V19" s="1804" t="s">
        <v>14</v>
      </c>
      <c r="W19" s="1805">
        <f>J19</f>
        <v>100</v>
      </c>
      <c r="X19" s="1743"/>
      <c r="Y19" s="3199"/>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199"/>
      <c r="Q20" s="1803"/>
      <c r="R20" s="1804"/>
      <c r="S20" s="1805"/>
      <c r="T20" s="1804"/>
      <c r="U20" s="1805"/>
      <c r="V20" s="1804"/>
      <c r="W20" s="1805"/>
      <c r="X20" s="1743"/>
      <c r="Y20" s="3199"/>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199"/>
      <c r="Q21" s="1803" t="str">
        <f t="shared" si="8"/>
        <v>环境状况</v>
      </c>
      <c r="R21" s="1804" t="s">
        <v>14</v>
      </c>
      <c r="S21" s="1805">
        <f>F21</f>
        <v>100</v>
      </c>
      <c r="T21" s="1804" t="s">
        <v>14</v>
      </c>
      <c r="U21" s="1805">
        <f>H21</f>
        <v>100</v>
      </c>
      <c r="V21" s="1804" t="s">
        <v>14</v>
      </c>
      <c r="W21" s="1805">
        <f>J21</f>
        <v>100</v>
      </c>
      <c r="X21" s="1743"/>
      <c r="Y21" s="3199"/>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199"/>
      <c r="Q22" s="1803"/>
      <c r="R22" s="1804"/>
      <c r="S22" s="1805"/>
      <c r="T22" s="1804"/>
      <c r="U22" s="1805"/>
      <c r="V22" s="1804"/>
      <c r="W22" s="1805"/>
      <c r="X22" s="1743"/>
      <c r="Y22" s="3199"/>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199"/>
      <c r="Q23" s="1769" t="str">
        <f t="shared" si="8"/>
        <v>公共配套设施</v>
      </c>
      <c r="R23" s="463" t="s">
        <v>14</v>
      </c>
      <c r="S23" s="1758">
        <f>F23</f>
        <v>100</v>
      </c>
      <c r="T23" s="463" t="s">
        <v>14</v>
      </c>
      <c r="U23" s="1758">
        <f>H23</f>
        <v>100</v>
      </c>
      <c r="V23" s="463" t="s">
        <v>14</v>
      </c>
      <c r="W23" s="1758">
        <f>J23</f>
        <v>100</v>
      </c>
      <c r="X23" s="1759"/>
      <c r="Y23" s="3199"/>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199"/>
      <c r="Q24" s="1769"/>
      <c r="R24" s="463"/>
      <c r="S24" s="1758"/>
      <c r="T24" s="463"/>
      <c r="U24" s="1758"/>
      <c r="V24" s="463"/>
      <c r="W24" s="1758"/>
      <c r="X24" s="1759"/>
      <c r="Y24" s="3199"/>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199"/>
      <c r="Q25" s="1769" t="str">
        <f t="shared" ref="Q25" si="9">B25</f>
        <v>基础设施水平</v>
      </c>
      <c r="R25" s="463" t="s">
        <v>14</v>
      </c>
      <c r="S25" s="1758">
        <f>F25</f>
        <v>100</v>
      </c>
      <c r="T25" s="463" t="s">
        <v>14</v>
      </c>
      <c r="U25" s="1758">
        <f>H25</f>
        <v>100</v>
      </c>
      <c r="V25" s="463" t="s">
        <v>14</v>
      </c>
      <c r="W25" s="1758">
        <f>J25</f>
        <v>100</v>
      </c>
      <c r="X25" s="1759"/>
      <c r="Y25" s="3199"/>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199"/>
      <c r="Q26" s="1769"/>
      <c r="R26" s="463"/>
      <c r="S26" s="1758"/>
      <c r="T26" s="463"/>
      <c r="U26" s="1758"/>
      <c r="V26" s="463"/>
      <c r="W26" s="1758"/>
      <c r="X26" s="1759"/>
      <c r="Y26" s="3199"/>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199"/>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199"/>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199"/>
      <c r="Q28" s="1803" t="str">
        <f t="shared" si="8"/>
        <v>毗邻道路的类型与等级</v>
      </c>
      <c r="R28" s="1804" t="s">
        <v>14</v>
      </c>
      <c r="S28" s="1805">
        <f t="shared" si="10"/>
        <v>100</v>
      </c>
      <c r="T28" s="1804" t="s">
        <v>14</v>
      </c>
      <c r="U28" s="1805">
        <f t="shared" si="11"/>
        <v>100</v>
      </c>
      <c r="V28" s="1804" t="s">
        <v>14</v>
      </c>
      <c r="W28" s="1805">
        <f t="shared" si="12"/>
        <v>100</v>
      </c>
      <c r="X28" s="1743"/>
      <c r="Y28" s="3199"/>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199"/>
      <c r="Q29" s="1803"/>
      <c r="R29" s="1804"/>
      <c r="S29" s="1805"/>
      <c r="T29" s="1804"/>
      <c r="U29" s="1805"/>
      <c r="V29" s="1804"/>
      <c r="W29" s="1805"/>
      <c r="X29" s="1743"/>
      <c r="Y29" s="3199"/>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199"/>
      <c r="Q30" s="1803" t="str">
        <f t="shared" si="8"/>
        <v>土地级别</v>
      </c>
      <c r="R30" s="1804" t="s">
        <v>14</v>
      </c>
      <c r="S30" s="1805">
        <f t="shared" si="10"/>
        <v>100</v>
      </c>
      <c r="T30" s="1804" t="s">
        <v>14</v>
      </c>
      <c r="U30" s="1805">
        <f t="shared" si="11"/>
        <v>100</v>
      </c>
      <c r="V30" s="1804" t="s">
        <v>14</v>
      </c>
      <c r="W30" s="1805">
        <f t="shared" si="12"/>
        <v>100</v>
      </c>
      <c r="X30" s="1743"/>
      <c r="Y30" s="3199"/>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199"/>
      <c r="Q31" s="1803">
        <f t="shared" si="8"/>
        <v>111</v>
      </c>
      <c r="R31" s="1804" t="s">
        <v>14</v>
      </c>
      <c r="S31" s="1805">
        <f t="shared" si="10"/>
        <v>100</v>
      </c>
      <c r="T31" s="1804" t="s">
        <v>14</v>
      </c>
      <c r="U31" s="1805">
        <f t="shared" si="11"/>
        <v>100</v>
      </c>
      <c r="V31" s="1804" t="s">
        <v>14</v>
      </c>
      <c r="W31" s="1805">
        <f t="shared" si="12"/>
        <v>100</v>
      </c>
      <c r="X31" s="1743"/>
      <c r="Y31" s="3199"/>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3" t="s">
        <v>1924</v>
      </c>
      <c r="Q32" s="1803">
        <f t="shared" si="8"/>
        <v>111</v>
      </c>
      <c r="R32" s="1804" t="s">
        <v>14</v>
      </c>
      <c r="S32" s="1805">
        <f t="shared" si="10"/>
        <v>100</v>
      </c>
      <c r="T32" s="1804" t="s">
        <v>14</v>
      </c>
      <c r="U32" s="1805">
        <f t="shared" si="11"/>
        <v>100</v>
      </c>
      <c r="V32" s="1804" t="s">
        <v>14</v>
      </c>
      <c r="W32" s="1805">
        <f t="shared" si="12"/>
        <v>100</v>
      </c>
      <c r="X32" s="1743"/>
      <c r="Y32" s="3203"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3"/>
      <c r="Q33" s="1803">
        <f t="shared" si="8"/>
        <v>111</v>
      </c>
      <c r="R33" s="1840" t="s">
        <v>14</v>
      </c>
      <c r="S33" s="1841">
        <f t="shared" si="10"/>
        <v>100</v>
      </c>
      <c r="T33" s="1840" t="s">
        <v>14</v>
      </c>
      <c r="U33" s="1841">
        <f t="shared" si="11"/>
        <v>100</v>
      </c>
      <c r="V33" s="1840" t="s">
        <v>14</v>
      </c>
      <c r="W33" s="1841">
        <f t="shared" si="12"/>
        <v>100</v>
      </c>
      <c r="X33" s="1842"/>
      <c r="Y33" s="3203"/>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3"/>
      <c r="Q34" s="1803" t="str">
        <f>B34</f>
        <v>宗地面积</v>
      </c>
      <c r="R34" s="1804" t="s">
        <v>14</v>
      </c>
      <c r="S34" s="1805" t="e">
        <f t="shared" si="10"/>
        <v>#N/A</v>
      </c>
      <c r="T34" s="1804" t="s">
        <v>14</v>
      </c>
      <c r="U34" s="1805" t="e">
        <f t="shared" si="11"/>
        <v>#N/A</v>
      </c>
      <c r="V34" s="1804" t="s">
        <v>14</v>
      </c>
      <c r="W34" s="1805" t="e">
        <f t="shared" si="12"/>
        <v>#N/A</v>
      </c>
      <c r="X34" s="1743"/>
      <c r="Y34" s="3203"/>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3"/>
      <c r="Q35" s="1803" t="str">
        <f t="shared" ref="Q35:Q40" si="14">B35</f>
        <v>宗地形状</v>
      </c>
      <c r="R35" s="1804" t="s">
        <v>14</v>
      </c>
      <c r="S35" s="1805">
        <f t="shared" si="10"/>
        <v>100</v>
      </c>
      <c r="T35" s="1804" t="s">
        <v>14</v>
      </c>
      <c r="U35" s="1805">
        <f t="shared" si="11"/>
        <v>100</v>
      </c>
      <c r="V35" s="1804" t="s">
        <v>14</v>
      </c>
      <c r="W35" s="1805">
        <f t="shared" si="12"/>
        <v>100</v>
      </c>
      <c r="X35" s="1743"/>
      <c r="Y35" s="3203"/>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3"/>
      <c r="Q36" s="1803" t="str">
        <f t="shared" si="14"/>
        <v>宗地开发程度</v>
      </c>
      <c r="R36" s="463" t="s">
        <v>14</v>
      </c>
      <c r="S36" s="1758">
        <f t="shared" si="10"/>
        <v>100</v>
      </c>
      <c r="T36" s="463" t="s">
        <v>14</v>
      </c>
      <c r="U36" s="1758">
        <f t="shared" si="11"/>
        <v>100</v>
      </c>
      <c r="V36" s="463" t="s">
        <v>14</v>
      </c>
      <c r="W36" s="1758">
        <f t="shared" si="12"/>
        <v>100</v>
      </c>
      <c r="X36" s="1759"/>
      <c r="Y36" s="3203"/>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3" t="s">
        <v>1924</v>
      </c>
      <c r="Q37" s="1803" t="str">
        <f t="shared" si="14"/>
        <v>工程地质条件</v>
      </c>
      <c r="R37" s="1804" t="s">
        <v>14</v>
      </c>
      <c r="S37" s="1805">
        <f t="shared" si="10"/>
        <v>100</v>
      </c>
      <c r="T37" s="1804" t="s">
        <v>14</v>
      </c>
      <c r="U37" s="1805">
        <f t="shared" si="11"/>
        <v>100</v>
      </c>
      <c r="V37" s="1804" t="s">
        <v>14</v>
      </c>
      <c r="W37" s="1805">
        <f t="shared" si="12"/>
        <v>100</v>
      </c>
      <c r="X37" s="1743"/>
      <c r="Y37" s="3203"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3"/>
      <c r="Q38" s="1803">
        <f t="shared" si="14"/>
        <v>111</v>
      </c>
      <c r="R38" s="1804" t="s">
        <v>14</v>
      </c>
      <c r="S38" s="1805">
        <f t="shared" si="10"/>
        <v>100</v>
      </c>
      <c r="T38" s="1804" t="s">
        <v>14</v>
      </c>
      <c r="U38" s="1805">
        <f t="shared" si="11"/>
        <v>100</v>
      </c>
      <c r="V38" s="1804" t="s">
        <v>14</v>
      </c>
      <c r="W38" s="1805">
        <f t="shared" si="12"/>
        <v>100</v>
      </c>
      <c r="X38" s="1743"/>
      <c r="Y38" s="3203"/>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3"/>
      <c r="Q39" s="1803">
        <f t="shared" si="14"/>
        <v>111</v>
      </c>
      <c r="R39" s="1804" t="s">
        <v>14</v>
      </c>
      <c r="S39" s="1805">
        <f t="shared" si="10"/>
        <v>100</v>
      </c>
      <c r="T39" s="1804" t="s">
        <v>14</v>
      </c>
      <c r="U39" s="1805">
        <f t="shared" si="11"/>
        <v>100</v>
      </c>
      <c r="V39" s="1804" t="s">
        <v>14</v>
      </c>
      <c r="W39" s="1805">
        <f t="shared" si="12"/>
        <v>100</v>
      </c>
      <c r="X39" s="1743"/>
      <c r="Y39" s="3203"/>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3"/>
      <c r="Q40" s="1803">
        <f t="shared" si="14"/>
        <v>111</v>
      </c>
      <c r="R40" s="1840" t="s">
        <v>14</v>
      </c>
      <c r="S40" s="1841">
        <f t="shared" si="10"/>
        <v>100</v>
      </c>
      <c r="T40" s="1840" t="s">
        <v>14</v>
      </c>
      <c r="U40" s="1841">
        <f t="shared" si="11"/>
        <v>100</v>
      </c>
      <c r="V40" s="1840" t="s">
        <v>14</v>
      </c>
      <c r="W40" s="1841">
        <f t="shared" si="12"/>
        <v>100</v>
      </c>
      <c r="X40" s="1842"/>
      <c r="Y40" s="3203"/>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6" t="str">
        <f>A41</f>
        <v>成交单价</v>
      </c>
      <c r="Q41" s="3196"/>
      <c r="R41" s="3197">
        <f>E41</f>
        <v>0</v>
      </c>
      <c r="S41" s="3197"/>
      <c r="T41" s="3197">
        <f>G41</f>
        <v>0</v>
      </c>
      <c r="U41" s="3197"/>
      <c r="V41" s="3197">
        <f>I41</f>
        <v>0</v>
      </c>
      <c r="W41" s="3197"/>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6" t="str">
        <f>A42</f>
        <v>比较价值（元/平方米）</v>
      </c>
      <c r="Q42" s="3196"/>
      <c r="R42" s="3197" t="e">
        <f>ROUND(PRODUCT(R41,AA7:AA40),0)</f>
        <v>#DIV/0!</v>
      </c>
      <c r="S42" s="3197"/>
      <c r="T42" s="3197" t="e">
        <f>ROUND(PRODUCT(T41,AB7:AB40),0)</f>
        <v>#DIV/0!</v>
      </c>
      <c r="U42" s="3197"/>
      <c r="V42" s="3197" t="e">
        <f>ROUND(PRODUCT(V41,AC7:AC40),0)</f>
        <v>#DIV/0!</v>
      </c>
      <c r="W42" s="3197"/>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3" t="str">
        <f>A43</f>
        <v>估价对象XX用房的比较价值（楼面单价，元/平方米）</v>
      </c>
      <c r="Q43" s="3194"/>
      <c r="R43" s="3195" t="e">
        <f>ROUND(IF(D42="简单平均",AVERAGE(R42:W42),R42*F42+T42*H42+V42*J42),0)</f>
        <v>#DIV/0!</v>
      </c>
      <c r="S43" s="3195"/>
      <c r="T43" s="3195"/>
      <c r="U43" s="3195"/>
      <c r="V43" s="3195"/>
      <c r="W43" s="3195"/>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1" t="s">
        <v>2123</v>
      </c>
      <c r="H50" s="3255"/>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7"/>
      <c r="H51" s="3196"/>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6"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6"/>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6"/>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6"/>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I47" sqref="I4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42642.17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8341</v>
      </c>
      <c r="C2" s="2266" t="s">
        <v>2172</v>
      </c>
      <c r="D2" s="473" t="s">
        <v>2173</v>
      </c>
      <c r="E2" s="2267" t="s">
        <v>3</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Ⅵ-亦3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2776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1956</v>
      </c>
      <c r="C3" s="2266" t="s">
        <v>2178</v>
      </c>
      <c r="D3" s="473" t="s">
        <v>2179</v>
      </c>
      <c r="E3" s="2267" t="s">
        <v>2866</v>
      </c>
      <c r="F3" s="2270" t="s">
        <v>3101</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2188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3"/>
      <c r="B4" s="3264"/>
      <c r="C4" s="3264"/>
      <c r="D4" s="3265"/>
      <c r="E4" s="3265"/>
      <c r="F4" s="3265"/>
      <c r="G4" s="3265"/>
      <c r="H4" s="3265"/>
      <c r="I4" s="3265"/>
      <c r="J4" s="3266"/>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1849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1968</v>
      </c>
      <c r="D5" s="2274">
        <f>ROUND(C6*C17+C20,0)</f>
        <v>1968</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1631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2010</v>
      </c>
      <c r="D6" s="2285" t="s">
        <v>2188</v>
      </c>
      <c r="E6" s="2284"/>
      <c r="F6" s="2284"/>
      <c r="G6" s="2286"/>
      <c r="H6" s="2286"/>
      <c r="I6" s="2286"/>
      <c r="J6" s="2287"/>
      <c r="K6" s="1414"/>
      <c r="L6" s="2268" t="s">
        <v>2189</v>
      </c>
      <c r="M6" s="475">
        <f>SUMPRODUCT((区片价!B127:B189=I2)*(区片价!C3:G3=E2)*(区片价!C127:G189))</f>
        <v>2010</v>
      </c>
      <c r="N6" s="473">
        <f>SUMPRODUCT((因素修正幅度!B127:B189=I2)*(因素修正幅度!C3:G3=E2)*(因素修正幅度!C127:G189))</f>
        <v>0.13</v>
      </c>
      <c r="O6" s="2259"/>
      <c r="P6" s="2259"/>
      <c r="Q6" s="2259"/>
      <c r="R6" s="477">
        <v>5</v>
      </c>
      <c r="S6" s="477">
        <f>ROUND(SUMPRODUCT((B107:B111=R6)*(C106:N106=G2)*(C107:N111)),4)</f>
        <v>0.84799999999999998</v>
      </c>
      <c r="T6" s="477">
        <f t="shared" si="0"/>
        <v>1568</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六级</v>
      </c>
      <c r="Y7" s="498" t="s">
        <v>2194</v>
      </c>
      <c r="Z7" s="498">
        <f>G3</f>
        <v>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1" t="s">
        <v>2198</v>
      </c>
      <c r="X8" s="3262"/>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2"/>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2"/>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v>0</v>
      </c>
      <c r="F19" s="2985" t="s">
        <v>3081</v>
      </c>
      <c r="G19" s="2986">
        <v>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-42</v>
      </c>
      <c r="D20" s="3267" t="s">
        <v>2237</v>
      </c>
      <c r="E20" s="3268"/>
      <c r="F20" s="3267" t="s">
        <v>2234</v>
      </c>
      <c r="G20" s="3268"/>
      <c r="H20" s="3316" t="s">
        <v>3102</v>
      </c>
      <c r="I20" s="3316" t="s">
        <v>3103</v>
      </c>
      <c r="J20" s="3317" t="s">
        <v>3104</v>
      </c>
      <c r="K20" s="3316" t="s">
        <v>3105</v>
      </c>
      <c r="L20" s="3316" t="s">
        <v>3106</v>
      </c>
      <c r="M20" s="3316" t="s">
        <v>3107</v>
      </c>
      <c r="N20" s="3316" t="s">
        <v>3108</v>
      </c>
      <c r="O20" s="2347"/>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8"/>
      <c r="B21" s="2349" t="s">
        <v>2236</v>
      </c>
      <c r="C21" s="482">
        <f>IF(E3="M4科研用地",SUMPRODUCT((修正!A2:A7=E3)*(修正!B1:M1=G2)*(修正!B2:M7)),SUMPRODUCT((修正!A2:A7=E2)*(修正!B1:M1=G2)*(修正!B2:M7)))</f>
        <v>1.2</v>
      </c>
      <c r="D21" s="497" t="str">
        <f>IF(OR(G2="八级",G2="九级",G2="十级",G2="十一级",G2="十二级"),"五通一平","七通一平")</f>
        <v>七通一平</v>
      </c>
      <c r="E21" s="484">
        <f>SUMPRODUCT((修正!B1:M1=G2)*(修正!B17:M17))</f>
        <v>315</v>
      </c>
      <c r="F21" s="2350" t="s">
        <v>3091</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1" t="s">
        <v>571</v>
      </c>
      <c r="B22" s="2352" t="s">
        <v>2239</v>
      </c>
      <c r="C22" s="483">
        <f>SUMIF(修正!C20:C51,E3,修正!E20:E51)</f>
        <v>1</v>
      </c>
      <c r="D22" s="2353"/>
      <c r="E22" s="2354"/>
      <c r="F22" s="2354"/>
      <c r="G22" s="2354"/>
      <c r="H22" s="2354"/>
      <c r="I22" s="2354"/>
      <c r="J22" s="2355"/>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6" t="s">
        <v>572</v>
      </c>
      <c r="B23" s="2357" t="s">
        <v>2240</v>
      </c>
      <c r="C23" s="23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8" t="s">
        <v>2241</v>
      </c>
      <c r="E23" s="2842">
        <v>44197</v>
      </c>
      <c r="F23" s="2358" t="s">
        <v>2242</v>
      </c>
      <c r="G23" s="2841">
        <f>项目基本情况!D3</f>
        <v>44784</v>
      </c>
      <c r="H23" s="2360" t="s">
        <v>3109</v>
      </c>
      <c r="I23" s="2359" t="str">
        <f>IF(H23="季度增幅（自定义）",SUMIF(N25:N28,E2,O25:O28),"")</f>
        <v/>
      </c>
      <c r="J23" s="2981" t="s">
        <v>3093</v>
      </c>
      <c r="K23" s="2346"/>
      <c r="L23" s="2361"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2" t="s">
        <v>573</v>
      </c>
      <c r="B24" s="2363" t="s">
        <v>2245</v>
      </c>
      <c r="C24" s="2363">
        <f>ROUND(POWER(1+G24,J24-I24)*(POWER(1+G24,I24)-1)/(POWER(1+G24,J24)-1),4)</f>
        <v>0.85529999999999995</v>
      </c>
      <c r="D24" s="2364" t="s">
        <v>2246</v>
      </c>
      <c r="E24" s="2364">
        <f>存贷款利率!E20/100</f>
        <v>4.3499999999999997E-2</v>
      </c>
      <c r="F24" s="2364" t="s">
        <v>2238</v>
      </c>
      <c r="G24" s="2365">
        <f>SUMIF(M30:Q30,E2,M33:Q33)</f>
        <v>0.05</v>
      </c>
      <c r="H24" s="2364" t="s">
        <v>2247</v>
      </c>
      <c r="I24" s="2366">
        <f>项目基本情况!I15</f>
        <v>31.1</v>
      </c>
      <c r="J24" s="494">
        <f>IF(E2="住宅",70,IF(E2="商业",40,50))</f>
        <v>50</v>
      </c>
      <c r="K24" s="2346"/>
      <c r="L24" s="2367" t="s">
        <v>2248</v>
      </c>
      <c r="M24" s="489">
        <f>ROUND(SUMPRODUCT((地价!A4:A13=YEAR(G23)&amp;"-"&amp;ROUNDUP(MONTH(G23)/3,0))*(地价!B2:G2=E2)*(地价!B4:G13)),0)</f>
        <v>342</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3090</v>
      </c>
      <c r="C25" s="491">
        <f>IF(B25="容积率修正",IF(G3&lt;10,D26,J26),C27)</f>
        <v>1.0583</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1.0583</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0</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2" t="s">
        <v>575</v>
      </c>
      <c r="B28" s="2357" t="s">
        <v>2259</v>
      </c>
      <c r="C28" s="2357">
        <f>SUMIF(A48:A102,E2,B48:B102)</f>
        <v>1.0578000000000001</v>
      </c>
      <c r="D28" s="2385"/>
      <c r="E28" s="2358"/>
      <c r="F28" s="2358"/>
      <c r="G28" s="2358"/>
      <c r="H28" s="2358"/>
      <c r="I28" s="2358"/>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2"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f>IF(B25="容积率修正",E33+SUM(E37:E42),SUM(V2:V16)+SUM(E37:E42))</f>
        <v>8341</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f>E34+SUM(I37:I42)</f>
        <v>0</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2"/>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1956</v>
      </c>
      <c r="D33" s="2419">
        <f>'[3]数据-汇总表'!$D$3</f>
        <v>42642.17</v>
      </c>
      <c r="E33" s="2420">
        <f>ROUND(C33*D33/10000,0)</f>
        <v>8341</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8"/>
      <c r="B34" s="485" t="s">
        <v>2270</v>
      </c>
      <c r="C34" s="497">
        <f>ROUND(IF(E2="工业",C33*M42,IF(B25="楼层修正",SUM(V2:V16)*M41*10000/D34,C33*M41)),0)</f>
        <v>293</v>
      </c>
      <c r="D34" s="2426"/>
      <c r="E34" s="2420">
        <f>ROUND(IF(B25="楼层修正",SUM(V2:V16)*M41,C34*D34/10000),0)</f>
        <v>0</v>
      </c>
      <c r="F34" s="2349"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43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2"/>
      <c r="B37" s="2438" t="s">
        <v>2275</v>
      </c>
      <c r="C37" s="495">
        <f>ROUND(D5*C22*C23*C24*C28*F37,0)</f>
        <v>1109</v>
      </c>
      <c r="D37" s="2419"/>
      <c r="E37" s="473">
        <f>ROUND(C37*D37/10000,0)</f>
        <v>0</v>
      </c>
      <c r="F37" s="473">
        <f>SUMIF(修正!A57:A68,G2,修正!B57:B68)</f>
        <v>0.6</v>
      </c>
      <c r="G37" s="473">
        <f>ROUND(IF(E2="工业",C37*$M$42,C37*$M$41),0)</f>
        <v>166</v>
      </c>
      <c r="H37" s="473">
        <f>D37</f>
        <v>0</v>
      </c>
      <c r="I37" s="473">
        <f>ROUND(G37*H37/10000,0)</f>
        <v>0</v>
      </c>
      <c r="J37" s="3274"/>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3"/>
      <c r="B38" s="2321" t="s">
        <v>2276</v>
      </c>
      <c r="C38" s="495">
        <f>ROUND(D5*C22*C23*C24*C28*F38,0)</f>
        <v>555</v>
      </c>
      <c r="D38" s="2419"/>
      <c r="E38" s="473">
        <f t="shared" ref="E38:E42" si="4">ROUND(C38*D38/10000,0)</f>
        <v>0</v>
      </c>
      <c r="F38" s="473">
        <f>SUMIF(修正!A57:A68,G2,修正!C57:C68)</f>
        <v>0.3</v>
      </c>
      <c r="G38" s="473">
        <f>ROUND(IF(E2="工业",C38*$M$42,C38*$M$41),0)</f>
        <v>83</v>
      </c>
      <c r="H38" s="473">
        <f t="shared" ref="H38:H42" si="5">D38</f>
        <v>0</v>
      </c>
      <c r="I38" s="473">
        <f t="shared" ref="I38:I42" si="6">ROUND(G38*H38/10000,0)</f>
        <v>0</v>
      </c>
      <c r="J38" s="3273"/>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3"/>
      <c r="B39" s="2321" t="s">
        <v>2940</v>
      </c>
      <c r="C39" s="495">
        <f>ROUND(D5*C22*C23*C24*C28*F39,0)</f>
        <v>462</v>
      </c>
      <c r="D39" s="2419"/>
      <c r="E39" s="473">
        <f t="shared" si="4"/>
        <v>0</v>
      </c>
      <c r="F39" s="473">
        <f>SUMIF(修正!A57:A68,G2,修正!D57:D68)</f>
        <v>0.25</v>
      </c>
      <c r="G39" s="473">
        <f>ROUND(IF(E2="工业",C39*$M$42,C39*$M$41),0)</f>
        <v>69</v>
      </c>
      <c r="H39" s="473">
        <f t="shared" si="5"/>
        <v>0</v>
      </c>
      <c r="I39" s="473">
        <f t="shared" si="6"/>
        <v>0</v>
      </c>
      <c r="J39" s="3273"/>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462</v>
      </c>
      <c r="D40" s="2419"/>
      <c r="E40" s="473">
        <f t="shared" si="4"/>
        <v>0</v>
      </c>
      <c r="F40" s="495">
        <f>SUMIF(修正!A57:A68,G2,修正!E57:E68)</f>
        <v>0.25</v>
      </c>
      <c r="G40" s="473">
        <f>ROUND(IF(E2="工业",C40*$M$42,C40*$M$41),0)</f>
        <v>69</v>
      </c>
      <c r="H40" s="473">
        <f t="shared" si="5"/>
        <v>0</v>
      </c>
      <c r="I40" s="473">
        <f t="shared" si="6"/>
        <v>0</v>
      </c>
      <c r="J40" s="2441"/>
      <c r="L40" s="2442" t="s">
        <v>2278</v>
      </c>
      <c r="M40" s="2292"/>
    </row>
    <row r="41" spans="1:30" s="2259" customFormat="1">
      <c r="A41" s="2440"/>
      <c r="B41" s="2321" t="s">
        <v>2279</v>
      </c>
      <c r="C41" s="473">
        <f>ROUND(D5*C22*C23*C44*C28*F41,0)</f>
        <v>0</v>
      </c>
      <c r="D41" s="2419"/>
      <c r="E41" s="473">
        <f t="shared" si="4"/>
        <v>0</v>
      </c>
      <c r="F41" s="495">
        <f>SUMIF(修正!A57:A68,G2,修正!F57:F68)</f>
        <v>0.25</v>
      </c>
      <c r="G41" s="473">
        <f>ROUND(IF(E2="工业",C41*$M$42,C41*$M$41),0)</f>
        <v>0</v>
      </c>
      <c r="H41" s="473">
        <f t="shared" si="5"/>
        <v>0</v>
      </c>
      <c r="I41" s="473">
        <f t="shared" si="6"/>
        <v>0</v>
      </c>
      <c r="J41" s="2441"/>
      <c r="L41" s="1468" t="s">
        <v>3045</v>
      </c>
      <c r="M41" s="2443">
        <v>0.25</v>
      </c>
    </row>
    <row r="42" spans="1:30" s="2259" customFormat="1" ht="13.5" thickBot="1">
      <c r="A42" s="2348"/>
      <c r="B42" s="2444" t="s">
        <v>2280</v>
      </c>
      <c r="C42" s="497">
        <f>ROUND(D5*C22*C23*C44*C28*F42,0)</f>
        <v>0</v>
      </c>
      <c r="D42" s="2426"/>
      <c r="E42" s="497">
        <f t="shared" si="4"/>
        <v>0</v>
      </c>
      <c r="F42" s="496">
        <f>SUMIF(修正!A57:A68,G2,修正!G57:G68)</f>
        <v>0.15</v>
      </c>
      <c r="G42" s="497">
        <f>ROUND(IF(E2="工业",C42*$M$42,C42*$M$41),0)</f>
        <v>0</v>
      </c>
      <c r="H42" s="497">
        <f t="shared" si="5"/>
        <v>0</v>
      </c>
      <c r="I42" s="497">
        <f t="shared" si="6"/>
        <v>0</v>
      </c>
      <c r="J42" s="2411"/>
      <c r="L42" s="2416" t="s">
        <v>2232</v>
      </c>
      <c r="M42" s="2417">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v>
      </c>
      <c r="C49" s="2450"/>
      <c r="D49" s="2451"/>
      <c r="E49" s="2452"/>
      <c r="F49" s="2453"/>
      <c r="G49" s="2447"/>
      <c r="H49" s="2447"/>
      <c r="I49" s="2447"/>
      <c r="J49" s="2447"/>
      <c r="K49" s="2447"/>
      <c r="L49" s="2447"/>
      <c r="M49" s="2447"/>
    </row>
    <row r="50" spans="1:14" s="2259" customFormat="1" ht="24.75">
      <c r="A50" s="2454" t="s">
        <v>2283</v>
      </c>
      <c r="B50" s="499" t="s">
        <v>2284</v>
      </c>
      <c r="C50" s="499" t="s">
        <v>2285</v>
      </c>
      <c r="D50" s="499" t="s">
        <v>2286</v>
      </c>
      <c r="E50" s="2413" t="s">
        <v>2287</v>
      </c>
      <c r="F50" s="2455" t="s">
        <v>2288</v>
      </c>
      <c r="G50" s="2456" t="s">
        <v>517</v>
      </c>
      <c r="H50" s="502" t="s">
        <v>2289</v>
      </c>
      <c r="I50" s="499" t="s">
        <v>2290</v>
      </c>
      <c r="J50" s="1108" t="s">
        <v>1956</v>
      </c>
      <c r="K50" s="1108" t="s">
        <v>1957</v>
      </c>
      <c r="L50" s="1108" t="s">
        <v>1958</v>
      </c>
      <c r="M50" s="1108" t="s">
        <v>1959</v>
      </c>
      <c r="N50" s="1108" t="s">
        <v>1960</v>
      </c>
    </row>
    <row r="51" spans="1:14" s="2259" customFormat="1" ht="38.25">
      <c r="A51" s="2454" t="s">
        <v>2291</v>
      </c>
      <c r="B51" s="499" t="str">
        <f>估价对象房地状况!C4</f>
        <v>估价对象位于XX商圈，周边商业氛围成熟，人流量大，商业繁华度好</v>
      </c>
      <c r="C51" s="2325"/>
      <c r="D51" s="499">
        <f t="shared" ref="D51:D59" si="7">SUMIF($J$50:$N$50,C51,J51:N51)</f>
        <v>0</v>
      </c>
      <c r="E51" s="2457">
        <f>ROUND(SUM(D51:D59),4)</f>
        <v>0</v>
      </c>
      <c r="F51" s="2329" t="str">
        <f>IF(E2="商业",SUMIF(L1:L12,G2,N1:N12),"——")</f>
        <v>——</v>
      </c>
      <c r="G51" s="2458"/>
      <c r="H51" s="2459"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4" t="s">
        <v>2292</v>
      </c>
      <c r="B52" s="499" t="str">
        <f>估价对象房地状况!C18</f>
        <v>估价对象周边道路状况、公共交通通达情况、停车便捷程度，综合评价交通便捷度较好</v>
      </c>
      <c r="C52" s="2325"/>
      <c r="D52" s="499">
        <f t="shared" si="7"/>
        <v>0</v>
      </c>
      <c r="E52" s="2460"/>
      <c r="F52" s="2401"/>
      <c r="G52" s="2458"/>
      <c r="H52" s="2459" t="str">
        <f t="shared" si="8"/>
        <v>——</v>
      </c>
      <c r="I52" s="499">
        <v>0.22</v>
      </c>
      <c r="J52" s="493">
        <f t="shared" si="9"/>
        <v>0</v>
      </c>
      <c r="K52" s="493">
        <f t="shared" si="10"/>
        <v>0</v>
      </c>
      <c r="L52" s="493">
        <v>0</v>
      </c>
      <c r="M52" s="493">
        <f t="shared" si="11"/>
        <v>0</v>
      </c>
      <c r="N52" s="493">
        <f t="shared" si="11"/>
        <v>0</v>
      </c>
    </row>
    <row r="53" spans="1:14" s="2259" customFormat="1" ht="36">
      <c r="A53" s="2461" t="s">
        <v>2814</v>
      </c>
      <c r="B53" s="499">
        <f>估价对象房地状况!C19</f>
        <v>0</v>
      </c>
      <c r="C53" s="2325"/>
      <c r="D53" s="499">
        <f t="shared" si="7"/>
        <v>0</v>
      </c>
      <c r="E53" s="2460"/>
      <c r="F53" s="2401"/>
      <c r="G53" s="2458"/>
      <c r="H53" s="2459" t="str">
        <f t="shared" si="8"/>
        <v>——</v>
      </c>
      <c r="I53" s="499">
        <v>0.12</v>
      </c>
      <c r="J53" s="493">
        <f t="shared" si="9"/>
        <v>0</v>
      </c>
      <c r="K53" s="493">
        <f t="shared" si="10"/>
        <v>0</v>
      </c>
      <c r="L53" s="493">
        <v>0</v>
      </c>
      <c r="M53" s="493">
        <f t="shared" si="11"/>
        <v>0</v>
      </c>
      <c r="N53" s="493">
        <f t="shared" si="11"/>
        <v>0</v>
      </c>
    </row>
    <row r="54" spans="1:14" s="2259" customFormat="1" ht="36.75">
      <c r="A54" s="2454" t="s">
        <v>2293</v>
      </c>
      <c r="B54" s="2462" t="s">
        <v>2294</v>
      </c>
      <c r="C54" s="2325"/>
      <c r="D54" s="499">
        <f t="shared" si="7"/>
        <v>0</v>
      </c>
      <c r="E54" s="2460"/>
      <c r="F54" s="2401"/>
      <c r="G54" s="2458"/>
      <c r="H54" s="2459" t="str">
        <f t="shared" si="8"/>
        <v>——</v>
      </c>
      <c r="I54" s="499">
        <v>0.05</v>
      </c>
      <c r="J54" s="493">
        <f t="shared" si="9"/>
        <v>0</v>
      </c>
      <c r="K54" s="493">
        <f t="shared" si="10"/>
        <v>0</v>
      </c>
      <c r="L54" s="493">
        <v>0</v>
      </c>
      <c r="M54" s="493">
        <f t="shared" si="11"/>
        <v>0</v>
      </c>
      <c r="N54" s="493">
        <f t="shared" si="11"/>
        <v>0</v>
      </c>
    </row>
    <row r="55" spans="1:14" s="2259" customFormat="1" ht="24">
      <c r="A55" s="2454" t="s">
        <v>2295</v>
      </c>
      <c r="B55" s="499">
        <f>估价对象房地状况!C24</f>
        <v>0</v>
      </c>
      <c r="C55" s="2325"/>
      <c r="D55" s="499">
        <f t="shared" si="7"/>
        <v>0</v>
      </c>
      <c r="E55" s="2460"/>
      <c r="F55" s="2401"/>
      <c r="G55" s="2458"/>
      <c r="H55" s="2459" t="str">
        <f t="shared" si="8"/>
        <v>——</v>
      </c>
      <c r="I55" s="499">
        <v>0.08</v>
      </c>
      <c r="J55" s="493">
        <f t="shared" si="9"/>
        <v>0</v>
      </c>
      <c r="K55" s="493">
        <f t="shared" si="10"/>
        <v>0</v>
      </c>
      <c r="L55" s="493">
        <v>0</v>
      </c>
      <c r="M55" s="493">
        <f t="shared" si="11"/>
        <v>0</v>
      </c>
      <c r="N55" s="493">
        <f t="shared" si="11"/>
        <v>0</v>
      </c>
    </row>
    <row r="56" spans="1:14" s="2259" customFormat="1" ht="24">
      <c r="A56" s="2454" t="s">
        <v>2296</v>
      </c>
      <c r="B56" s="2463" t="s">
        <v>2297</v>
      </c>
      <c r="C56" s="2325"/>
      <c r="D56" s="499">
        <f t="shared" si="7"/>
        <v>0</v>
      </c>
      <c r="E56" s="2460"/>
      <c r="F56" s="2401"/>
      <c r="G56" s="2458"/>
      <c r="H56" s="2459" t="str">
        <f t="shared" si="8"/>
        <v>——</v>
      </c>
      <c r="I56" s="499">
        <v>0.05</v>
      </c>
      <c r="J56" s="493">
        <f t="shared" si="9"/>
        <v>0</v>
      </c>
      <c r="K56" s="493">
        <f t="shared" si="10"/>
        <v>0</v>
      </c>
      <c r="L56" s="493">
        <v>0</v>
      </c>
      <c r="M56" s="493">
        <f t="shared" si="11"/>
        <v>0</v>
      </c>
      <c r="N56" s="493">
        <f t="shared" si="11"/>
        <v>0</v>
      </c>
    </row>
    <row r="57" spans="1:14" s="2259" customFormat="1" ht="25.5">
      <c r="A57" s="2464" t="s">
        <v>2298</v>
      </c>
      <c r="B57" s="999" t="str">
        <f>估价对象房地状况!C21</f>
        <v>估价对象所在区域公共配套设施齐备情况</v>
      </c>
      <c r="C57" s="2325"/>
      <c r="D57" s="499">
        <f t="shared" si="7"/>
        <v>0</v>
      </c>
      <c r="E57" s="2460"/>
      <c r="F57" s="2401"/>
      <c r="G57" s="2458"/>
      <c r="H57" s="2459" t="str">
        <f t="shared" si="8"/>
        <v>——</v>
      </c>
      <c r="I57" s="499">
        <v>0.05</v>
      </c>
      <c r="J57" s="493">
        <f t="shared" si="9"/>
        <v>0</v>
      </c>
      <c r="K57" s="493">
        <f t="shared" si="10"/>
        <v>0</v>
      </c>
      <c r="L57" s="493">
        <v>0</v>
      </c>
      <c r="M57" s="493">
        <f t="shared" si="11"/>
        <v>0</v>
      </c>
      <c r="N57" s="493">
        <f t="shared" si="11"/>
        <v>0</v>
      </c>
    </row>
    <row r="58" spans="1:14" s="2259" customFormat="1" ht="24">
      <c r="A58" s="2464" t="s">
        <v>2299</v>
      </c>
      <c r="B58" s="499" t="str">
        <f>估价对象房地状况!C22</f>
        <v>估价对象所在区域基础设施水平</v>
      </c>
      <c r="C58" s="2325"/>
      <c r="D58" s="499">
        <f t="shared" si="7"/>
        <v>0</v>
      </c>
      <c r="E58" s="2460"/>
      <c r="F58" s="2401"/>
      <c r="G58" s="2458"/>
      <c r="H58" s="2459" t="str">
        <f t="shared" si="8"/>
        <v>——</v>
      </c>
      <c r="I58" s="499">
        <v>0.08</v>
      </c>
      <c r="J58" s="493">
        <f t="shared" si="9"/>
        <v>0</v>
      </c>
      <c r="K58" s="493">
        <f t="shared" si="10"/>
        <v>0</v>
      </c>
      <c r="L58" s="493">
        <v>0</v>
      </c>
      <c r="M58" s="493">
        <f t="shared" si="11"/>
        <v>0</v>
      </c>
      <c r="N58" s="493">
        <f t="shared" si="11"/>
        <v>0</v>
      </c>
    </row>
    <row r="59" spans="1:14" s="2259" customFormat="1" ht="26.25" thickBot="1">
      <c r="A59" s="2465" t="s">
        <v>2300</v>
      </c>
      <c r="B59" s="2466" t="str">
        <f>估价对象房地状况!C20</f>
        <v>区域自然环境：；人文环境；综合评价环境状况一般</v>
      </c>
      <c r="C59" s="2325"/>
      <c r="D59" s="499">
        <f t="shared" si="7"/>
        <v>0</v>
      </c>
      <c r="E59" s="487"/>
      <c r="F59" s="2401"/>
      <c r="G59" s="2458"/>
      <c r="H59" s="2459" t="str">
        <f t="shared" si="8"/>
        <v>——</v>
      </c>
      <c r="I59" s="2467">
        <v>0.05</v>
      </c>
      <c r="J59" s="493">
        <f t="shared" si="9"/>
        <v>0</v>
      </c>
      <c r="K59" s="493">
        <f t="shared" si="10"/>
        <v>0</v>
      </c>
      <c r="L59" s="493">
        <v>0</v>
      </c>
      <c r="M59" s="493">
        <f t="shared" si="11"/>
        <v>0</v>
      </c>
      <c r="N59" s="493">
        <f t="shared" si="11"/>
        <v>0</v>
      </c>
    </row>
    <row r="60" spans="1:14" s="2259" customFormat="1" ht="15">
      <c r="A60" s="2448" t="s">
        <v>2301</v>
      </c>
      <c r="B60" s="2449">
        <f>1+E62</f>
        <v>1</v>
      </c>
      <c r="C60" s="2468"/>
      <c r="D60" s="2468"/>
      <c r="E60" s="2469"/>
      <c r="F60" s="2453"/>
      <c r="G60" s="2447"/>
      <c r="H60" s="2447"/>
      <c r="I60" s="2447"/>
      <c r="J60" s="2447"/>
      <c r="K60" s="2447"/>
      <c r="L60" s="2447"/>
      <c r="M60" s="2447"/>
      <c r="N60" s="2447"/>
    </row>
    <row r="61" spans="1:14" s="2259" customFormat="1" ht="24.75">
      <c r="A61" s="2454" t="s">
        <v>2283</v>
      </c>
      <c r="B61" s="499"/>
      <c r="C61" s="499" t="s">
        <v>2285</v>
      </c>
      <c r="D61" s="499" t="s">
        <v>2286</v>
      </c>
      <c r="E61" s="2413" t="s">
        <v>2287</v>
      </c>
      <c r="F61" s="2455" t="s">
        <v>2302</v>
      </c>
      <c r="G61" s="499" t="s">
        <v>517</v>
      </c>
      <c r="H61" s="502" t="s">
        <v>2289</v>
      </c>
      <c r="I61" s="499" t="s">
        <v>2290</v>
      </c>
      <c r="J61" s="1108" t="s">
        <v>1956</v>
      </c>
      <c r="K61" s="1108" t="s">
        <v>1957</v>
      </c>
      <c r="L61" s="1108" t="s">
        <v>1958</v>
      </c>
      <c r="M61" s="1108" t="s">
        <v>1959</v>
      </c>
      <c r="N61" s="1108" t="s">
        <v>1960</v>
      </c>
    </row>
    <row r="62" spans="1:14" s="2259" customFormat="1" ht="38.25">
      <c r="A62" s="2454" t="s">
        <v>2303</v>
      </c>
      <c r="B62" s="499" t="str">
        <f>估价对象房地状况!C17</f>
        <v>估价对象位于XX商圈，周边办公楼项目较多，入驻率高，办公集聚程度较好</v>
      </c>
      <c r="C62" s="2325"/>
      <c r="D62" s="499">
        <f>SUMIF($J$61:$N$61,C62,J62:N62)</f>
        <v>0</v>
      </c>
      <c r="E62" s="2457">
        <f>ROUND(SUM(D62:D70),4)</f>
        <v>0</v>
      </c>
      <c r="F62" s="2329" t="str">
        <f>IF(E2="办公",SUMIF(L1:L12,G2,N1:N12),"——")</f>
        <v>——</v>
      </c>
      <c r="G62" s="2458"/>
      <c r="H62" s="2459"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4" t="s">
        <v>2292</v>
      </c>
      <c r="B63" s="499" t="str">
        <f>估价对象房地状况!C18</f>
        <v>估价对象周边道路状况、公共交通通达情况、停车便捷程度，综合评价交通便捷度较好</v>
      </c>
      <c r="C63" s="2325"/>
      <c r="D63" s="499">
        <f t="shared" ref="D63:D70" si="16">SUMIF($J$61:$N$61,C63,J63:N63)</f>
        <v>0</v>
      </c>
      <c r="E63" s="2460"/>
      <c r="F63" s="2401"/>
      <c r="G63" s="2458"/>
      <c r="H63" s="2459" t="str">
        <f t="shared" si="12"/>
        <v>——</v>
      </c>
      <c r="I63" s="499">
        <v>0.26</v>
      </c>
      <c r="J63" s="493">
        <f t="shared" si="13"/>
        <v>0</v>
      </c>
      <c r="K63" s="493">
        <f t="shared" si="14"/>
        <v>0</v>
      </c>
      <c r="L63" s="493">
        <v>0</v>
      </c>
      <c r="M63" s="493">
        <f t="shared" si="15"/>
        <v>0</v>
      </c>
      <c r="N63" s="493">
        <f t="shared" si="15"/>
        <v>0</v>
      </c>
    </row>
    <row r="64" spans="1:14" s="2259" customFormat="1" ht="36">
      <c r="A64" s="2461" t="s">
        <v>2814</v>
      </c>
      <c r="B64" s="499">
        <f>估价对象房地状况!C19</f>
        <v>0</v>
      </c>
      <c r="C64" s="2325"/>
      <c r="D64" s="499">
        <f t="shared" si="16"/>
        <v>0</v>
      </c>
      <c r="E64" s="2460"/>
      <c r="F64" s="2401"/>
      <c r="G64" s="2458"/>
      <c r="H64" s="2459" t="str">
        <f t="shared" si="12"/>
        <v>——</v>
      </c>
      <c r="I64" s="499">
        <v>0.11</v>
      </c>
      <c r="J64" s="493">
        <f t="shared" si="13"/>
        <v>0</v>
      </c>
      <c r="K64" s="493">
        <f t="shared" si="14"/>
        <v>0</v>
      </c>
      <c r="L64" s="493">
        <v>0</v>
      </c>
      <c r="M64" s="493">
        <f t="shared" si="15"/>
        <v>0</v>
      </c>
      <c r="N64" s="493">
        <f t="shared" si="15"/>
        <v>0</v>
      </c>
    </row>
    <row r="65" spans="1:33" s="2259" customFormat="1" ht="36.75">
      <c r="A65" s="2454" t="s">
        <v>2293</v>
      </c>
      <c r="B65" s="2462" t="s">
        <v>2294</v>
      </c>
      <c r="C65" s="2325"/>
      <c r="D65" s="499">
        <f t="shared" si="16"/>
        <v>0</v>
      </c>
      <c r="E65" s="2460"/>
      <c r="F65" s="2401"/>
      <c r="G65" s="2458"/>
      <c r="H65" s="2459" t="str">
        <f t="shared" si="12"/>
        <v>——</v>
      </c>
      <c r="I65" s="499">
        <v>0.05</v>
      </c>
      <c r="J65" s="493">
        <f t="shared" si="13"/>
        <v>0</v>
      </c>
      <c r="K65" s="493">
        <f t="shared" si="14"/>
        <v>0</v>
      </c>
      <c r="L65" s="493">
        <v>0</v>
      </c>
      <c r="M65" s="493">
        <f t="shared" si="15"/>
        <v>0</v>
      </c>
      <c r="N65" s="493">
        <f t="shared" si="15"/>
        <v>0</v>
      </c>
    </row>
    <row r="66" spans="1:33" s="2259" customFormat="1" ht="24">
      <c r="A66" s="2454" t="s">
        <v>2295</v>
      </c>
      <c r="B66" s="499">
        <f>估价对象房地状况!C24</f>
        <v>0</v>
      </c>
      <c r="C66" s="2325"/>
      <c r="D66" s="499">
        <f t="shared" si="16"/>
        <v>0</v>
      </c>
      <c r="E66" s="2460"/>
      <c r="F66" s="2401"/>
      <c r="G66" s="2458"/>
      <c r="H66" s="2459" t="str">
        <f t="shared" si="12"/>
        <v>——</v>
      </c>
      <c r="I66" s="499">
        <v>0.05</v>
      </c>
      <c r="J66" s="493">
        <f t="shared" si="13"/>
        <v>0</v>
      </c>
      <c r="K66" s="493">
        <f t="shared" si="14"/>
        <v>0</v>
      </c>
      <c r="L66" s="493">
        <v>0</v>
      </c>
      <c r="M66" s="493">
        <f t="shared" si="15"/>
        <v>0</v>
      </c>
      <c r="N66" s="493">
        <f t="shared" si="15"/>
        <v>0</v>
      </c>
    </row>
    <row r="67" spans="1:33" s="2259" customFormat="1" ht="24">
      <c r="A67" s="2454" t="s">
        <v>2296</v>
      </c>
      <c r="B67" s="2463" t="s">
        <v>2297</v>
      </c>
      <c r="C67" s="2325"/>
      <c r="D67" s="499">
        <f t="shared" si="16"/>
        <v>0</v>
      </c>
      <c r="E67" s="2460"/>
      <c r="F67" s="2401"/>
      <c r="G67" s="2458"/>
      <c r="H67" s="2459" t="str">
        <f t="shared" si="12"/>
        <v>——</v>
      </c>
      <c r="I67" s="499">
        <v>0.06</v>
      </c>
      <c r="J67" s="493">
        <f t="shared" si="13"/>
        <v>0</v>
      </c>
      <c r="K67" s="493">
        <f t="shared" si="14"/>
        <v>0</v>
      </c>
      <c r="L67" s="493">
        <v>0</v>
      </c>
      <c r="M67" s="493">
        <f t="shared" si="15"/>
        <v>0</v>
      </c>
      <c r="N67" s="493">
        <f t="shared" si="15"/>
        <v>0</v>
      </c>
    </row>
    <row r="68" spans="1:33" s="2259" customFormat="1" ht="25.5">
      <c r="A68" s="2454" t="s">
        <v>2298</v>
      </c>
      <c r="B68" s="999" t="str">
        <f>估价对象房地状况!C21</f>
        <v>估价对象所在区域公共配套设施齐备情况</v>
      </c>
      <c r="C68" s="2325"/>
      <c r="D68" s="499">
        <f t="shared" si="16"/>
        <v>0</v>
      </c>
      <c r="E68" s="2460"/>
      <c r="F68" s="2401"/>
      <c r="G68" s="2458"/>
      <c r="H68" s="2459" t="str">
        <f t="shared" si="12"/>
        <v>——</v>
      </c>
      <c r="I68" s="499">
        <v>0.06</v>
      </c>
      <c r="J68" s="493">
        <f t="shared" si="13"/>
        <v>0</v>
      </c>
      <c r="K68" s="493">
        <f t="shared" si="14"/>
        <v>0</v>
      </c>
      <c r="L68" s="493">
        <v>0</v>
      </c>
      <c r="M68" s="493">
        <f t="shared" si="15"/>
        <v>0</v>
      </c>
      <c r="N68" s="493">
        <f t="shared" si="15"/>
        <v>0</v>
      </c>
    </row>
    <row r="69" spans="1:33" s="2259" customFormat="1" ht="24">
      <c r="A69" s="2454" t="s">
        <v>2299</v>
      </c>
      <c r="B69" s="999" t="str">
        <f>估价对象房地状况!C22</f>
        <v>估价对象所在区域基础设施水平</v>
      </c>
      <c r="C69" s="2325"/>
      <c r="D69" s="499">
        <f t="shared" si="16"/>
        <v>0</v>
      </c>
      <c r="E69" s="2460"/>
      <c r="F69" s="2401"/>
      <c r="G69" s="2458"/>
      <c r="H69" s="2459" t="str">
        <f t="shared" si="12"/>
        <v>——</v>
      </c>
      <c r="I69" s="499">
        <v>0.09</v>
      </c>
      <c r="J69" s="493">
        <f t="shared" si="13"/>
        <v>0</v>
      </c>
      <c r="K69" s="493">
        <f t="shared" si="14"/>
        <v>0</v>
      </c>
      <c r="L69" s="493">
        <v>0</v>
      </c>
      <c r="M69" s="493">
        <f t="shared" si="15"/>
        <v>0</v>
      </c>
      <c r="N69" s="493">
        <f t="shared" si="15"/>
        <v>0</v>
      </c>
    </row>
    <row r="70" spans="1:33" s="2259" customFormat="1" ht="26.25" thickBot="1">
      <c r="A70" s="2465" t="s">
        <v>2300</v>
      </c>
      <c r="B70" s="2467" t="str">
        <f>估价对象房地状况!C20</f>
        <v>区域自然环境：；人文环境；综合评价环境状况一般</v>
      </c>
      <c r="C70" s="2325"/>
      <c r="D70" s="499">
        <f t="shared" si="16"/>
        <v>0</v>
      </c>
      <c r="E70" s="487"/>
      <c r="F70" s="2401"/>
      <c r="G70" s="2458"/>
      <c r="H70" s="2459" t="str">
        <f t="shared" si="12"/>
        <v>——</v>
      </c>
      <c r="I70" s="2467">
        <v>7.0000000000000007E-2</v>
      </c>
      <c r="J70" s="493">
        <f t="shared" si="13"/>
        <v>0</v>
      </c>
      <c r="K70" s="493">
        <f t="shared" si="14"/>
        <v>0</v>
      </c>
      <c r="L70" s="493">
        <v>0</v>
      </c>
      <c r="M70" s="493">
        <f t="shared" si="15"/>
        <v>0</v>
      </c>
      <c r="N70" s="493">
        <f t="shared" si="15"/>
        <v>0</v>
      </c>
    </row>
    <row r="71" spans="1:33" s="2259" customFormat="1" ht="15">
      <c r="A71" s="2448" t="s">
        <v>2304</v>
      </c>
      <c r="B71" s="2449">
        <f>1+E73</f>
        <v>1</v>
      </c>
      <c r="C71" s="2451"/>
      <c r="D71" s="2451"/>
      <c r="E71" s="2452"/>
      <c r="F71" s="2470"/>
      <c r="G71" s="2447"/>
      <c r="H71" s="2447"/>
      <c r="I71" s="2447"/>
      <c r="J71" s="2447"/>
      <c r="K71" s="2447"/>
      <c r="L71" s="2447"/>
      <c r="M71" s="2447"/>
      <c r="N71" s="2447"/>
    </row>
    <row r="72" spans="1:33" s="2259" customFormat="1" ht="24.75">
      <c r="A72" s="2454" t="s">
        <v>2283</v>
      </c>
      <c r="B72" s="499"/>
      <c r="C72" s="499" t="s">
        <v>2285</v>
      </c>
      <c r="D72" s="499" t="s">
        <v>2286</v>
      </c>
      <c r="E72" s="2413" t="s">
        <v>2287</v>
      </c>
      <c r="F72" s="2455" t="s">
        <v>2302</v>
      </c>
      <c r="G72" s="499" t="s">
        <v>517</v>
      </c>
      <c r="H72" s="502" t="s">
        <v>2289</v>
      </c>
      <c r="I72" s="499" t="s">
        <v>2290</v>
      </c>
      <c r="J72" s="1108" t="s">
        <v>1956</v>
      </c>
      <c r="K72" s="1108" t="s">
        <v>1957</v>
      </c>
      <c r="L72" s="1108" t="s">
        <v>1958</v>
      </c>
      <c r="M72" s="1108" t="s">
        <v>1959</v>
      </c>
      <c r="N72" s="1108" t="s">
        <v>1960</v>
      </c>
    </row>
    <row r="73" spans="1:33" s="2259" customFormat="1" ht="51">
      <c r="A73" s="2461" t="s">
        <v>2816</v>
      </c>
      <c r="B73" s="499" t="str">
        <f>估价对象房地状况!C15</f>
        <v>估价对象周边居住用地比例、居住小区规模和社区发展完善程度，综合评价居住社区成熟度一般</v>
      </c>
      <c r="C73" s="2325"/>
      <c r="D73" s="499">
        <f t="shared" ref="D73:D81" si="17">SUMIF($J$72:$N$72,C73,J73:N73)</f>
        <v>0</v>
      </c>
      <c r="E73" s="2457">
        <f>ROUND(SUM(D73:D81),4)</f>
        <v>0</v>
      </c>
      <c r="F73" s="2329" t="str">
        <f>IF(E2="住宅",SUMIF(L1:L12,G2,N1:N12),"——")</f>
        <v>——</v>
      </c>
      <c r="G73" s="2458"/>
      <c r="H73" s="2459"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4" t="s">
        <v>2292</v>
      </c>
      <c r="B74" s="499" t="str">
        <f>估价对象房地状况!C18</f>
        <v>估价对象周边道路状况、公共交通通达情况、停车便捷程度，综合评价交通便捷度较好</v>
      </c>
      <c r="C74" s="2325"/>
      <c r="D74" s="499">
        <f t="shared" si="17"/>
        <v>0</v>
      </c>
      <c r="E74" s="2460"/>
      <c r="F74" s="2329"/>
      <c r="G74" s="2458"/>
      <c r="H74" s="2459"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1" t="s">
        <v>2814</v>
      </c>
      <c r="B75" s="499">
        <f>估价对象房地状况!C19</f>
        <v>0</v>
      </c>
      <c r="C75" s="2325"/>
      <c r="D75" s="499">
        <f t="shared" si="17"/>
        <v>0</v>
      </c>
      <c r="E75" s="2460"/>
      <c r="F75" s="2329"/>
      <c r="G75" s="2458"/>
      <c r="H75" s="2459"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4" t="s">
        <v>2305</v>
      </c>
      <c r="B76" s="499">
        <f>估价对象房地状况!C24</f>
        <v>0</v>
      </c>
      <c r="C76" s="2325"/>
      <c r="D76" s="499">
        <f t="shared" si="17"/>
        <v>0</v>
      </c>
      <c r="E76" s="2460"/>
      <c r="F76" s="2329"/>
      <c r="G76" s="2458"/>
      <c r="H76" s="2459"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4" t="s">
        <v>2298</v>
      </c>
      <c r="B77" s="999" t="str">
        <f>估价对象房地状况!C21</f>
        <v>估价对象所在区域公共配套设施齐备情况</v>
      </c>
      <c r="C77" s="2325"/>
      <c r="D77" s="499">
        <f t="shared" si="17"/>
        <v>0</v>
      </c>
      <c r="E77" s="2460"/>
      <c r="F77" s="2329"/>
      <c r="G77" s="2458"/>
      <c r="H77" s="2459"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4" t="s">
        <v>2299</v>
      </c>
      <c r="B78" s="999" t="str">
        <f>估价对象房地状况!C22</f>
        <v>估价对象所在区域基础设施水平</v>
      </c>
      <c r="C78" s="2325"/>
      <c r="D78" s="499">
        <f t="shared" si="17"/>
        <v>0</v>
      </c>
      <c r="E78" s="2460"/>
      <c r="F78" s="2329"/>
      <c r="G78" s="2458"/>
      <c r="H78" s="2459"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4" t="s">
        <v>2296</v>
      </c>
      <c r="B79" s="2463" t="s">
        <v>2297</v>
      </c>
      <c r="C79" s="2325"/>
      <c r="D79" s="499">
        <f t="shared" si="17"/>
        <v>0</v>
      </c>
      <c r="E79" s="2460"/>
      <c r="F79" s="2329"/>
      <c r="G79" s="2458"/>
      <c r="H79" s="2459" t="str">
        <f t="shared" si="18"/>
        <v>——</v>
      </c>
      <c r="I79" s="499">
        <v>0.05</v>
      </c>
      <c r="J79" s="493">
        <f t="shared" si="19"/>
        <v>0</v>
      </c>
      <c r="K79" s="493">
        <f t="shared" si="20"/>
        <v>0</v>
      </c>
      <c r="L79" s="493">
        <v>0</v>
      </c>
      <c r="M79" s="493">
        <f t="shared" si="21"/>
        <v>0</v>
      </c>
      <c r="N79" s="493">
        <f t="shared" si="21"/>
        <v>0</v>
      </c>
      <c r="AA79" s="2261"/>
      <c r="AG79" s="2259"/>
    </row>
    <row r="80" spans="1:33" ht="25.5">
      <c r="A80" s="2454" t="s">
        <v>2300</v>
      </c>
      <c r="B80" s="499" t="str">
        <f>估价对象房地状况!C20</f>
        <v>区域自然环境：；人文环境；综合评价环境状况一般</v>
      </c>
      <c r="C80" s="2325"/>
      <c r="D80" s="499">
        <f t="shared" si="17"/>
        <v>0</v>
      </c>
      <c r="E80" s="2460"/>
      <c r="F80" s="2329"/>
      <c r="G80" s="2458"/>
      <c r="H80" s="2459" t="str">
        <f t="shared" si="18"/>
        <v>——</v>
      </c>
      <c r="I80" s="499">
        <v>0.12</v>
      </c>
      <c r="J80" s="493">
        <f t="shared" si="19"/>
        <v>0</v>
      </c>
      <c r="K80" s="493">
        <f t="shared" si="20"/>
        <v>0</v>
      </c>
      <c r="L80" s="493">
        <v>0</v>
      </c>
      <c r="M80" s="493">
        <f t="shared" si="21"/>
        <v>0</v>
      </c>
      <c r="N80" s="493">
        <f t="shared" si="21"/>
        <v>0</v>
      </c>
      <c r="AA80" s="2261"/>
      <c r="AG80" s="2259"/>
    </row>
    <row r="81" spans="1:33" ht="24.75" thickBot="1">
      <c r="A81" s="2465" t="s">
        <v>2306</v>
      </c>
      <c r="B81" s="2471"/>
      <c r="C81" s="2325"/>
      <c r="D81" s="499">
        <f t="shared" si="17"/>
        <v>0</v>
      </c>
      <c r="E81" s="487"/>
      <c r="F81" s="2329"/>
      <c r="G81" s="2458"/>
      <c r="H81" s="2459" t="str">
        <f t="shared" si="18"/>
        <v>——</v>
      </c>
      <c r="I81" s="2467">
        <v>0.05</v>
      </c>
      <c r="J81" s="493">
        <f t="shared" si="19"/>
        <v>0</v>
      </c>
      <c r="K81" s="493">
        <f t="shared" si="20"/>
        <v>0</v>
      </c>
      <c r="L81" s="493">
        <v>0</v>
      </c>
      <c r="M81" s="493">
        <f t="shared" si="21"/>
        <v>0</v>
      </c>
      <c r="N81" s="493">
        <f t="shared" si="21"/>
        <v>0</v>
      </c>
      <c r="AA81" s="2261"/>
      <c r="AG81" s="2259"/>
    </row>
    <row r="82" spans="1:33" ht="15">
      <c r="A82" s="2448" t="s">
        <v>2307</v>
      </c>
      <c r="B82" s="2449">
        <f>1+E84</f>
        <v>1.0578000000000001</v>
      </c>
      <c r="C82" s="2451"/>
      <c r="D82" s="2451"/>
      <c r="E82" s="2452"/>
      <c r="F82" s="2470"/>
      <c r="G82" s="2447"/>
      <c r="H82" s="2447"/>
      <c r="I82" s="2447"/>
      <c r="J82" s="2447"/>
      <c r="K82" s="2447"/>
      <c r="L82" s="2447"/>
      <c r="M82" s="2447"/>
      <c r="N82" s="2447"/>
      <c r="AA82" s="2261"/>
      <c r="AG82" s="2259"/>
    </row>
    <row r="83" spans="1:33" ht="24.75">
      <c r="A83" s="2454" t="s">
        <v>2283</v>
      </c>
      <c r="B83" s="499"/>
      <c r="C83" s="499" t="s">
        <v>2285</v>
      </c>
      <c r="D83" s="499" t="s">
        <v>2286</v>
      </c>
      <c r="E83" s="2413" t="s">
        <v>2287</v>
      </c>
      <c r="F83" s="2455" t="s">
        <v>2302</v>
      </c>
      <c r="G83" s="499" t="s">
        <v>517</v>
      </c>
      <c r="H83" s="502" t="s">
        <v>2289</v>
      </c>
      <c r="I83" s="499" t="s">
        <v>2290</v>
      </c>
      <c r="J83" s="1108" t="s">
        <v>1956</v>
      </c>
      <c r="K83" s="1108" t="s">
        <v>1957</v>
      </c>
      <c r="L83" s="1108" t="s">
        <v>1958</v>
      </c>
      <c r="M83" s="1108" t="s">
        <v>1959</v>
      </c>
      <c r="N83" s="1108" t="s">
        <v>1960</v>
      </c>
      <c r="AA83" s="2261"/>
      <c r="AG83" s="2259"/>
    </row>
    <row r="84" spans="1:33" ht="25.5">
      <c r="A84" s="2454" t="s">
        <v>2308</v>
      </c>
      <c r="B84" s="499" t="str">
        <f>估价对象房地状况!G15</f>
        <v>估价对象位于XX开发区，园区建设成熟度XX，产业集聚程度XX</v>
      </c>
      <c r="C84" s="3319" t="s">
        <v>3110</v>
      </c>
      <c r="D84" s="499">
        <f t="shared" ref="D84:D91" si="22">SUMIF($J$83:$N$83,C84,J84:N84)</f>
        <v>1.6899999999999998E-2</v>
      </c>
      <c r="E84" s="2457">
        <f>ROUND(SUM(D84:D91),4)</f>
        <v>5.7799999999999997E-2</v>
      </c>
      <c r="F84" s="2329">
        <f>IF(E2="工业",SUMIF(L1:L12,G2,N1:N12),"——")</f>
        <v>0.13</v>
      </c>
      <c r="G84" s="3318">
        <v>1.6899999999999998E-2</v>
      </c>
      <c r="H84" s="2459">
        <f t="shared" ref="G84:H91" si="23">IFERROR(ROUNDDOWN($F$84*I84/2,4),"——")</f>
        <v>1.6899999999999998E-2</v>
      </c>
      <c r="I84" s="499">
        <v>0.26</v>
      </c>
      <c r="J84" s="493">
        <f t="shared" ref="J84:J91" si="24">K84+$G84</f>
        <v>3.3799999999999997E-2</v>
      </c>
      <c r="K84" s="493">
        <f t="shared" ref="K84:K91" si="25">$L84+$G84</f>
        <v>1.6899999999999998E-2</v>
      </c>
      <c r="L84" s="493">
        <v>0</v>
      </c>
      <c r="M84" s="493">
        <f t="shared" ref="M84:N91" si="26">L84-$G84</f>
        <v>-1.6899999999999998E-2</v>
      </c>
      <c r="N84" s="493">
        <f t="shared" si="26"/>
        <v>-3.3799999999999997E-2</v>
      </c>
      <c r="AA84" s="2261"/>
      <c r="AG84" s="2259"/>
    </row>
    <row r="85" spans="1:33" ht="38.25">
      <c r="A85" s="2454" t="s">
        <v>2292</v>
      </c>
      <c r="B85" s="499" t="str">
        <f>估价对象房地状况!G16</f>
        <v>估价对象周边道路状况、公共交通通达情况、停车便捷程度，综合评价交通便捷度较好</v>
      </c>
      <c r="C85" s="3320" t="s">
        <v>3110</v>
      </c>
      <c r="D85" s="499">
        <f t="shared" si="22"/>
        <v>1.95E-2</v>
      </c>
      <c r="E85" s="2460"/>
      <c r="F85" s="2329"/>
      <c r="G85" s="3318">
        <v>1.95E-2</v>
      </c>
      <c r="H85" s="2459">
        <f t="shared" si="23"/>
        <v>1.95E-2</v>
      </c>
      <c r="I85" s="499">
        <v>0.3</v>
      </c>
      <c r="J85" s="493">
        <f t="shared" si="24"/>
        <v>3.9E-2</v>
      </c>
      <c r="K85" s="493">
        <f t="shared" si="25"/>
        <v>1.95E-2</v>
      </c>
      <c r="L85" s="493">
        <v>0</v>
      </c>
      <c r="M85" s="493">
        <f t="shared" si="26"/>
        <v>-1.95E-2</v>
      </c>
      <c r="N85" s="493">
        <f t="shared" si="26"/>
        <v>-3.9E-2</v>
      </c>
      <c r="AA85" s="2261"/>
      <c r="AG85" s="2259"/>
    </row>
    <row r="86" spans="1:33" ht="36">
      <c r="A86" s="2461" t="s">
        <v>2815</v>
      </c>
      <c r="B86" s="499">
        <f>估价对象房地状况!G17</f>
        <v>0</v>
      </c>
      <c r="C86" s="3319" t="s">
        <v>3110</v>
      </c>
      <c r="D86" s="499">
        <f t="shared" si="22"/>
        <v>6.4999999999999997E-3</v>
      </c>
      <c r="E86" s="2460"/>
      <c r="F86" s="2329"/>
      <c r="G86" s="3318">
        <v>6.4999999999999997E-3</v>
      </c>
      <c r="H86" s="2459">
        <f t="shared" si="23"/>
        <v>6.4999999999999997E-3</v>
      </c>
      <c r="I86" s="499">
        <v>0.1</v>
      </c>
      <c r="J86" s="493">
        <f t="shared" si="24"/>
        <v>1.2999999999999999E-2</v>
      </c>
      <c r="K86" s="493">
        <f t="shared" si="25"/>
        <v>6.4999999999999997E-3</v>
      </c>
      <c r="L86" s="493">
        <v>0</v>
      </c>
      <c r="M86" s="493">
        <f t="shared" si="26"/>
        <v>-6.4999999999999997E-3</v>
      </c>
      <c r="N86" s="493">
        <f t="shared" si="26"/>
        <v>-1.2999999999999999E-2</v>
      </c>
      <c r="AA86" s="2261"/>
      <c r="AG86" s="2259"/>
    </row>
    <row r="87" spans="1:33" ht="14.25">
      <c r="A87" s="2454" t="s">
        <v>2305</v>
      </c>
      <c r="B87" s="499">
        <f>估价对象房地状况!G22</f>
        <v>0</v>
      </c>
      <c r="C87" s="3319" t="s">
        <v>3111</v>
      </c>
      <c r="D87" s="499">
        <f t="shared" si="22"/>
        <v>0</v>
      </c>
      <c r="E87" s="2460"/>
      <c r="F87" s="2329"/>
      <c r="G87" s="3318">
        <v>3.2000000000000002E-3</v>
      </c>
      <c r="H87" s="2459">
        <f t="shared" si="23"/>
        <v>3.2000000000000002E-3</v>
      </c>
      <c r="I87" s="499">
        <v>0.05</v>
      </c>
      <c r="J87" s="493">
        <f t="shared" si="24"/>
        <v>6.4000000000000003E-3</v>
      </c>
      <c r="K87" s="493">
        <f t="shared" si="25"/>
        <v>3.2000000000000002E-3</v>
      </c>
      <c r="L87" s="493">
        <v>0</v>
      </c>
      <c r="M87" s="493">
        <f t="shared" si="26"/>
        <v>-3.2000000000000002E-3</v>
      </c>
      <c r="N87" s="493">
        <f t="shared" si="26"/>
        <v>-6.4000000000000003E-3</v>
      </c>
      <c r="AA87" s="2261"/>
      <c r="AG87" s="2259"/>
    </row>
    <row r="88" spans="1:33" ht="25.5">
      <c r="A88" s="2454" t="s">
        <v>2298</v>
      </c>
      <c r="B88" s="999" t="str">
        <f>估价对象房地状况!G19</f>
        <v>估价对象所在区域公共配套设施齐备情况</v>
      </c>
      <c r="C88" s="3319" t="s">
        <v>3111</v>
      </c>
      <c r="D88" s="499">
        <f t="shared" si="22"/>
        <v>0</v>
      </c>
      <c r="E88" s="2460"/>
      <c r="F88" s="2329"/>
      <c r="G88" s="3318">
        <v>3.8999999999999998E-3</v>
      </c>
      <c r="H88" s="2459">
        <f t="shared" si="23"/>
        <v>3.8999999999999998E-3</v>
      </c>
      <c r="I88" s="499">
        <v>0.06</v>
      </c>
      <c r="J88" s="493">
        <f t="shared" si="24"/>
        <v>7.7999999999999996E-3</v>
      </c>
      <c r="K88" s="493">
        <f t="shared" si="25"/>
        <v>3.8999999999999998E-3</v>
      </c>
      <c r="L88" s="493">
        <v>0</v>
      </c>
      <c r="M88" s="493">
        <f t="shared" si="26"/>
        <v>-3.8999999999999998E-3</v>
      </c>
      <c r="N88" s="493">
        <f t="shared" si="26"/>
        <v>-7.7999999999999996E-3</v>
      </c>
    </row>
    <row r="89" spans="1:33" ht="24">
      <c r="A89" s="2454" t="s">
        <v>2299</v>
      </c>
      <c r="B89" s="999" t="str">
        <f>估价对象房地状况!G20</f>
        <v>估价对象所在区域基础设施水平</v>
      </c>
      <c r="C89" s="3319" t="s">
        <v>3110</v>
      </c>
      <c r="D89" s="499">
        <f t="shared" si="22"/>
        <v>7.7999999999999996E-3</v>
      </c>
      <c r="E89" s="2460"/>
      <c r="F89" s="2329"/>
      <c r="G89" s="3318">
        <v>7.7999999999999996E-3</v>
      </c>
      <c r="H89" s="2459">
        <f t="shared" si="23"/>
        <v>7.7999999999999996E-3</v>
      </c>
      <c r="I89" s="499">
        <v>0.12</v>
      </c>
      <c r="J89" s="493">
        <f t="shared" si="24"/>
        <v>1.5599999999999999E-2</v>
      </c>
      <c r="K89" s="493">
        <f t="shared" si="25"/>
        <v>7.7999999999999996E-3</v>
      </c>
      <c r="L89" s="493">
        <v>0</v>
      </c>
      <c r="M89" s="493">
        <f t="shared" si="26"/>
        <v>-7.7999999999999996E-3</v>
      </c>
      <c r="N89" s="493">
        <f t="shared" si="26"/>
        <v>-1.5599999999999999E-2</v>
      </c>
    </row>
    <row r="90" spans="1:33" ht="24">
      <c r="A90" s="2454" t="s">
        <v>2296</v>
      </c>
      <c r="B90" s="2463" t="s">
        <v>2309</v>
      </c>
      <c r="C90" s="3319" t="s">
        <v>3110</v>
      </c>
      <c r="D90" s="499">
        <f t="shared" si="22"/>
        <v>3.8999999999999998E-3</v>
      </c>
      <c r="E90" s="2460"/>
      <c r="F90" s="2329"/>
      <c r="G90" s="3318">
        <v>3.8999999999999998E-3</v>
      </c>
      <c r="H90" s="2459">
        <f t="shared" si="23"/>
        <v>3.8999999999999998E-3</v>
      </c>
      <c r="I90" s="499">
        <v>0.06</v>
      </c>
      <c r="J90" s="493">
        <f t="shared" si="24"/>
        <v>7.7999999999999996E-3</v>
      </c>
      <c r="K90" s="493">
        <f t="shared" si="25"/>
        <v>3.8999999999999998E-3</v>
      </c>
      <c r="L90" s="493">
        <v>0</v>
      </c>
      <c r="M90" s="493">
        <f t="shared" si="26"/>
        <v>-3.8999999999999998E-3</v>
      </c>
      <c r="N90" s="493">
        <f t="shared" si="26"/>
        <v>-7.7999999999999996E-3</v>
      </c>
    </row>
    <row r="91" spans="1:33" ht="39" thickBot="1">
      <c r="A91" s="2465" t="s">
        <v>2310</v>
      </c>
      <c r="B91" s="2467" t="str">
        <f>估价对象房地状况!G18</f>
        <v>该园区内是否有污染型企业，绿化情况，卫生条件，整体环境状况判断</v>
      </c>
      <c r="C91" s="3319" t="s">
        <v>3110</v>
      </c>
      <c r="D91" s="499">
        <f t="shared" si="22"/>
        <v>3.2000000000000002E-3</v>
      </c>
      <c r="E91" s="487"/>
      <c r="F91" s="2329"/>
      <c r="G91" s="3318">
        <v>3.2000000000000002E-3</v>
      </c>
      <c r="H91" s="2459">
        <f t="shared" si="23"/>
        <v>3.2000000000000002E-3</v>
      </c>
      <c r="I91" s="2467">
        <v>0.05</v>
      </c>
      <c r="J91" s="493">
        <f t="shared" si="24"/>
        <v>6.4000000000000003E-3</v>
      </c>
      <c r="K91" s="493">
        <f t="shared" si="25"/>
        <v>3.2000000000000002E-3</v>
      </c>
      <c r="L91" s="493">
        <v>0</v>
      </c>
      <c r="M91" s="493">
        <f t="shared" si="26"/>
        <v>-3.2000000000000002E-3</v>
      </c>
      <c r="N91" s="493">
        <f t="shared" si="26"/>
        <v>-6.4000000000000003E-3</v>
      </c>
      <c r="S91" s="2259"/>
      <c r="T91" s="2259"/>
      <c r="U91" s="2259"/>
      <c r="V91" s="2259"/>
      <c r="W91" s="2259"/>
      <c r="X91" s="2259"/>
      <c r="Y91" s="2259"/>
    </row>
    <row r="92" spans="1:33" ht="15">
      <c r="A92" s="2448" t="s">
        <v>2817</v>
      </c>
      <c r="B92" s="2449">
        <f>1+E94</f>
        <v>1</v>
      </c>
      <c r="C92" s="2472"/>
      <c r="D92" s="2472"/>
      <c r="E92" s="2472"/>
      <c r="F92" s="2472"/>
      <c r="S92" s="2259"/>
      <c r="T92" s="2259"/>
      <c r="U92" s="2259"/>
      <c r="V92" s="2259"/>
      <c r="W92" s="2259"/>
      <c r="X92" s="2259"/>
      <c r="Y92" s="2259"/>
    </row>
    <row r="93" spans="1:33" s="2259" customFormat="1" ht="24.75">
      <c r="A93" s="2454" t="s">
        <v>2283</v>
      </c>
      <c r="B93" s="499"/>
      <c r="C93" s="499" t="s">
        <v>2285</v>
      </c>
      <c r="D93" s="499" t="s">
        <v>2286</v>
      </c>
      <c r="E93" s="2413" t="s">
        <v>2287</v>
      </c>
      <c r="F93" s="2455" t="s">
        <v>2302</v>
      </c>
      <c r="G93" s="499" t="s">
        <v>517</v>
      </c>
      <c r="H93" s="502" t="s">
        <v>2289</v>
      </c>
      <c r="I93" s="499" t="s">
        <v>2290</v>
      </c>
      <c r="J93" s="1108" t="s">
        <v>1956</v>
      </c>
      <c r="K93" s="1108" t="s">
        <v>1957</v>
      </c>
      <c r="L93" s="1108" t="s">
        <v>1958</v>
      </c>
      <c r="M93" s="1108" t="s">
        <v>1959</v>
      </c>
      <c r="N93" s="1108" t="s">
        <v>1960</v>
      </c>
    </row>
    <row r="94" spans="1:33" s="2259" customFormat="1" ht="24">
      <c r="A94" s="2461" t="s">
        <v>2818</v>
      </c>
      <c r="B94" s="605"/>
      <c r="C94" s="2325"/>
      <c r="D94" s="499">
        <f>SUMIF($J$93:$N$93,C94,J94:N94)</f>
        <v>0</v>
      </c>
      <c r="E94" s="2457">
        <f>ROUND(SUM(D94:D102),4)</f>
        <v>0</v>
      </c>
      <c r="F94" s="2329" t="str">
        <f>IF(E2="公共服务",SUMIF(L1:L12,G2,N1:N12),"——")</f>
        <v>——</v>
      </c>
      <c r="G94" s="2458"/>
      <c r="H94" s="2459"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4" t="s">
        <v>2292</v>
      </c>
      <c r="B95" s="499" t="str">
        <f>估价对象房地状况!C18</f>
        <v>估价对象周边道路状况、公共交通通达情况、停车便捷程度，综合评价交通便捷度较好</v>
      </c>
      <c r="C95" s="2325"/>
      <c r="D95" s="499">
        <f t="shared" ref="D95:D102" si="31">SUMIF($J$61:$N$61,C95,J95:N95)</f>
        <v>0</v>
      </c>
      <c r="E95" s="2460"/>
      <c r="F95" s="2329"/>
      <c r="G95" s="2458"/>
      <c r="H95" s="2459" t="str">
        <f>IFERROR(ROUNDDOWN($F$94*I95/2,4),"——")</f>
        <v>——</v>
      </c>
      <c r="I95" s="499">
        <v>0.26</v>
      </c>
      <c r="J95" s="493">
        <f t="shared" si="27"/>
        <v>0</v>
      </c>
      <c r="K95" s="493">
        <f t="shared" si="28"/>
        <v>0</v>
      </c>
      <c r="L95" s="493">
        <v>0</v>
      </c>
      <c r="M95" s="493">
        <f t="shared" si="29"/>
        <v>0</v>
      </c>
      <c r="N95" s="493">
        <f t="shared" si="30"/>
        <v>0</v>
      </c>
    </row>
    <row r="96" spans="1:33" s="2259" customFormat="1" ht="36">
      <c r="A96" s="2461" t="s">
        <v>2814</v>
      </c>
      <c r="B96" s="499">
        <f>估价对象房地状况!C19</f>
        <v>0</v>
      </c>
      <c r="C96" s="2325"/>
      <c r="D96" s="499">
        <f t="shared" si="31"/>
        <v>0</v>
      </c>
      <c r="E96" s="2460"/>
      <c r="F96" s="2329"/>
      <c r="G96" s="2458"/>
      <c r="H96" s="2459"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4" t="s">
        <v>2293</v>
      </c>
      <c r="B97" s="2462" t="s">
        <v>2294</v>
      </c>
      <c r="C97" s="2325"/>
      <c r="D97" s="499">
        <f t="shared" si="31"/>
        <v>0</v>
      </c>
      <c r="E97" s="2460"/>
      <c r="F97" s="2329"/>
      <c r="G97" s="2458"/>
      <c r="H97" s="2459" t="str">
        <f t="shared" si="32"/>
        <v>——</v>
      </c>
      <c r="I97" s="499">
        <v>0.05</v>
      </c>
      <c r="J97" s="493">
        <f t="shared" si="27"/>
        <v>0</v>
      </c>
      <c r="K97" s="493">
        <f t="shared" si="28"/>
        <v>0</v>
      </c>
      <c r="L97" s="493">
        <v>0</v>
      </c>
      <c r="M97" s="493">
        <f t="shared" si="29"/>
        <v>0</v>
      </c>
      <c r="N97" s="493">
        <f t="shared" si="30"/>
        <v>0</v>
      </c>
    </row>
    <row r="98" spans="1:25" s="2259" customFormat="1" ht="24">
      <c r="A98" s="2454" t="s">
        <v>2295</v>
      </c>
      <c r="B98" s="499">
        <f>估价对象房地状况!C24</f>
        <v>0</v>
      </c>
      <c r="C98" s="2325"/>
      <c r="D98" s="499">
        <f t="shared" si="31"/>
        <v>0</v>
      </c>
      <c r="E98" s="2460"/>
      <c r="F98" s="2329"/>
      <c r="G98" s="2458"/>
      <c r="H98" s="2459" t="str">
        <f t="shared" si="32"/>
        <v>——</v>
      </c>
      <c r="I98" s="499">
        <v>0.05</v>
      </c>
      <c r="J98" s="493">
        <f t="shared" si="27"/>
        <v>0</v>
      </c>
      <c r="K98" s="493">
        <f t="shared" si="28"/>
        <v>0</v>
      </c>
      <c r="L98" s="493">
        <v>0</v>
      </c>
      <c r="M98" s="493">
        <f t="shared" si="29"/>
        <v>0</v>
      </c>
      <c r="N98" s="493">
        <f t="shared" si="30"/>
        <v>0</v>
      </c>
    </row>
    <row r="99" spans="1:25" s="2259" customFormat="1" ht="24">
      <c r="A99" s="2454" t="s">
        <v>2296</v>
      </c>
      <c r="B99" s="2463" t="s">
        <v>2297</v>
      </c>
      <c r="C99" s="2325"/>
      <c r="D99" s="499">
        <f t="shared" si="31"/>
        <v>0</v>
      </c>
      <c r="E99" s="2460"/>
      <c r="F99" s="2329"/>
      <c r="G99" s="2458"/>
      <c r="H99" s="2459" t="str">
        <f t="shared" si="32"/>
        <v>——</v>
      </c>
      <c r="I99" s="499">
        <v>0.06</v>
      </c>
      <c r="J99" s="493">
        <f t="shared" si="27"/>
        <v>0</v>
      </c>
      <c r="K99" s="493">
        <f t="shared" si="28"/>
        <v>0</v>
      </c>
      <c r="L99" s="493">
        <v>0</v>
      </c>
      <c r="M99" s="493">
        <f t="shared" si="29"/>
        <v>0</v>
      </c>
      <c r="N99" s="493">
        <f t="shared" si="30"/>
        <v>0</v>
      </c>
    </row>
    <row r="100" spans="1:25" s="2259" customFormat="1" ht="25.5">
      <c r="A100" s="2454" t="s">
        <v>2298</v>
      </c>
      <c r="B100" s="999" t="str">
        <f>估价对象房地状况!C21</f>
        <v>估价对象所在区域公共配套设施齐备情况</v>
      </c>
      <c r="C100" s="2325"/>
      <c r="D100" s="499">
        <f t="shared" si="31"/>
        <v>0</v>
      </c>
      <c r="E100" s="2460"/>
      <c r="F100" s="2329"/>
      <c r="G100" s="2458"/>
      <c r="H100" s="2459" t="str">
        <f t="shared" si="32"/>
        <v>——</v>
      </c>
      <c r="I100" s="499">
        <v>0.06</v>
      </c>
      <c r="J100" s="493">
        <f t="shared" si="27"/>
        <v>0</v>
      </c>
      <c r="K100" s="493">
        <f t="shared" si="28"/>
        <v>0</v>
      </c>
      <c r="L100" s="493">
        <v>0</v>
      </c>
      <c r="M100" s="493">
        <f t="shared" si="29"/>
        <v>0</v>
      </c>
      <c r="N100" s="493">
        <f t="shared" si="30"/>
        <v>0</v>
      </c>
    </row>
    <row r="101" spans="1:25" s="2259" customFormat="1" ht="24">
      <c r="A101" s="2454" t="s">
        <v>2299</v>
      </c>
      <c r="B101" s="999" t="str">
        <f>估价对象房地状况!C22</f>
        <v>估价对象所在区域基础设施水平</v>
      </c>
      <c r="C101" s="2325"/>
      <c r="D101" s="499">
        <f t="shared" si="31"/>
        <v>0</v>
      </c>
      <c r="E101" s="2460"/>
      <c r="F101" s="2329"/>
      <c r="G101" s="2458"/>
      <c r="H101" s="2459" t="str">
        <f t="shared" si="32"/>
        <v>——</v>
      </c>
      <c r="I101" s="499">
        <v>0.09</v>
      </c>
      <c r="J101" s="493">
        <f t="shared" si="27"/>
        <v>0</v>
      </c>
      <c r="K101" s="493">
        <f t="shared" si="28"/>
        <v>0</v>
      </c>
      <c r="L101" s="493">
        <v>0</v>
      </c>
      <c r="M101" s="493">
        <f t="shared" si="29"/>
        <v>0</v>
      </c>
      <c r="N101" s="493">
        <f t="shared" si="30"/>
        <v>0</v>
      </c>
    </row>
    <row r="102" spans="1:25" s="2259" customFormat="1" ht="26.25" thickBot="1">
      <c r="A102" s="2465" t="s">
        <v>2300</v>
      </c>
      <c r="B102" s="2467" t="str">
        <f>估价对象房地状况!C20</f>
        <v>区域自然环境：；人文环境；综合评价环境状况一般</v>
      </c>
      <c r="C102" s="2325"/>
      <c r="D102" s="499">
        <f t="shared" si="31"/>
        <v>0</v>
      </c>
      <c r="E102" s="487"/>
      <c r="F102" s="2329"/>
      <c r="G102" s="2458"/>
      <c r="H102" s="2459" t="str">
        <f t="shared" si="32"/>
        <v>——</v>
      </c>
      <c r="I102" s="2467">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69" t="s">
        <v>2311</v>
      </c>
      <c r="B104" s="3269"/>
      <c r="C104" s="3269"/>
      <c r="D104" s="3269"/>
      <c r="E104" s="3269"/>
      <c r="F104" s="3269"/>
      <c r="G104" s="3269"/>
      <c r="H104" s="3269"/>
      <c r="I104" s="3269"/>
      <c r="J104" s="3269"/>
      <c r="K104" s="2478"/>
      <c r="L104" s="2478"/>
      <c r="M104" s="2478"/>
      <c r="N104" s="2478"/>
    </row>
    <row r="105" spans="1:25">
      <c r="A105" s="3271" t="s">
        <v>2312</v>
      </c>
      <c r="B105" s="3271" t="s">
        <v>2313</v>
      </c>
      <c r="C105" s="2421" t="s">
        <v>2314</v>
      </c>
      <c r="D105" s="2422"/>
      <c r="E105" s="2422"/>
      <c r="F105" s="2422"/>
      <c r="G105" s="2422"/>
      <c r="H105" s="2422"/>
      <c r="I105" s="2422"/>
      <c r="J105" s="2479"/>
      <c r="K105" s="2480"/>
      <c r="L105" s="2480"/>
      <c r="M105" s="2480"/>
      <c r="N105" s="2480"/>
    </row>
    <row r="106" spans="1:25">
      <c r="A106" s="3271"/>
      <c r="B106" s="3271"/>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75" t="s">
        <v>2315</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76"/>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76"/>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76"/>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76"/>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76"/>
      <c r="B112" s="2420" t="s">
        <v>2717</v>
      </c>
      <c r="C112" s="2481">
        <f>$I$3</f>
        <v>0</v>
      </c>
      <c r="D112" s="2481">
        <f t="shared" ref="D112:M112" si="33">$I$3</f>
        <v>0</v>
      </c>
      <c r="E112" s="2481">
        <f t="shared" si="33"/>
        <v>0</v>
      </c>
      <c r="F112" s="2481">
        <f t="shared" si="33"/>
        <v>0</v>
      </c>
      <c r="G112" s="2481">
        <f t="shared" si="33"/>
        <v>0</v>
      </c>
      <c r="H112" s="2481">
        <f t="shared" si="33"/>
        <v>0</v>
      </c>
      <c r="I112" s="2481">
        <f t="shared" si="33"/>
        <v>0</v>
      </c>
      <c r="J112" s="2481">
        <f t="shared" si="33"/>
        <v>0</v>
      </c>
      <c r="K112" s="2481">
        <f t="shared" si="33"/>
        <v>0</v>
      </c>
      <c r="L112" s="2481">
        <f t="shared" si="33"/>
        <v>0</v>
      </c>
      <c r="M112" s="2481">
        <f t="shared" si="33"/>
        <v>0</v>
      </c>
      <c r="N112" s="2481">
        <f>$I$3</f>
        <v>0</v>
      </c>
    </row>
    <row r="113" spans="1:14">
      <c r="A113" s="3277"/>
      <c r="B113" s="2420">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0" t="s">
        <v>2316</v>
      </c>
      <c r="B114" s="3270"/>
      <c r="C114" s="3270"/>
      <c r="D114" s="3270"/>
      <c r="E114" s="3270"/>
      <c r="F114" s="3270"/>
      <c r="G114" s="3270"/>
      <c r="H114" s="3270"/>
      <c r="I114" s="3270"/>
      <c r="J114" s="3270"/>
      <c r="K114" s="2482"/>
      <c r="L114" s="2482"/>
      <c r="M114" s="2482"/>
      <c r="N114" s="2482"/>
    </row>
    <row r="116" spans="1:14" ht="13.5" thickBot="1"/>
    <row r="117" spans="1:14" ht="25.5" thickBot="1">
      <c r="A117" s="2381" t="s">
        <v>2317</v>
      </c>
      <c r="B117" s="2483">
        <f>G3</f>
        <v>1</v>
      </c>
      <c r="C117" s="2364" t="s">
        <v>2318</v>
      </c>
      <c r="D117" s="500">
        <f>SUMPRODUCT((A119:A123=F117)*(B118:M118=H117)*B119:M123)</f>
        <v>0.64319999999999999</v>
      </c>
      <c r="E117" s="473" t="s">
        <v>2173</v>
      </c>
      <c r="F117" s="501" t="str">
        <f>E2</f>
        <v>工业</v>
      </c>
      <c r="G117" s="473" t="s">
        <v>2174</v>
      </c>
      <c r="H117" s="501" t="str">
        <f>G2</f>
        <v>六级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6">I119</f>
        <v>0.8306</v>
      </c>
      <c r="K119" s="502">
        <f t="shared" si="36"/>
        <v>0.8306</v>
      </c>
      <c r="L119" s="502">
        <f t="shared" si="36"/>
        <v>0.8306</v>
      </c>
      <c r="M119" s="504">
        <f t="shared" si="36"/>
        <v>0.8306</v>
      </c>
    </row>
    <row r="120" spans="1:14">
      <c r="A120" s="2412" t="s">
        <v>2230</v>
      </c>
      <c r="B120" s="502">
        <f>ROUND(0.993-0.0112*B117,4)</f>
        <v>0.98180000000000001</v>
      </c>
      <c r="C120" s="502">
        <f>B120</f>
        <v>0.98180000000000001</v>
      </c>
      <c r="D120" s="502">
        <f>ROUND(0.9415-0.0142*B117,4)</f>
        <v>0.92730000000000001</v>
      </c>
      <c r="E120" s="502">
        <f t="shared" ref="E120:H121" si="37">D120</f>
        <v>0.92730000000000001</v>
      </c>
      <c r="F120" s="502">
        <f t="shared" si="37"/>
        <v>0.92730000000000001</v>
      </c>
      <c r="G120" s="502">
        <f t="shared" si="37"/>
        <v>0.92730000000000001</v>
      </c>
      <c r="H120" s="502">
        <f t="shared" si="37"/>
        <v>0.92730000000000001</v>
      </c>
      <c r="I120" s="502">
        <f>ROUND(0.838-0.0182*B117,4)</f>
        <v>0.81979999999999997</v>
      </c>
      <c r="J120" s="502">
        <f t="shared" si="36"/>
        <v>0.81979999999999997</v>
      </c>
      <c r="K120" s="502">
        <f t="shared" si="36"/>
        <v>0.81979999999999997</v>
      </c>
      <c r="L120" s="502">
        <f t="shared" si="36"/>
        <v>0.81979999999999997</v>
      </c>
      <c r="M120" s="504">
        <f t="shared" si="36"/>
        <v>0.81979999999999997</v>
      </c>
    </row>
    <row r="121" spans="1:14">
      <c r="A121" s="2412" t="s">
        <v>2231</v>
      </c>
      <c r="B121" s="502">
        <f>ROUND(0.9448-0.0115*B117,4)</f>
        <v>0.93330000000000002</v>
      </c>
      <c r="C121" s="502">
        <f>B121</f>
        <v>0.93330000000000002</v>
      </c>
      <c r="D121" s="502">
        <f>ROUND(0.937-0.0145*B117,4)</f>
        <v>0.92249999999999999</v>
      </c>
      <c r="E121" s="502">
        <f t="shared" si="37"/>
        <v>0.92249999999999999</v>
      </c>
      <c r="F121" s="502">
        <f t="shared" si="37"/>
        <v>0.92249999999999999</v>
      </c>
      <c r="G121" s="502">
        <f t="shared" si="37"/>
        <v>0.92249999999999999</v>
      </c>
      <c r="H121" s="502">
        <f t="shared" si="37"/>
        <v>0.92249999999999999</v>
      </c>
      <c r="I121" s="502">
        <f>ROUND(0.7965-0.0185*B117,4)</f>
        <v>0.77800000000000002</v>
      </c>
      <c r="J121" s="502">
        <f t="shared" si="36"/>
        <v>0.77800000000000002</v>
      </c>
      <c r="K121" s="502">
        <f t="shared" si="36"/>
        <v>0.77800000000000002</v>
      </c>
      <c r="L121" s="502">
        <f t="shared" si="36"/>
        <v>0.77800000000000002</v>
      </c>
      <c r="M121" s="504">
        <f t="shared" si="36"/>
        <v>0.77800000000000002</v>
      </c>
    </row>
    <row r="122" spans="1:14" ht="13.5" thickBot="1">
      <c r="A122" s="2416"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6"/>
        <v>0.57150000000000001</v>
      </c>
      <c r="K122" s="503">
        <f t="shared" si="36"/>
        <v>0.57150000000000001</v>
      </c>
      <c r="L122" s="503">
        <f t="shared" si="36"/>
        <v>0.57150000000000001</v>
      </c>
      <c r="M122" s="505">
        <f t="shared" si="36"/>
        <v>0.57150000000000001</v>
      </c>
    </row>
    <row r="123" spans="1:14">
      <c r="A123" s="2491" t="s">
        <v>2901</v>
      </c>
      <c r="B123" s="502">
        <f>ROUND(0.9404-0.0106*B117,4)</f>
        <v>0.92979999999999996</v>
      </c>
      <c r="C123" s="502">
        <f>B123</f>
        <v>0.92979999999999996</v>
      </c>
      <c r="D123" s="502">
        <f>ROUND(0.8955-0.0135*B117,4)</f>
        <v>0.88200000000000001</v>
      </c>
      <c r="E123" s="502">
        <f t="shared" ref="E123" si="38">D123</f>
        <v>0.88200000000000001</v>
      </c>
      <c r="F123" s="502">
        <f t="shared" ref="F123" si="39">E123</f>
        <v>0.88200000000000001</v>
      </c>
      <c r="G123" s="502">
        <f t="shared" ref="G123" si="40">F123</f>
        <v>0.88200000000000001</v>
      </c>
      <c r="H123" s="502">
        <f t="shared" ref="H123" si="41">G123</f>
        <v>0.88200000000000001</v>
      </c>
      <c r="I123" s="502">
        <f>ROUND(0.7632-0.0166*B117,4)</f>
        <v>0.74660000000000004</v>
      </c>
      <c r="J123" s="502">
        <f t="shared" ref="J123" si="42">I123</f>
        <v>0.74660000000000004</v>
      </c>
      <c r="K123" s="502">
        <f t="shared" ref="K123" si="43">J123</f>
        <v>0.74660000000000004</v>
      </c>
      <c r="L123" s="502">
        <f t="shared" ref="L123" si="44">K123</f>
        <v>0.74660000000000004</v>
      </c>
      <c r="M123" s="504">
        <f t="shared" ref="M123" si="45">L123</f>
        <v>0.74660000000000004</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8" priority="8" stopIfTrue="1" operator="notEqual">
      <formula>"——"</formula>
    </cfRule>
  </conditionalFormatting>
  <conditionalFormatting sqref="F62">
    <cfRule type="cellIs" dxfId="7" priority="7" stopIfTrue="1" operator="notEqual">
      <formula>"——"</formula>
    </cfRule>
  </conditionalFormatting>
  <conditionalFormatting sqref="F73">
    <cfRule type="cellIs" dxfId="6" priority="6" stopIfTrue="1" operator="notEqual">
      <formula>"——"</formula>
    </cfRule>
  </conditionalFormatting>
  <conditionalFormatting sqref="F84">
    <cfRule type="cellIs" dxfId="5" priority="5" stopIfTrue="1" operator="notEqual">
      <formula>"——"</formula>
    </cfRule>
  </conditionalFormatting>
  <conditionalFormatting sqref="H51:H59 H62:H70 H73:H81 H84:H91">
    <cfRule type="cellIs" dxfId="4" priority="4" operator="notEqual">
      <formula>"——"</formula>
    </cfRule>
  </conditionalFormatting>
  <conditionalFormatting sqref="F94">
    <cfRule type="cellIs" dxfId="3" priority="3" stopIfTrue="1" operator="notEqual">
      <formula>"——"</formula>
    </cfRule>
  </conditionalFormatting>
  <conditionalFormatting sqref="H94:H103">
    <cfRule type="cellIs" dxfId="2" priority="2" operator="notEqual">
      <formula>"——"</formula>
    </cfRule>
  </conditionalFormatting>
  <conditionalFormatting sqref="G84:G91">
    <cfRule type="cellIs" dxfId="0"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2939</v>
      </c>
      <c r="B5" s="512">
        <v>1.5</v>
      </c>
      <c r="C5" s="512">
        <v>1.5</v>
      </c>
      <c r="D5" s="512">
        <v>1.5</v>
      </c>
      <c r="E5" s="512">
        <v>1.5</v>
      </c>
      <c r="F5" s="512">
        <v>1.5</v>
      </c>
      <c r="G5" s="512">
        <v>1.2</v>
      </c>
      <c r="H5" s="512">
        <v>1.2</v>
      </c>
      <c r="I5" s="512">
        <v>1</v>
      </c>
      <c r="J5" s="512">
        <v>1</v>
      </c>
      <c r="K5" s="512">
        <v>1</v>
      </c>
      <c r="L5" s="512">
        <v>1</v>
      </c>
      <c r="M5" s="2502">
        <v>1</v>
      </c>
    </row>
    <row r="6" spans="1:13">
      <c r="A6" s="2504" t="s">
        <v>2889</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2702</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2876</v>
      </c>
      <c r="B19" s="2518" t="s">
        <v>2877</v>
      </c>
      <c r="C19" s="2518" t="s">
        <v>521</v>
      </c>
      <c r="D19" s="2519"/>
      <c r="E19" s="510" t="s">
        <v>3053</v>
      </c>
      <c r="F19" s="2520"/>
      <c r="G19" s="2520"/>
    </row>
    <row r="20" spans="1:13">
      <c r="A20" s="3278" t="s">
        <v>156</v>
      </c>
      <c r="B20" s="3288" t="s">
        <v>2893</v>
      </c>
      <c r="C20" s="2521" t="s">
        <v>2823</v>
      </c>
      <c r="D20" s="2522"/>
      <c r="E20" s="513">
        <v>1</v>
      </c>
      <c r="F20" s="2523" t="s">
        <v>2829</v>
      </c>
      <c r="G20" s="2523"/>
    </row>
    <row r="21" spans="1:13">
      <c r="A21" s="3279"/>
      <c r="B21" s="3283"/>
      <c r="C21" s="2524" t="s">
        <v>2824</v>
      </c>
      <c r="D21" s="2525"/>
      <c r="E21" s="514">
        <v>1</v>
      </c>
      <c r="F21" s="2523" t="s">
        <v>2830</v>
      </c>
      <c r="G21" s="2523"/>
    </row>
    <row r="22" spans="1:13">
      <c r="A22" s="3279"/>
      <c r="B22" s="3283"/>
      <c r="C22" s="2524" t="s">
        <v>2825</v>
      </c>
      <c r="D22" s="2525"/>
      <c r="E22" s="514">
        <v>0.9</v>
      </c>
      <c r="F22" s="2523" t="s">
        <v>2831</v>
      </c>
      <c r="G22" s="2523"/>
    </row>
    <row r="23" spans="1:13">
      <c r="A23" s="3279"/>
      <c r="B23" s="3283"/>
      <c r="C23" s="2524" t="s">
        <v>2826</v>
      </c>
      <c r="D23" s="2525"/>
      <c r="E23" s="514">
        <v>0.9</v>
      </c>
      <c r="F23" s="2523" t="s">
        <v>2832</v>
      </c>
      <c r="G23" s="2523"/>
    </row>
    <row r="24" spans="1:13">
      <c r="A24" s="3279"/>
      <c r="B24" s="3283"/>
      <c r="C24" s="2524" t="s">
        <v>2827</v>
      </c>
      <c r="D24" s="2525"/>
      <c r="E24" s="514">
        <v>0.8</v>
      </c>
      <c r="F24" s="2523" t="s">
        <v>2833</v>
      </c>
      <c r="G24" s="2523"/>
    </row>
    <row r="25" spans="1:13" ht="14.25" thickBot="1">
      <c r="A25" s="3280"/>
      <c r="B25" s="3289"/>
      <c r="C25" s="2526" t="s">
        <v>2828</v>
      </c>
      <c r="D25" s="2527"/>
      <c r="E25" s="515">
        <v>0.8</v>
      </c>
      <c r="F25" s="2523" t="s">
        <v>2834</v>
      </c>
      <c r="G25" s="2523"/>
    </row>
    <row r="26" spans="1:13" ht="14.25" thickBot="1">
      <c r="A26" s="2528" t="s">
        <v>157</v>
      </c>
      <c r="B26" s="2529" t="s">
        <v>2893</v>
      </c>
      <c r="C26" s="2530" t="s">
        <v>2837</v>
      </c>
      <c r="D26" s="2531"/>
      <c r="E26" s="516">
        <v>1</v>
      </c>
      <c r="F26" s="2523" t="s">
        <v>2835</v>
      </c>
      <c r="G26" s="2523"/>
    </row>
    <row r="27" spans="1:13">
      <c r="A27" s="3285" t="s">
        <v>2836</v>
      </c>
      <c r="B27" s="3288" t="s">
        <v>2836</v>
      </c>
      <c r="C27" s="2521" t="s">
        <v>2838</v>
      </c>
      <c r="D27" s="2522"/>
      <c r="E27" s="513">
        <v>1</v>
      </c>
      <c r="F27" s="2523" t="s">
        <v>2851</v>
      </c>
      <c r="G27" s="2523"/>
    </row>
    <row r="28" spans="1:13">
      <c r="A28" s="3286"/>
      <c r="B28" s="3283"/>
      <c r="C28" s="2524" t="s">
        <v>2839</v>
      </c>
      <c r="D28" s="2525"/>
      <c r="E28" s="514">
        <v>1</v>
      </c>
      <c r="F28" s="2523" t="s">
        <v>2852</v>
      </c>
      <c r="G28" s="2523"/>
    </row>
    <row r="29" spans="1:13">
      <c r="A29" s="3286"/>
      <c r="B29" s="3283"/>
      <c r="C29" s="2524" t="s">
        <v>2840</v>
      </c>
      <c r="D29" s="2525"/>
      <c r="E29" s="514">
        <v>0.8</v>
      </c>
      <c r="F29" s="2523" t="s">
        <v>2853</v>
      </c>
      <c r="G29" s="2523"/>
    </row>
    <row r="30" spans="1:13">
      <c r="A30" s="3286"/>
      <c r="B30" s="3283"/>
      <c r="C30" s="2524" t="s">
        <v>2841</v>
      </c>
      <c r="D30" s="2525"/>
      <c r="E30" s="514">
        <v>0.8</v>
      </c>
      <c r="F30" s="2523" t="s">
        <v>2854</v>
      </c>
      <c r="G30" s="2523"/>
    </row>
    <row r="31" spans="1:13">
      <c r="A31" s="3286"/>
      <c r="B31" s="3283"/>
      <c r="C31" s="2524" t="s">
        <v>2842</v>
      </c>
      <c r="D31" s="2525"/>
      <c r="E31" s="514">
        <v>0.8</v>
      </c>
      <c r="F31" s="2523" t="s">
        <v>2855</v>
      </c>
      <c r="G31" s="2523"/>
    </row>
    <row r="32" spans="1:13">
      <c r="A32" s="3286"/>
      <c r="B32" s="3283"/>
      <c r="C32" s="2524" t="s">
        <v>2843</v>
      </c>
      <c r="D32" s="2525"/>
      <c r="E32" s="514">
        <v>0.7</v>
      </c>
      <c r="F32" s="2523" t="s">
        <v>2856</v>
      </c>
      <c r="G32" s="2523"/>
    </row>
    <row r="33" spans="1:7">
      <c r="A33" s="3286"/>
      <c r="B33" s="3283"/>
      <c r="C33" s="2524" t="s">
        <v>2844</v>
      </c>
      <c r="D33" s="2525"/>
      <c r="E33" s="514">
        <v>0.8</v>
      </c>
      <c r="F33" s="2523" t="s">
        <v>2857</v>
      </c>
      <c r="G33" s="2523"/>
    </row>
    <row r="34" spans="1:7">
      <c r="A34" s="3286"/>
      <c r="B34" s="3283"/>
      <c r="C34" s="2524" t="s">
        <v>2845</v>
      </c>
      <c r="D34" s="2525"/>
      <c r="E34" s="514">
        <v>0.6</v>
      </c>
      <c r="F34" s="2523" t="s">
        <v>2858</v>
      </c>
      <c r="G34" s="2523"/>
    </row>
    <row r="35" spans="1:7">
      <c r="A35" s="3286"/>
      <c r="B35" s="3283"/>
      <c r="C35" s="2524" t="s">
        <v>2846</v>
      </c>
      <c r="D35" s="2525"/>
      <c r="E35" s="514">
        <v>0.2</v>
      </c>
      <c r="F35" s="2523" t="s">
        <v>2859</v>
      </c>
      <c r="G35" s="2523"/>
    </row>
    <row r="36" spans="1:7">
      <c r="A36" s="3286"/>
      <c r="B36" s="3283"/>
      <c r="C36" s="2524" t="s">
        <v>2847</v>
      </c>
      <c r="D36" s="2525"/>
      <c r="E36" s="514">
        <v>0.2</v>
      </c>
      <c r="F36" s="2523" t="s">
        <v>2860</v>
      </c>
      <c r="G36" s="2523"/>
    </row>
    <row r="37" spans="1:7">
      <c r="A37" s="3286"/>
      <c r="B37" s="3282" t="s">
        <v>2894</v>
      </c>
      <c r="C37" s="2524" t="s">
        <v>2848</v>
      </c>
      <c r="D37" s="2525"/>
      <c r="E37" s="514">
        <v>0.6</v>
      </c>
      <c r="F37" s="2523" t="s">
        <v>2861</v>
      </c>
      <c r="G37" s="2523"/>
    </row>
    <row r="38" spans="1:7">
      <c r="A38" s="3286"/>
      <c r="B38" s="3283"/>
      <c r="C38" s="2524" t="s">
        <v>2849</v>
      </c>
      <c r="D38" s="2525"/>
      <c r="E38" s="514">
        <v>0.6</v>
      </c>
      <c r="F38" s="2523" t="s">
        <v>2862</v>
      </c>
      <c r="G38" s="2523"/>
    </row>
    <row r="39" spans="1:7" ht="14.25" thickBot="1">
      <c r="A39" s="3287"/>
      <c r="B39" s="3289"/>
      <c r="C39" s="2526" t="s">
        <v>2850</v>
      </c>
      <c r="D39" s="2527"/>
      <c r="E39" s="515">
        <v>0.6</v>
      </c>
      <c r="F39" s="2523" t="s">
        <v>2863</v>
      </c>
      <c r="G39" s="2523"/>
    </row>
    <row r="40" spans="1:7" ht="14.25" thickBot="1">
      <c r="A40" s="2528" t="s">
        <v>514</v>
      </c>
      <c r="B40" s="2529" t="s">
        <v>2895</v>
      </c>
      <c r="C40" s="2530" t="s">
        <v>2864</v>
      </c>
      <c r="D40" s="2531"/>
      <c r="E40" s="516">
        <v>1</v>
      </c>
      <c r="F40" s="2523" t="s">
        <v>2865</v>
      </c>
      <c r="G40" s="2523"/>
    </row>
    <row r="41" spans="1:7">
      <c r="A41" s="3278" t="s">
        <v>158</v>
      </c>
      <c r="B41" s="3288" t="s">
        <v>2890</v>
      </c>
      <c r="C41" s="2521" t="s">
        <v>2866</v>
      </c>
      <c r="D41" s="2522"/>
      <c r="E41" s="513">
        <v>1</v>
      </c>
      <c r="F41" s="2523" t="s">
        <v>2878</v>
      </c>
      <c r="G41" s="2523"/>
    </row>
    <row r="42" spans="1:7">
      <c r="A42" s="3279"/>
      <c r="B42" s="3283"/>
      <c r="C42" s="2524" t="s">
        <v>2867</v>
      </c>
      <c r="D42" s="2525"/>
      <c r="E42" s="514">
        <v>1</v>
      </c>
      <c r="F42" s="2523" t="s">
        <v>2879</v>
      </c>
      <c r="G42" s="2523"/>
    </row>
    <row r="43" spans="1:7">
      <c r="A43" s="3279"/>
      <c r="B43" s="3284"/>
      <c r="C43" s="2524" t="s">
        <v>2868</v>
      </c>
      <c r="D43" s="2525"/>
      <c r="E43" s="514">
        <v>1.5</v>
      </c>
      <c r="F43" s="2523" t="s">
        <v>2880</v>
      </c>
      <c r="G43" s="2523"/>
    </row>
    <row r="44" spans="1:7">
      <c r="A44" s="3279"/>
      <c r="B44" s="517" t="s">
        <v>2891</v>
      </c>
      <c r="C44" s="2524" t="s">
        <v>2889</v>
      </c>
      <c r="D44" s="2525"/>
      <c r="E44" s="514">
        <v>2</v>
      </c>
      <c r="F44" s="2523" t="s">
        <v>2881</v>
      </c>
      <c r="G44" s="2523"/>
    </row>
    <row r="45" spans="1:7">
      <c r="A45" s="3279"/>
      <c r="B45" s="3282" t="s">
        <v>2892</v>
      </c>
      <c r="C45" s="2524" t="s">
        <v>2869</v>
      </c>
      <c r="D45" s="2525"/>
      <c r="E45" s="514">
        <v>1</v>
      </c>
      <c r="F45" s="2523" t="s">
        <v>2882</v>
      </c>
      <c r="G45" s="2523"/>
    </row>
    <row r="46" spans="1:7">
      <c r="A46" s="3279"/>
      <c r="B46" s="3283"/>
      <c r="C46" s="2524" t="s">
        <v>2870</v>
      </c>
      <c r="D46" s="2525"/>
      <c r="E46" s="514">
        <v>1</v>
      </c>
      <c r="F46" s="2523" t="s">
        <v>2883</v>
      </c>
      <c r="G46" s="2523"/>
    </row>
    <row r="47" spans="1:7">
      <c r="A47" s="3279"/>
      <c r="B47" s="3283"/>
      <c r="C47" s="2524" t="s">
        <v>2871</v>
      </c>
      <c r="D47" s="2525"/>
      <c r="E47" s="514">
        <v>1</v>
      </c>
      <c r="F47" s="2523" t="s">
        <v>2884</v>
      </c>
      <c r="G47" s="2523"/>
    </row>
    <row r="48" spans="1:7">
      <c r="A48" s="3279"/>
      <c r="B48" s="3283"/>
      <c r="C48" s="2524" t="s">
        <v>2872</v>
      </c>
      <c r="D48" s="2525"/>
      <c r="E48" s="514">
        <v>1</v>
      </c>
      <c r="F48" s="2523" t="s">
        <v>2885</v>
      </c>
      <c r="G48" s="2523"/>
    </row>
    <row r="49" spans="1:7">
      <c r="A49" s="3279"/>
      <c r="B49" s="3283"/>
      <c r="C49" s="2524" t="s">
        <v>2873</v>
      </c>
      <c r="D49" s="2525"/>
      <c r="E49" s="514">
        <v>1</v>
      </c>
      <c r="F49" s="2523" t="s">
        <v>2886</v>
      </c>
      <c r="G49" s="2523"/>
    </row>
    <row r="50" spans="1:7">
      <c r="A50" s="3279"/>
      <c r="B50" s="3283"/>
      <c r="C50" s="2524" t="s">
        <v>2874</v>
      </c>
      <c r="D50" s="2525"/>
      <c r="E50" s="514">
        <v>1</v>
      </c>
      <c r="F50" s="2523" t="s">
        <v>2887</v>
      </c>
      <c r="G50" s="2523"/>
    </row>
    <row r="51" spans="1:7" ht="14.25" thickBot="1">
      <c r="A51" s="3280"/>
      <c r="B51" s="3289"/>
      <c r="C51" s="2526" t="s">
        <v>2875</v>
      </c>
      <c r="D51" s="2527"/>
      <c r="E51" s="515">
        <v>1</v>
      </c>
      <c r="F51" s="2523" t="s">
        <v>2888</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3"/>
      <c r="C74" s="508" t="s">
        <v>2719</v>
      </c>
      <c r="D74" s="508" t="s">
        <v>2720</v>
      </c>
      <c r="E74" s="517">
        <v>0.2</v>
      </c>
      <c r="F74" s="517">
        <v>25</v>
      </c>
    </row>
    <row r="75" spans="1:7" ht="24">
      <c r="A75" s="517">
        <v>3</v>
      </c>
      <c r="B75" s="3283"/>
      <c r="C75" s="508" t="s">
        <v>2721</v>
      </c>
      <c r="D75" s="508" t="s">
        <v>2722</v>
      </c>
      <c r="E75" s="517">
        <v>0.2</v>
      </c>
      <c r="F75" s="517">
        <v>25</v>
      </c>
    </row>
    <row r="76" spans="1:7">
      <c r="A76" s="517">
        <v>4</v>
      </c>
      <c r="B76" s="3283"/>
      <c r="C76" s="508" t="s">
        <v>2723</v>
      </c>
      <c r="D76" s="508" t="s">
        <v>2724</v>
      </c>
      <c r="E76" s="517">
        <v>0.15</v>
      </c>
      <c r="F76" s="517">
        <v>20</v>
      </c>
    </row>
    <row r="77" spans="1:7" ht="24">
      <c r="A77" s="517">
        <v>5</v>
      </c>
      <c r="B77" s="3283"/>
      <c r="C77" s="508" t="s">
        <v>2725</v>
      </c>
      <c r="D77" s="508" t="s">
        <v>2726</v>
      </c>
      <c r="E77" s="517">
        <v>0.15</v>
      </c>
      <c r="F77" s="517">
        <v>20</v>
      </c>
    </row>
    <row r="78" spans="1:7" ht="24">
      <c r="A78" s="517">
        <v>6</v>
      </c>
      <c r="B78" s="3283"/>
      <c r="C78" s="508" t="s">
        <v>2727</v>
      </c>
      <c r="D78" s="508" t="s">
        <v>2728</v>
      </c>
      <c r="E78" s="517">
        <v>0.15</v>
      </c>
      <c r="F78" s="517">
        <v>20</v>
      </c>
    </row>
    <row r="79" spans="1:7" ht="24">
      <c r="A79" s="517">
        <v>7</v>
      </c>
      <c r="B79" s="3283"/>
      <c r="C79" s="508" t="s">
        <v>2729</v>
      </c>
      <c r="D79" s="508" t="s">
        <v>2730</v>
      </c>
      <c r="E79" s="517">
        <v>0.15</v>
      </c>
      <c r="F79" s="517">
        <v>20</v>
      </c>
    </row>
    <row r="80" spans="1:7" ht="24">
      <c r="A80" s="517">
        <v>8</v>
      </c>
      <c r="B80" s="3283"/>
      <c r="C80" s="508" t="s">
        <v>2731</v>
      </c>
      <c r="D80" s="508" t="s">
        <v>2732</v>
      </c>
      <c r="E80" s="517">
        <v>0.1</v>
      </c>
      <c r="F80" s="517">
        <v>15</v>
      </c>
    </row>
    <row r="81" spans="1:6" ht="24">
      <c r="A81" s="517">
        <v>9</v>
      </c>
      <c r="B81" s="3283"/>
      <c r="C81" s="508" t="s">
        <v>2733</v>
      </c>
      <c r="D81" s="508" t="s">
        <v>2734</v>
      </c>
      <c r="E81" s="517">
        <v>0.1</v>
      </c>
      <c r="F81" s="517">
        <v>15</v>
      </c>
    </row>
    <row r="82" spans="1:6" ht="24">
      <c r="A82" s="517">
        <v>10</v>
      </c>
      <c r="B82" s="3283"/>
      <c r="C82" s="508" t="s">
        <v>2735</v>
      </c>
      <c r="D82" s="508" t="s">
        <v>2736</v>
      </c>
      <c r="E82" s="517">
        <v>0.1</v>
      </c>
      <c r="F82" s="517">
        <v>15</v>
      </c>
    </row>
    <row r="83" spans="1:6" ht="24">
      <c r="A83" s="517">
        <v>11</v>
      </c>
      <c r="B83" s="3283"/>
      <c r="C83" s="508" t="s">
        <v>2737</v>
      </c>
      <c r="D83" s="508" t="s">
        <v>2738</v>
      </c>
      <c r="E83" s="517">
        <v>0.1</v>
      </c>
      <c r="F83" s="517">
        <v>15</v>
      </c>
    </row>
    <row r="84" spans="1:6" ht="24">
      <c r="A84" s="517">
        <v>12</v>
      </c>
      <c r="B84" s="3283"/>
      <c r="C84" s="508" t="s">
        <v>2739</v>
      </c>
      <c r="D84" s="508" t="s">
        <v>2740</v>
      </c>
      <c r="E84" s="517">
        <v>0.1</v>
      </c>
      <c r="F84" s="517">
        <v>15</v>
      </c>
    </row>
    <row r="85" spans="1:6">
      <c r="A85" s="517">
        <v>13</v>
      </c>
      <c r="B85" s="3283"/>
      <c r="C85" s="508" t="s">
        <v>2741</v>
      </c>
      <c r="D85" s="508" t="s">
        <v>2742</v>
      </c>
      <c r="E85" s="517">
        <v>0.1</v>
      </c>
      <c r="F85" s="517">
        <v>15</v>
      </c>
    </row>
    <row r="86" spans="1:6">
      <c r="A86" s="517">
        <v>14</v>
      </c>
      <c r="B86" s="3283"/>
      <c r="C86" s="508" t="s">
        <v>2743</v>
      </c>
      <c r="D86" s="508" t="s">
        <v>2744</v>
      </c>
      <c r="E86" s="517">
        <v>0.1</v>
      </c>
      <c r="F86" s="517">
        <v>15</v>
      </c>
    </row>
    <row r="87" spans="1:6">
      <c r="A87" s="517">
        <v>15</v>
      </c>
      <c r="B87" s="3283"/>
      <c r="C87" s="508" t="s">
        <v>2745</v>
      </c>
      <c r="D87" s="508" t="s">
        <v>2746</v>
      </c>
      <c r="E87" s="517">
        <v>0.1</v>
      </c>
      <c r="F87" s="517">
        <v>15</v>
      </c>
    </row>
    <row r="88" spans="1:6" ht="24">
      <c r="A88" s="517">
        <v>16</v>
      </c>
      <c r="B88" s="3283"/>
      <c r="C88" s="508" t="s">
        <v>2747</v>
      </c>
      <c r="D88" s="508" t="s">
        <v>2748</v>
      </c>
      <c r="E88" s="517">
        <v>0.1</v>
      </c>
      <c r="F88" s="517">
        <v>15</v>
      </c>
    </row>
    <row r="89" spans="1:6" ht="24">
      <c r="A89" s="517">
        <v>17</v>
      </c>
      <c r="B89" s="3284"/>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3"/>
      <c r="C91" s="508" t="s">
        <v>2751</v>
      </c>
      <c r="D91" s="508" t="s">
        <v>467</v>
      </c>
      <c r="E91" s="517">
        <v>0.2</v>
      </c>
      <c r="F91" s="517">
        <v>25</v>
      </c>
    </row>
    <row r="92" spans="1:6">
      <c r="A92" s="517">
        <v>20</v>
      </c>
      <c r="B92" s="3283"/>
      <c r="C92" s="508" t="s">
        <v>465</v>
      </c>
      <c r="D92" s="508" t="s">
        <v>466</v>
      </c>
      <c r="E92" s="517">
        <v>0.15</v>
      </c>
      <c r="F92" s="517">
        <v>20</v>
      </c>
    </row>
    <row r="93" spans="1:6">
      <c r="A93" s="517">
        <v>21</v>
      </c>
      <c r="B93" s="3283"/>
      <c r="C93" s="508" t="s">
        <v>2752</v>
      </c>
      <c r="D93" s="508" t="s">
        <v>468</v>
      </c>
      <c r="E93" s="517">
        <v>0.15</v>
      </c>
      <c r="F93" s="517">
        <v>20</v>
      </c>
    </row>
    <row r="94" spans="1:6">
      <c r="A94" s="517">
        <v>22</v>
      </c>
      <c r="B94" s="3283"/>
      <c r="C94" s="508" t="s">
        <v>2754</v>
      </c>
      <c r="D94" s="508" t="s">
        <v>2755</v>
      </c>
      <c r="E94" s="517">
        <v>0.15</v>
      </c>
      <c r="F94" s="517">
        <v>20</v>
      </c>
    </row>
    <row r="95" spans="1:6" ht="36">
      <c r="A95" s="517">
        <v>23</v>
      </c>
      <c r="B95" s="3283"/>
      <c r="C95" s="508" t="s">
        <v>2756</v>
      </c>
      <c r="D95" s="508" t="s">
        <v>2757</v>
      </c>
      <c r="E95" s="517">
        <v>0.15</v>
      </c>
      <c r="F95" s="517">
        <v>20</v>
      </c>
    </row>
    <row r="96" spans="1:6">
      <c r="A96" s="517">
        <v>24</v>
      </c>
      <c r="B96" s="3283"/>
      <c r="C96" s="508" t="s">
        <v>2758</v>
      </c>
      <c r="D96" s="508" t="s">
        <v>2759</v>
      </c>
      <c r="E96" s="517">
        <v>0.1</v>
      </c>
      <c r="F96" s="517">
        <v>15</v>
      </c>
    </row>
    <row r="97" spans="1:6">
      <c r="A97" s="517">
        <v>25</v>
      </c>
      <c r="B97" s="3283"/>
      <c r="C97" s="508" t="s">
        <v>2753</v>
      </c>
      <c r="D97" s="508" t="s">
        <v>2760</v>
      </c>
      <c r="E97" s="517">
        <v>0.1</v>
      </c>
      <c r="F97" s="517">
        <v>15</v>
      </c>
    </row>
    <row r="98" spans="1:6" ht="24">
      <c r="A98" s="517">
        <v>26</v>
      </c>
      <c r="B98" s="3283"/>
      <c r="C98" s="508" t="s">
        <v>2761</v>
      </c>
      <c r="D98" s="508" t="s">
        <v>2762</v>
      </c>
      <c r="E98" s="517">
        <v>0.1</v>
      </c>
      <c r="F98" s="517">
        <v>15</v>
      </c>
    </row>
    <row r="99" spans="1:6" ht="24">
      <c r="A99" s="517">
        <v>27</v>
      </c>
      <c r="B99" s="3283"/>
      <c r="C99" s="508" t="s">
        <v>2763</v>
      </c>
      <c r="D99" s="508" t="s">
        <v>2764</v>
      </c>
      <c r="E99" s="517">
        <v>0.1</v>
      </c>
      <c r="F99" s="517">
        <v>15</v>
      </c>
    </row>
    <row r="100" spans="1:6">
      <c r="A100" s="517">
        <v>28</v>
      </c>
      <c r="B100" s="3283"/>
      <c r="C100" s="508" t="s">
        <v>2765</v>
      </c>
      <c r="D100" s="508" t="s">
        <v>2766</v>
      </c>
      <c r="E100" s="517">
        <v>0.1</v>
      </c>
      <c r="F100" s="517">
        <v>15</v>
      </c>
    </row>
    <row r="101" spans="1:6">
      <c r="A101" s="517">
        <v>29</v>
      </c>
      <c r="B101" s="3283"/>
      <c r="C101" s="508" t="s">
        <v>2767</v>
      </c>
      <c r="D101" s="508" t="s">
        <v>2768</v>
      </c>
      <c r="E101" s="517">
        <v>0.1</v>
      </c>
      <c r="F101" s="517">
        <v>15</v>
      </c>
    </row>
    <row r="102" spans="1:6">
      <c r="A102" s="517">
        <v>30</v>
      </c>
      <c r="B102" s="3283"/>
      <c r="C102" s="508" t="s">
        <v>2769</v>
      </c>
      <c r="D102" s="508" t="s">
        <v>2770</v>
      </c>
      <c r="E102" s="517">
        <v>0.1</v>
      </c>
      <c r="F102" s="517">
        <v>15</v>
      </c>
    </row>
    <row r="103" spans="1:6" ht="24">
      <c r="A103" s="517">
        <v>31</v>
      </c>
      <c r="B103" s="3283"/>
      <c r="C103" s="508" t="s">
        <v>2771</v>
      </c>
      <c r="D103" s="508" t="s">
        <v>2772</v>
      </c>
      <c r="E103" s="517">
        <v>0.1</v>
      </c>
      <c r="F103" s="517">
        <v>15</v>
      </c>
    </row>
    <row r="104" spans="1:6" ht="24">
      <c r="A104" s="517">
        <v>32</v>
      </c>
      <c r="B104" s="3283"/>
      <c r="C104" s="508" t="s">
        <v>2773</v>
      </c>
      <c r="D104" s="508" t="s">
        <v>2774</v>
      </c>
      <c r="E104" s="517">
        <v>0.1</v>
      </c>
      <c r="F104" s="517">
        <v>15</v>
      </c>
    </row>
    <row r="105" spans="1:6" ht="24">
      <c r="A105" s="517">
        <v>33</v>
      </c>
      <c r="B105" s="3283"/>
      <c r="C105" s="508" t="s">
        <v>2775</v>
      </c>
      <c r="D105" s="508" t="s">
        <v>2776</v>
      </c>
      <c r="E105" s="517">
        <v>0.1</v>
      </c>
      <c r="F105" s="517">
        <v>15</v>
      </c>
    </row>
    <row r="106" spans="1:6" ht="24">
      <c r="A106" s="517">
        <v>34</v>
      </c>
      <c r="B106" s="3284"/>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3"/>
      <c r="C108" s="517" t="s">
        <v>2781</v>
      </c>
      <c r="D108" s="508" t="s">
        <v>2782</v>
      </c>
      <c r="E108" s="517">
        <v>0.15</v>
      </c>
      <c r="F108" s="517">
        <v>20</v>
      </c>
    </row>
    <row r="109" spans="1:6">
      <c r="A109" s="517">
        <v>37</v>
      </c>
      <c r="B109" s="3283"/>
      <c r="C109" s="517" t="s">
        <v>2780</v>
      </c>
      <c r="D109" s="508" t="s">
        <v>2787</v>
      </c>
      <c r="E109" s="517">
        <v>0.15</v>
      </c>
      <c r="F109" s="517">
        <v>20</v>
      </c>
    </row>
    <row r="110" spans="1:6">
      <c r="A110" s="517">
        <v>38</v>
      </c>
      <c r="B110" s="3283"/>
      <c r="C110" s="517" t="s">
        <v>2783</v>
      </c>
      <c r="D110" s="508" t="s">
        <v>2788</v>
      </c>
      <c r="E110" s="517">
        <v>0.1</v>
      </c>
      <c r="F110" s="517">
        <v>15</v>
      </c>
    </row>
    <row r="111" spans="1:6" ht="24">
      <c r="A111" s="517">
        <v>39</v>
      </c>
      <c r="B111" s="3283"/>
      <c r="C111" s="517" t="s">
        <v>2784</v>
      </c>
      <c r="D111" s="508" t="s">
        <v>2785</v>
      </c>
      <c r="E111" s="517">
        <v>0.1</v>
      </c>
      <c r="F111" s="517">
        <v>15</v>
      </c>
    </row>
    <row r="112" spans="1:6" ht="24">
      <c r="A112" s="517">
        <v>40</v>
      </c>
      <c r="B112" s="3284"/>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4"/>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4"/>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4"/>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4"/>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1.2158</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1.1565000000000001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0"/>
      <c r="C1" s="2540"/>
      <c r="D1" s="2540"/>
      <c r="E1" s="2540"/>
      <c r="F1" s="2541"/>
      <c r="G1" s="2541"/>
      <c r="H1" s="2541"/>
      <c r="I1" s="2541"/>
      <c r="J1" s="2541"/>
      <c r="K1" s="2541"/>
      <c r="L1" s="2541"/>
      <c r="M1" s="2541"/>
      <c r="N1" s="2541"/>
      <c r="O1" s="2541"/>
      <c r="P1" s="2541"/>
    </row>
    <row r="2" spans="1:16" ht="15.75">
      <c r="A2" s="2542" t="s">
        <v>2331</v>
      </c>
      <c r="B2" s="1704">
        <f ca="1">SUMIF(B6:B13,"&lt;&gt;#ref!",B6:B13)</f>
        <v>8341</v>
      </c>
      <c r="C2" s="2542" t="s">
        <v>2332</v>
      </c>
      <c r="D2" s="2542" t="s">
        <v>2333</v>
      </c>
      <c r="E2" s="2543">
        <f ca="1">SUMIF(E6:E13,"&lt;&gt;#ref!",E6:E13)</f>
        <v>42642.17</v>
      </c>
      <c r="F2" s="2541"/>
      <c r="G2" s="2541"/>
      <c r="H2" s="2541"/>
      <c r="I2" s="2541"/>
      <c r="J2" s="2541"/>
      <c r="K2" s="2541"/>
      <c r="L2" s="2541"/>
      <c r="M2" s="2541"/>
      <c r="N2" s="2541"/>
      <c r="O2" s="2541"/>
      <c r="P2" s="2541"/>
    </row>
    <row r="3" spans="1:16" ht="15.75">
      <c r="A3" s="2542" t="s">
        <v>2334</v>
      </c>
      <c r="B3" s="1704">
        <f ca="1">ROUND(B2*10000/E2,0)</f>
        <v>1956</v>
      </c>
      <c r="C3" s="2542" t="s">
        <v>2340</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2335</v>
      </c>
      <c r="B5" s="2546" t="s">
        <v>2336</v>
      </c>
      <c r="C5" s="2547"/>
      <c r="D5" s="2541"/>
      <c r="E5" s="2548" t="s">
        <v>2337</v>
      </c>
      <c r="F5" s="2541"/>
      <c r="G5" s="2541"/>
      <c r="H5" s="2541"/>
      <c r="I5" s="2541"/>
      <c r="J5" s="2541"/>
      <c r="K5" s="2541"/>
      <c r="L5" s="2541"/>
      <c r="M5" s="2541"/>
      <c r="N5" s="2541"/>
      <c r="O5" s="2541"/>
      <c r="P5" s="2541"/>
    </row>
    <row r="6" spans="1:16" ht="15.75">
      <c r="A6" s="2549" t="s">
        <v>2338</v>
      </c>
      <c r="B6" s="1704">
        <f ca="1">SUMIF(INDIRECT("'"&amp;A6&amp;"'"&amp;"!A:A"),"总价",INDIRECT("'"&amp;A6&amp;"'"&amp;"!B:B"))</f>
        <v>8341</v>
      </c>
      <c r="C6" s="2542" t="s">
        <v>2332</v>
      </c>
      <c r="D6" s="2541"/>
      <c r="E6" s="2543">
        <f ca="1">SUMIF(INDIRECT("'"&amp;A6&amp;"'"&amp;"!C:C"),"建筑面积",INDIRECT("'"&amp;A6&amp;"'"&amp;"!D:D"))</f>
        <v>42642.17</v>
      </c>
      <c r="F6" s="2541"/>
      <c r="G6" s="2541"/>
      <c r="H6" s="2541"/>
      <c r="I6" s="2541"/>
      <c r="J6" s="2541"/>
      <c r="K6" s="2541"/>
      <c r="L6" s="2541"/>
      <c r="M6" s="2541"/>
      <c r="N6" s="2541"/>
      <c r="O6" s="2541"/>
      <c r="P6" s="2541"/>
    </row>
    <row r="7" spans="1:16" ht="15.75">
      <c r="A7" s="2549"/>
      <c r="B7" s="1704" t="e">
        <f ca="1">SUMIF(INDIRECT("'"&amp;A7&amp;"'"&amp;"!A:A"),"总价",INDIRECT("'"&amp;A7&amp;"'"&amp;"!B:B"))</f>
        <v>#REF!</v>
      </c>
      <c r="C7" s="2542" t="s">
        <v>2332</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2332</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2332</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2332</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2332</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2332</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2332</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295" t="s">
        <v>670</v>
      </c>
      <c r="C1" s="3295"/>
      <c r="D1" s="3295"/>
      <c r="E1" s="3295"/>
      <c r="F1" s="3295"/>
      <c r="G1" s="3295"/>
      <c r="H1" s="3294" t="s">
        <v>671</v>
      </c>
      <c r="I1" s="3294"/>
      <c r="J1" s="3294"/>
      <c r="K1" s="3294"/>
      <c r="L1" s="3294"/>
      <c r="M1" s="3294"/>
      <c r="N1" s="2551"/>
      <c r="O1" s="3294" t="s">
        <v>672</v>
      </c>
      <c r="P1" s="3294"/>
      <c r="Q1" s="3294"/>
      <c r="R1" s="3294"/>
      <c r="S1" s="2551"/>
      <c r="T1" s="3294" t="s">
        <v>673</v>
      </c>
      <c r="U1" s="3294"/>
      <c r="V1" s="3294"/>
      <c r="W1" s="3294"/>
      <c r="X1" s="2551"/>
      <c r="Y1" s="3293" t="s">
        <v>674</v>
      </c>
      <c r="Z1" s="3294"/>
      <c r="AA1" s="3294"/>
      <c r="AB1" s="3294"/>
      <c r="AC1" s="3294"/>
      <c r="AD1" s="3294"/>
      <c r="AE1" s="2551"/>
      <c r="AF1" s="3293" t="s">
        <v>675</v>
      </c>
      <c r="AG1" s="3294"/>
      <c r="AH1" s="3294"/>
      <c r="AI1" s="3294"/>
      <c r="AJ1" s="3294"/>
      <c r="AK1" s="3294"/>
    </row>
    <row r="2" spans="1:37" s="2552" customFormat="1" ht="14.25" thickBot="1">
      <c r="B2" s="2553" t="s">
        <v>676</v>
      </c>
      <c r="C2" s="2553" t="s">
        <v>677</v>
      </c>
      <c r="D2" s="2554" t="s">
        <v>678</v>
      </c>
      <c r="E2" s="2554" t="s">
        <v>2896</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2897</v>
      </c>
      <c r="AC2" s="2560" t="s">
        <v>679</v>
      </c>
      <c r="AD2" s="2553" t="s">
        <v>680</v>
      </c>
      <c r="AE2" s="2557"/>
      <c r="AF2" s="2553" t="s">
        <v>676</v>
      </c>
      <c r="AG2" s="2558" t="s">
        <v>677</v>
      </c>
      <c r="AH2" s="2559" t="s">
        <v>605</v>
      </c>
      <c r="AI2" s="2554" t="s">
        <v>2707</v>
      </c>
      <c r="AJ2" s="2560" t="s">
        <v>514</v>
      </c>
      <c r="AK2" s="2553" t="s">
        <v>680</v>
      </c>
    </row>
    <row r="3" spans="1:37" s="2567" customFormat="1" ht="14.25">
      <c r="A3" s="2561" t="s">
        <v>2372</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3069</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3068</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3067</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3066</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3094</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3076</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2579</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2578</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2577</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2574</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2573</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2388</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2386</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2385</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2384</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2382</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2380</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2383</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291">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2378</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291"/>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2377</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291"/>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2371</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00"/>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2369</v>
      </c>
      <c r="B26" s="2861">
        <v>439</v>
      </c>
      <c r="C26" s="2861">
        <v>327</v>
      </c>
      <c r="D26" s="2861">
        <f>C26</f>
        <v>327</v>
      </c>
      <c r="E26" s="2861"/>
      <c r="F26" s="2861">
        <v>627</v>
      </c>
      <c r="G26" s="2861">
        <v>283</v>
      </c>
      <c r="H26" s="3296">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2370</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291"/>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291"/>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00"/>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296">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291"/>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291"/>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292"/>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290">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291"/>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291"/>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292"/>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297">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8"/>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298"/>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299"/>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290">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291"/>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291"/>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292"/>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290">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1">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291">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292">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290">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1">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291">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292">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290">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1">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291">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292">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290">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1">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291">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292">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290">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1">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291">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292">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290">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1">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291">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292">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290">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1">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291">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292">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290">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1">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291">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292">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290">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291">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291">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292">
        <v>2003</v>
      </c>
      <c r="I85" s="2632">
        <v>1</v>
      </c>
    </row>
    <row r="86" spans="1:31" ht="13.5" hidden="1" thickBot="1">
      <c r="A86" s="2573" t="s">
        <v>726</v>
      </c>
      <c r="B86" s="2610">
        <v>106</v>
      </c>
      <c r="C86" s="2610">
        <v>107</v>
      </c>
      <c r="D86" s="2610">
        <f t="shared" si="210"/>
        <v>107</v>
      </c>
      <c r="E86" s="2610"/>
      <c r="F86" s="2610">
        <v>105</v>
      </c>
      <c r="G86" s="2611">
        <v>102</v>
      </c>
      <c r="H86" s="3290">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291">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291">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292">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4" t="s">
        <v>2342</v>
      </c>
      <c r="D1" s="3305"/>
      <c r="E1" s="3305"/>
      <c r="F1" s="3305"/>
      <c r="G1" s="3305"/>
      <c r="H1" s="3305"/>
      <c r="I1" s="3305"/>
      <c r="J1" s="3305"/>
      <c r="K1" s="3305"/>
      <c r="L1" s="3305"/>
      <c r="M1" s="3305"/>
      <c r="N1" s="3305"/>
      <c r="O1" s="3305"/>
      <c r="P1" s="3305"/>
      <c r="Q1" s="3305"/>
      <c r="R1" s="3305"/>
      <c r="S1" s="3306"/>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1" t="s">
        <v>30</v>
      </c>
      <c r="D22" s="3302"/>
      <c r="E22" s="3302"/>
      <c r="F22" s="3302"/>
      <c r="G22" s="3302"/>
      <c r="H22" s="3302"/>
      <c r="I22" s="3302"/>
      <c r="J22" s="3302"/>
      <c r="K22" s="3302"/>
      <c r="L22" s="3302"/>
      <c r="M22" s="3302"/>
      <c r="N22" s="3302"/>
      <c r="O22" s="3302"/>
      <c r="P22" s="3302"/>
      <c r="Q22" s="3303"/>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#VALUE!</v>
      </c>
      <c r="C2" s="2833" t="s">
        <v>109</v>
      </c>
      <c r="D2" s="1138"/>
      <c r="E2" s="1138"/>
      <c r="F2" s="1138"/>
      <c r="G2" s="1138"/>
    </row>
    <row r="3" spans="1:7" s="1135" customFormat="1" ht="18" customHeight="1" thickBot="1">
      <c r="A3" s="1143" t="s">
        <v>61</v>
      </c>
      <c r="B3" s="1144" t="e">
        <f ca="1">ROUND(B2*10000/'数据-汇总表'!E3,0)</f>
        <v>#VALUE!</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t="e">
        <f ca="1">ROUND(SUM(C23:C25),0)</f>
        <v>#VALUE!</v>
      </c>
      <c r="D22" s="1176" t="e">
        <f ca="1">C26</f>
        <v>#VALUE!</v>
      </c>
      <c r="E22" s="1177" t="s">
        <v>102</v>
      </c>
      <c r="F22" s="1178" t="e">
        <f ca="1">'数据-取费表'!B40</f>
        <v>#VALUE!</v>
      </c>
      <c r="G22" s="2836"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t="e">
        <f ca="1">ROUND(SUM(C42:C43),0)</f>
        <v>#VALUE!</v>
      </c>
      <c r="D41" s="1176" t="e">
        <f ca="1">C44</f>
        <v>#VALUE!</v>
      </c>
      <c r="E41" s="1177" t="s">
        <v>105</v>
      </c>
      <c r="F41" s="1178"/>
      <c r="G41" s="2836"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4" t="s">
        <v>97</v>
      </c>
    </row>
    <row r="43" spans="1:7" ht="13.5" customHeight="1">
      <c r="A43" s="1179" t="s">
        <v>555</v>
      </c>
      <c r="B43" s="1155" t="s">
        <v>644</v>
      </c>
      <c r="C43" s="1180" t="e">
        <f ca="1">ROUND(IF('数据-取费表'!B22&lt;=1,C39*F22*'数据-取费表'!B21/2,C39*(POWER((1+F22),'数据-取费表'!B21/2)-1)),0)</f>
        <v>#VALUE!</v>
      </c>
      <c r="D43" s="1180"/>
      <c r="E43" s="1180"/>
      <c r="F43" s="1181"/>
      <c r="G43" s="3165"/>
    </row>
    <row r="44" spans="1:7" ht="13.5" customHeight="1">
      <c r="A44" s="1179" t="s">
        <v>556</v>
      </c>
      <c r="B44" s="1155" t="s">
        <v>646</v>
      </c>
      <c r="C44" s="1180" t="e">
        <f ca="1">ROUND(IF('数据-取费表'!B22&lt;=1,C40*F22*'数据-取费表'!B21/2,C40*(POWER((1+F22),'数据-取费表'!B21/2)-1)),4)</f>
        <v>#VALUE!</v>
      </c>
      <c r="D44" s="1180"/>
      <c r="E44" s="1180"/>
      <c r="F44" s="1181"/>
      <c r="G44" s="3166"/>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#VALUE!</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2775"/>
      <c r="B4" s="2992" t="s">
        <v>1134</v>
      </c>
      <c r="C4" s="2992"/>
      <c r="D4" s="2992"/>
      <c r="E4" s="2775"/>
    </row>
    <row r="5" spans="1:5" ht="16.5" thickTop="1">
      <c r="A5" s="2773"/>
      <c r="B5" s="2990" t="s">
        <v>1126</v>
      </c>
      <c r="C5" s="2776" t="s">
        <v>1127</v>
      </c>
      <c r="D5" s="2777" t="e">
        <f ca="1">结果表!H101</f>
        <v>#REF!</v>
      </c>
      <c r="E5" s="2773"/>
    </row>
    <row r="6" spans="1:5" ht="15.75">
      <c r="A6" s="2773"/>
      <c r="B6" s="2990"/>
      <c r="C6" s="2776" t="s">
        <v>1128</v>
      </c>
      <c r="D6" s="2777" t="e">
        <f ca="1">NUMBERSTRING(INT(D5*10000),2)&amp;"元整"</f>
        <v>#REF!</v>
      </c>
      <c r="E6" s="2773"/>
    </row>
    <row r="7" spans="1:5" ht="15.75">
      <c r="A7" s="2773"/>
      <c r="B7" s="2995"/>
      <c r="C7" s="2778" t="s">
        <v>1129</v>
      </c>
      <c r="D7" s="2779" t="e">
        <f ca="1">结果表!H102</f>
        <v>#REF!</v>
      </c>
      <c r="E7" s="2773"/>
    </row>
    <row r="8" spans="1:5" ht="15.75">
      <c r="A8" s="2773"/>
      <c r="B8" s="2996" t="str">
        <f>结果表!E103</f>
        <v>2.估价师知悉的法定优先受偿款</v>
      </c>
      <c r="C8" s="2780" t="s">
        <v>1130</v>
      </c>
      <c r="D8" s="2779">
        <f>结果表!H103</f>
        <v>0</v>
      </c>
      <c r="E8" s="2773"/>
    </row>
    <row r="9" spans="1:5" ht="15.75">
      <c r="A9" s="2773"/>
      <c r="B9" s="2998"/>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2989" t="str">
        <f>结果表!E107</f>
        <v>3.房地产抵押价值</v>
      </c>
      <c r="C13" s="2784" t="s">
        <v>1127</v>
      </c>
      <c r="D13" s="2785" t="e">
        <f ca="1">结果表!H107</f>
        <v>#REF!</v>
      </c>
      <c r="E13" s="2773"/>
    </row>
    <row r="14" spans="1:5" ht="15.75">
      <c r="A14" s="2773"/>
      <c r="B14" s="2990"/>
      <c r="C14" s="2776" t="s">
        <v>1128</v>
      </c>
      <c r="D14" s="2777" t="e">
        <f ca="1">NUMBERSTRING(INT(D13*10000),2)&amp;"元整"</f>
        <v>#REF!</v>
      </c>
      <c r="E14" s="2773"/>
    </row>
    <row r="15" spans="1:5" ht="15">
      <c r="A15" s="2773"/>
      <c r="B15" s="2995"/>
      <c r="C15" s="2778" t="s">
        <v>1138</v>
      </c>
      <c r="D15" s="2786" t="e">
        <f ca="1">结果表!H108</f>
        <v>#REF!</v>
      </c>
      <c r="E15" s="2773"/>
    </row>
    <row r="16" spans="1:5" ht="15">
      <c r="A16" s="2773"/>
      <c r="B16" s="2996" t="str">
        <f>结果表!E109</f>
        <v>——</v>
      </c>
      <c r="C16" s="2784" t="s">
        <v>1139</v>
      </c>
      <c r="D16" s="2787" t="str">
        <f>结果表!H109</f>
        <v>——</v>
      </c>
      <c r="E16" s="2773"/>
    </row>
    <row r="17" spans="1:5" ht="15.75">
      <c r="A17" s="2773"/>
      <c r="B17" s="2997"/>
      <c r="C17" s="2776" t="s">
        <v>1140</v>
      </c>
      <c r="D17" s="2777" t="e">
        <f>NUMBERSTRING(INT(D16*10000),2)&amp;"元整"</f>
        <v>#VALUE!</v>
      </c>
      <c r="E17" s="2773"/>
    </row>
    <row r="18" spans="1:5" ht="15">
      <c r="A18" s="2773"/>
      <c r="B18" s="2998"/>
      <c r="C18" s="2778" t="s">
        <v>1129</v>
      </c>
      <c r="D18" s="2786" t="str">
        <f>结果表!H110</f>
        <v>——</v>
      </c>
      <c r="E18" s="2773"/>
    </row>
    <row r="19" spans="1:5" ht="15.75">
      <c r="A19" s="2773"/>
      <c r="B19" s="2989" t="str">
        <f>结果表!E111</f>
        <v>——</v>
      </c>
      <c r="C19" s="2784" t="s">
        <v>1127</v>
      </c>
      <c r="D19" s="2779" t="str">
        <f>结果表!H111</f>
        <v>——</v>
      </c>
      <c r="E19" s="2773"/>
    </row>
    <row r="20" spans="1:5" ht="15.75">
      <c r="A20" s="2773"/>
      <c r="B20" s="2990"/>
      <c r="C20" s="2776" t="s">
        <v>1140</v>
      </c>
      <c r="D20" s="2777" t="e">
        <f>NUMBERSTRING(INT(D19*10000),2)&amp;"元整"</f>
        <v>#VALUE!</v>
      </c>
      <c r="E20" s="2773"/>
    </row>
    <row r="21" spans="1:5" ht="15.75" thickBot="1">
      <c r="A21" s="2773"/>
      <c r="B21" s="2991"/>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基准地价修正!G23</f>
        <v>44784</v>
      </c>
      <c r="B1" s="2747" t="s">
        <v>3086</v>
      </c>
      <c r="C1" s="2748"/>
      <c r="D1" s="2748"/>
      <c r="E1" s="2748"/>
      <c r="F1" s="2748"/>
      <c r="G1" s="2748"/>
      <c r="H1" s="2748"/>
      <c r="I1" s="2748"/>
      <c r="J1" s="2551"/>
      <c r="K1" s="2748" t="s">
        <v>672</v>
      </c>
      <c r="L1" s="2748"/>
      <c r="M1" s="2748"/>
      <c r="N1" s="2748"/>
      <c r="O1" s="2748"/>
      <c r="P1" s="2748"/>
      <c r="Q1" s="2551"/>
      <c r="R1" s="3293" t="s">
        <v>674</v>
      </c>
      <c r="S1" s="3294"/>
      <c r="T1" s="3294"/>
      <c r="U1" s="3294"/>
      <c r="V1" s="3294"/>
      <c r="W1" s="3294"/>
      <c r="X1" s="2551"/>
      <c r="Y1" s="3293" t="s">
        <v>675</v>
      </c>
      <c r="Z1" s="3294"/>
      <c r="AA1" s="3294"/>
      <c r="AB1" s="3294"/>
      <c r="AC1" s="3294"/>
      <c r="AD1" s="3294"/>
    </row>
    <row r="2" spans="1:30" s="2552" customFormat="1" ht="14.25" thickBot="1">
      <c r="B2" s="2555"/>
      <c r="C2" s="2556"/>
      <c r="D2" s="2553" t="s">
        <v>3082</v>
      </c>
      <c r="E2" s="2554" t="s">
        <v>3083</v>
      </c>
      <c r="F2" s="2554" t="s">
        <v>3084</v>
      </c>
      <c r="G2" s="2554" t="s">
        <v>514</v>
      </c>
      <c r="H2" s="2554" t="s">
        <v>3085</v>
      </c>
      <c r="I2" s="2554" t="s">
        <v>2710</v>
      </c>
      <c r="J2" s="2557"/>
      <c r="K2" s="2553" t="s">
        <v>3082</v>
      </c>
      <c r="L2" s="2554" t="s">
        <v>3083</v>
      </c>
      <c r="M2" s="2554" t="s">
        <v>3084</v>
      </c>
      <c r="N2" s="2554" t="s">
        <v>514</v>
      </c>
      <c r="O2" s="2554" t="s">
        <v>3085</v>
      </c>
      <c r="P2" s="2554" t="s">
        <v>2710</v>
      </c>
      <c r="Q2" s="2557"/>
      <c r="R2" s="2553" t="s">
        <v>3082</v>
      </c>
      <c r="S2" s="2554" t="s">
        <v>3083</v>
      </c>
      <c r="T2" s="2554" t="s">
        <v>3084</v>
      </c>
      <c r="U2" s="2554" t="s">
        <v>514</v>
      </c>
      <c r="V2" s="2554" t="s">
        <v>3085</v>
      </c>
      <c r="W2" s="2554" t="s">
        <v>2710</v>
      </c>
      <c r="X2" s="2557"/>
      <c r="Y2" s="2553" t="s">
        <v>3082</v>
      </c>
      <c r="Z2" s="2554" t="s">
        <v>3083</v>
      </c>
      <c r="AA2" s="2554" t="s">
        <v>3084</v>
      </c>
      <c r="AB2" s="2554" t="s">
        <v>514</v>
      </c>
      <c r="AC2" s="2554" t="s">
        <v>3085</v>
      </c>
      <c r="AD2" s="2554" t="s">
        <v>2710</v>
      </c>
    </row>
    <row r="3" spans="1:30" s="2859" customFormat="1" ht="12.75">
      <c r="A3" s="2847" t="s">
        <v>2372</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3069</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3068</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3067</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3095</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3096</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3076</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2579</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2578</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2577</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3089</v>
      </c>
    </row>
    <row r="18" spans="1:30" s="2550" customFormat="1" ht="12.75">
      <c r="B18" s="2747" t="s">
        <v>3088</v>
      </c>
      <c r="C18" s="2748"/>
      <c r="D18" s="2748"/>
      <c r="E18" s="2748"/>
      <c r="F18" s="2748"/>
      <c r="G18" s="2748"/>
      <c r="H18" s="2748"/>
      <c r="I18" s="2748"/>
      <c r="J18" s="2551"/>
      <c r="K18" s="2748" t="s">
        <v>672</v>
      </c>
      <c r="L18" s="2748"/>
      <c r="M18" s="2748"/>
      <c r="N18" s="2748"/>
      <c r="O18" s="2748"/>
      <c r="P18" s="2748"/>
      <c r="Q18" s="2551"/>
      <c r="R18" s="3293" t="s">
        <v>674</v>
      </c>
      <c r="S18" s="3294"/>
      <c r="T18" s="3294"/>
      <c r="U18" s="3294"/>
      <c r="V18" s="3294"/>
      <c r="W18" s="3294"/>
      <c r="X18" s="2551"/>
      <c r="Y18" s="3293" t="s">
        <v>675</v>
      </c>
      <c r="Z18" s="3294"/>
      <c r="AA18" s="3294"/>
      <c r="AB18" s="3294"/>
      <c r="AC18" s="3294"/>
      <c r="AD18" s="3294"/>
    </row>
    <row r="19" spans="1:30" s="2552" customFormat="1" ht="14.25" thickBot="1">
      <c r="B19" s="2555"/>
      <c r="C19" s="2556"/>
      <c r="D19" s="2553" t="s">
        <v>3082</v>
      </c>
      <c r="E19" s="2554" t="s">
        <v>3083</v>
      </c>
      <c r="F19" s="2554" t="s">
        <v>3084</v>
      </c>
      <c r="G19" s="2554" t="s">
        <v>514</v>
      </c>
      <c r="H19" s="2554"/>
      <c r="I19" s="2554" t="s">
        <v>2710</v>
      </c>
      <c r="J19" s="2557"/>
      <c r="K19" s="2553" t="s">
        <v>3082</v>
      </c>
      <c r="L19" s="2554" t="s">
        <v>3083</v>
      </c>
      <c r="M19" s="2554" t="s">
        <v>3084</v>
      </c>
      <c r="N19" s="2554" t="s">
        <v>514</v>
      </c>
      <c r="O19" s="2554"/>
      <c r="P19" s="2554" t="s">
        <v>2710</v>
      </c>
      <c r="Q19" s="2557"/>
      <c r="R19" s="2553" t="s">
        <v>3082</v>
      </c>
      <c r="S19" s="2554" t="s">
        <v>3083</v>
      </c>
      <c r="T19" s="2554" t="s">
        <v>3084</v>
      </c>
      <c r="U19" s="2554" t="s">
        <v>514</v>
      </c>
      <c r="V19" s="2554"/>
      <c r="W19" s="2554" t="s">
        <v>2710</v>
      </c>
      <c r="X19" s="2557"/>
      <c r="Y19" s="2553" t="s">
        <v>3082</v>
      </c>
      <c r="Z19" s="2554" t="s">
        <v>3083</v>
      </c>
      <c r="AA19" s="2554" t="s">
        <v>3084</v>
      </c>
      <c r="AB19" s="2554" t="s">
        <v>514</v>
      </c>
      <c r="AC19" s="2554"/>
      <c r="AD19" s="2554" t="s">
        <v>2710</v>
      </c>
    </row>
    <row r="20" spans="1:30" s="2859" customFormat="1" ht="12.75">
      <c r="A20" s="2847" t="s">
        <v>2372</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3069</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3068</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3067</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4"/>
      <c r="Y24" s="423"/>
      <c r="Z24" s="424">
        <f t="shared" si="35"/>
        <v>0</v>
      </c>
      <c r="AA24" s="425">
        <f t="shared" si="35"/>
        <v>0</v>
      </c>
      <c r="AB24" s="423">
        <f t="shared" si="35"/>
        <v>0</v>
      </c>
      <c r="AC24" s="426"/>
      <c r="AD24" s="423">
        <f t="shared" si="35"/>
        <v>0</v>
      </c>
    </row>
    <row r="25" spans="1:30" s="2581" customFormat="1" ht="12.75">
      <c r="A25" s="2579" t="s">
        <v>3095</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3094</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3076</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2579</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2578</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2577</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07" t="s">
        <v>3039</v>
      </c>
      <c r="B1" s="3307"/>
      <c r="C1" s="3307"/>
      <c r="D1" s="3307"/>
      <c r="E1" s="3307"/>
      <c r="F1" s="3307"/>
      <c r="G1" s="3308"/>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3051</v>
      </c>
      <c r="B2" s="2649"/>
      <c r="C2" s="2649"/>
      <c r="D2" s="2649"/>
      <c r="E2" s="2649"/>
      <c r="F2" s="2649"/>
      <c r="G2" s="2650" t="s">
        <v>3052</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09" t="s">
        <v>155</v>
      </c>
      <c r="B3" s="2652"/>
      <c r="C3" s="2653" t="s">
        <v>156</v>
      </c>
      <c r="D3" s="2653" t="s">
        <v>157</v>
      </c>
      <c r="E3" s="2653" t="s">
        <v>514</v>
      </c>
      <c r="F3" s="2653" t="s">
        <v>158</v>
      </c>
      <c r="G3" s="2653" t="s">
        <v>2941</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10"/>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3040</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3036</v>
      </c>
    </row>
    <row r="6" spans="1:20" ht="12" thickBot="1">
      <c r="A6" s="2655" t="s">
        <v>184</v>
      </c>
      <c r="B6" s="2655" t="s">
        <v>3041</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2994</v>
      </c>
      <c r="Q6" s="2655" t="s">
        <v>204</v>
      </c>
      <c r="R6" s="2655" t="s">
        <v>205</v>
      </c>
      <c r="S6" s="2655" t="s">
        <v>214</v>
      </c>
      <c r="T6" s="2655" t="s">
        <v>3037</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3022</v>
      </c>
      <c r="S7" s="2655" t="s">
        <v>3033</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3042</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3034</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3023</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2982</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2974</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2975</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2976</v>
      </c>
      <c r="P18" s="2655" t="s">
        <v>306</v>
      </c>
      <c r="Q18" s="2655" t="s">
        <v>3009</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2977</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3024</v>
      </c>
      <c r="S20" s="2655" t="s">
        <v>350</v>
      </c>
    </row>
    <row r="21" spans="1:19" ht="12" thickBot="1">
      <c r="A21" s="2655" t="s">
        <v>235</v>
      </c>
      <c r="B21" s="2656" t="s">
        <v>263</v>
      </c>
      <c r="C21" s="2655">
        <v>32370</v>
      </c>
      <c r="D21" s="2655">
        <v>26730</v>
      </c>
      <c r="E21" s="2655">
        <v>26640</v>
      </c>
      <c r="F21" s="2655"/>
      <c r="G21" s="2655">
        <v>19440</v>
      </c>
      <c r="J21" s="2662" t="s">
        <v>2903</v>
      </c>
      <c r="K21" s="2656" t="s">
        <v>336</v>
      </c>
      <c r="L21" s="2655" t="s">
        <v>337</v>
      </c>
      <c r="M21" s="2655" t="s">
        <v>338</v>
      </c>
      <c r="N21" s="2655" t="s">
        <v>339</v>
      </c>
      <c r="O21" s="2655" t="s">
        <v>333</v>
      </c>
      <c r="P21" s="2655" t="s">
        <v>358</v>
      </c>
      <c r="Q21" s="2655" t="s">
        <v>374</v>
      </c>
      <c r="R21" s="2655" t="s">
        <v>3025</v>
      </c>
      <c r="S21" s="2662" t="s">
        <v>3035</v>
      </c>
    </row>
    <row r="22" spans="1:19">
      <c r="A22" s="2655" t="s">
        <v>235</v>
      </c>
      <c r="B22" s="2656" t="s">
        <v>3043</v>
      </c>
      <c r="C22" s="2655">
        <v>29830</v>
      </c>
      <c r="D22" s="2655">
        <v>27600</v>
      </c>
      <c r="E22" s="2655">
        <v>28150</v>
      </c>
      <c r="F22" s="2655"/>
      <c r="G22" s="2655">
        <v>20080</v>
      </c>
      <c r="K22" s="2656" t="s">
        <v>2904</v>
      </c>
      <c r="L22" s="2655" t="s">
        <v>344</v>
      </c>
      <c r="M22" s="2655" t="s">
        <v>345</v>
      </c>
      <c r="N22" s="2655" t="s">
        <v>346</v>
      </c>
      <c r="O22" s="2655" t="s">
        <v>2978</v>
      </c>
      <c r="P22" s="2655" t="s">
        <v>363</v>
      </c>
      <c r="Q22" s="2655" t="s">
        <v>378</v>
      </c>
      <c r="R22" s="2655" t="s">
        <v>308</v>
      </c>
    </row>
    <row r="23" spans="1:19">
      <c r="A23" s="2655" t="s">
        <v>235</v>
      </c>
      <c r="B23" s="2656" t="s">
        <v>281</v>
      </c>
      <c r="C23" s="2655">
        <v>27800</v>
      </c>
      <c r="D23" s="2655">
        <v>26900</v>
      </c>
      <c r="E23" s="2655">
        <v>27170</v>
      </c>
      <c r="F23" s="2655"/>
      <c r="G23" s="2655">
        <v>19570</v>
      </c>
      <c r="K23" s="2656" t="s">
        <v>2905</v>
      </c>
      <c r="L23" s="2655" t="s">
        <v>351</v>
      </c>
      <c r="M23" s="2655" t="s">
        <v>352</v>
      </c>
      <c r="N23" s="2655" t="s">
        <v>2929</v>
      </c>
      <c r="O23" s="2655" t="s">
        <v>357</v>
      </c>
      <c r="P23" s="2655" t="s">
        <v>369</v>
      </c>
      <c r="Q23" s="2655" t="s">
        <v>384</v>
      </c>
      <c r="R23" s="2655" t="s">
        <v>3026</v>
      </c>
    </row>
    <row r="24" spans="1:19">
      <c r="A24" s="2655" t="s">
        <v>235</v>
      </c>
      <c r="B24" s="2656" t="s">
        <v>291</v>
      </c>
      <c r="C24" s="2655">
        <v>27930</v>
      </c>
      <c r="D24" s="2655">
        <v>32260</v>
      </c>
      <c r="E24" s="2655">
        <v>32120</v>
      </c>
      <c r="F24" s="2655"/>
      <c r="G24" s="2655">
        <v>23470</v>
      </c>
      <c r="K24" s="2656" t="s">
        <v>2906</v>
      </c>
      <c r="L24" s="2655" t="s">
        <v>355</v>
      </c>
      <c r="M24" s="2655" t="s">
        <v>356</v>
      </c>
      <c r="N24" s="2655" t="s">
        <v>367</v>
      </c>
      <c r="O24" s="2655" t="s">
        <v>362</v>
      </c>
      <c r="P24" s="2655" t="s">
        <v>340</v>
      </c>
      <c r="Q24" s="2664" t="s">
        <v>3010</v>
      </c>
      <c r="R24" s="2655" t="s">
        <v>3027</v>
      </c>
    </row>
    <row r="25" spans="1:19">
      <c r="A25" s="2655" t="s">
        <v>235</v>
      </c>
      <c r="B25" s="2656" t="s">
        <v>300</v>
      </c>
      <c r="C25" s="2655">
        <v>32230</v>
      </c>
      <c r="D25" s="2655">
        <v>29640</v>
      </c>
      <c r="E25" s="2655">
        <v>29510</v>
      </c>
      <c r="F25" s="2655"/>
      <c r="G25" s="2655">
        <v>21560</v>
      </c>
      <c r="K25" s="2656" t="s">
        <v>2907</v>
      </c>
      <c r="L25" s="2655" t="s">
        <v>2909</v>
      </c>
      <c r="M25" s="2655" t="s">
        <v>361</v>
      </c>
      <c r="N25" s="2655" t="s">
        <v>372</v>
      </c>
      <c r="O25" s="2655" t="s">
        <v>368</v>
      </c>
      <c r="P25" s="2655" t="s">
        <v>347</v>
      </c>
      <c r="Q25" s="2664" t="s">
        <v>341</v>
      </c>
      <c r="R25" s="2655" t="s">
        <v>3028</v>
      </c>
    </row>
    <row r="26" spans="1:19" ht="12" thickBot="1">
      <c r="A26" s="2655" t="s">
        <v>235</v>
      </c>
      <c r="B26" s="2656" t="s">
        <v>309</v>
      </c>
      <c r="C26" s="2655">
        <v>31690</v>
      </c>
      <c r="D26" s="2655">
        <v>27650</v>
      </c>
      <c r="E26" s="2655">
        <v>28200</v>
      </c>
      <c r="F26" s="2655"/>
      <c r="G26" s="2655">
        <v>20110</v>
      </c>
      <c r="K26" s="2661" t="s">
        <v>2908</v>
      </c>
      <c r="L26" s="2655" t="s">
        <v>2910</v>
      </c>
      <c r="M26" s="2655" t="s">
        <v>366</v>
      </c>
      <c r="N26" s="2655" t="s">
        <v>376</v>
      </c>
      <c r="O26" s="2655" t="s">
        <v>2979</v>
      </c>
      <c r="P26" s="2655" t="s">
        <v>2995</v>
      </c>
      <c r="Q26" s="2664" t="s">
        <v>348</v>
      </c>
      <c r="R26" s="2655" t="s">
        <v>3029</v>
      </c>
    </row>
    <row r="27" spans="1:19">
      <c r="A27" s="2655" t="s">
        <v>235</v>
      </c>
      <c r="B27" s="2656" t="s">
        <v>319</v>
      </c>
      <c r="C27" s="2655">
        <v>29610</v>
      </c>
      <c r="D27" s="2655">
        <v>27770</v>
      </c>
      <c r="E27" s="2655">
        <v>28300</v>
      </c>
      <c r="F27" s="2655"/>
      <c r="G27" s="2655">
        <v>20210</v>
      </c>
      <c r="L27" s="2655" t="s">
        <v>2911</v>
      </c>
      <c r="M27" s="2655" t="s">
        <v>371</v>
      </c>
      <c r="N27" s="2655" t="s">
        <v>381</v>
      </c>
      <c r="O27" s="2655" t="s">
        <v>2980</v>
      </c>
      <c r="P27" s="2655" t="s">
        <v>377</v>
      </c>
      <c r="Q27" s="2655" t="s">
        <v>393</v>
      </c>
      <c r="R27" s="2655" t="s">
        <v>3030</v>
      </c>
    </row>
    <row r="28" spans="1:19">
      <c r="A28" s="2655" t="s">
        <v>235</v>
      </c>
      <c r="B28" s="2656" t="s">
        <v>328</v>
      </c>
      <c r="C28" s="2655"/>
      <c r="D28" s="2655">
        <v>31520</v>
      </c>
      <c r="E28" s="2655">
        <v>31410</v>
      </c>
      <c r="F28" s="2655"/>
      <c r="G28" s="2655">
        <v>22940</v>
      </c>
      <c r="L28" s="2655" t="s">
        <v>2912</v>
      </c>
      <c r="M28" s="2655" t="s">
        <v>2916</v>
      </c>
      <c r="N28" s="2655" t="s">
        <v>2930</v>
      </c>
      <c r="O28" s="2655" t="s">
        <v>382</v>
      </c>
      <c r="P28" s="2655" t="s">
        <v>373</v>
      </c>
      <c r="Q28" s="2655" t="s">
        <v>3011</v>
      </c>
      <c r="R28" s="2655" t="s">
        <v>349</v>
      </c>
    </row>
    <row r="29" spans="1:19" ht="12" thickBot="1">
      <c r="A29" s="2663" t="s">
        <v>235</v>
      </c>
      <c r="B29" s="2665" t="s">
        <v>2903</v>
      </c>
      <c r="C29" s="2666"/>
      <c r="D29" s="2666">
        <v>29460</v>
      </c>
      <c r="E29" s="2666">
        <v>28640</v>
      </c>
      <c r="F29" s="2666"/>
      <c r="G29" s="2666">
        <v>21430</v>
      </c>
      <c r="L29" s="2655" t="s">
        <v>2913</v>
      </c>
      <c r="M29" s="2655" t="s">
        <v>2917</v>
      </c>
      <c r="N29" s="2655" t="s">
        <v>385</v>
      </c>
      <c r="O29" s="2655" t="s">
        <v>2981</v>
      </c>
      <c r="P29" s="2655" t="s">
        <v>383</v>
      </c>
      <c r="Q29" s="2655" t="s">
        <v>3012</v>
      </c>
      <c r="R29" s="2655" t="s">
        <v>354</v>
      </c>
    </row>
    <row r="30" spans="1:19">
      <c r="A30" s="2660" t="s">
        <v>379</v>
      </c>
      <c r="B30" s="2651" t="s">
        <v>380</v>
      </c>
      <c r="C30" s="2651">
        <v>26890</v>
      </c>
      <c r="D30" s="2651">
        <v>26770</v>
      </c>
      <c r="E30" s="2651">
        <v>25700</v>
      </c>
      <c r="F30" s="2651">
        <v>8180</v>
      </c>
      <c r="G30" s="2667">
        <v>18740</v>
      </c>
      <c r="L30" s="2655" t="s">
        <v>360</v>
      </c>
      <c r="M30" s="2655" t="s">
        <v>2918</v>
      </c>
      <c r="N30" s="2655" t="s">
        <v>2931</v>
      </c>
      <c r="O30" s="2655" t="s">
        <v>2983</v>
      </c>
      <c r="P30" s="2655" t="s">
        <v>633</v>
      </c>
      <c r="Q30" s="2655" t="s">
        <v>3013</v>
      </c>
      <c r="R30" s="2655" t="s">
        <v>3031</v>
      </c>
    </row>
    <row r="31" spans="1:19">
      <c r="A31" s="2655" t="s">
        <v>379</v>
      </c>
      <c r="B31" s="2656" t="s">
        <v>161</v>
      </c>
      <c r="C31" s="2655">
        <v>24550</v>
      </c>
      <c r="D31" s="2655">
        <v>23990</v>
      </c>
      <c r="E31" s="2655">
        <v>22930</v>
      </c>
      <c r="F31" s="2655">
        <v>7470</v>
      </c>
      <c r="G31" s="2668">
        <v>16790</v>
      </c>
      <c r="L31" s="2655" t="s">
        <v>365</v>
      </c>
      <c r="M31" s="2655" t="s">
        <v>2919</v>
      </c>
      <c r="N31" s="2655" t="s">
        <v>390</v>
      </c>
      <c r="O31" s="2655" t="s">
        <v>2984</v>
      </c>
      <c r="P31" s="2655" t="s">
        <v>388</v>
      </c>
      <c r="Q31" s="2655" t="s">
        <v>389</v>
      </c>
      <c r="R31" s="2655" t="s">
        <v>3032</v>
      </c>
    </row>
    <row r="32" spans="1:19" ht="12" thickBot="1">
      <c r="A32" s="2655" t="s">
        <v>379</v>
      </c>
      <c r="B32" s="2656" t="s">
        <v>174</v>
      </c>
      <c r="C32" s="2655">
        <v>27210</v>
      </c>
      <c r="D32" s="2655">
        <v>23240</v>
      </c>
      <c r="E32" s="2655">
        <v>23260</v>
      </c>
      <c r="F32" s="2655">
        <v>7130</v>
      </c>
      <c r="G32" s="2668">
        <v>16270</v>
      </c>
      <c r="L32" s="2655" t="s">
        <v>375</v>
      </c>
      <c r="M32" s="2655" t="s">
        <v>2920</v>
      </c>
      <c r="N32" s="2655" t="s">
        <v>394</v>
      </c>
      <c r="O32" s="2655" t="s">
        <v>2997</v>
      </c>
      <c r="P32" s="2655" t="s">
        <v>392</v>
      </c>
      <c r="Q32" s="2655" t="s">
        <v>3015</v>
      </c>
      <c r="R32" s="2662" t="s">
        <v>3038</v>
      </c>
    </row>
    <row r="33" spans="1:17" ht="12" thickBot="1">
      <c r="A33" s="2655" t="s">
        <v>379</v>
      </c>
      <c r="B33" s="2656" t="s">
        <v>187</v>
      </c>
      <c r="C33" s="2655">
        <v>27300</v>
      </c>
      <c r="D33" s="2655">
        <v>22980</v>
      </c>
      <c r="E33" s="2655">
        <v>24260</v>
      </c>
      <c r="F33" s="2655">
        <v>5860</v>
      </c>
      <c r="G33" s="2668">
        <v>16090</v>
      </c>
      <c r="L33" s="2662" t="s">
        <v>2915</v>
      </c>
      <c r="M33" s="2655" t="s">
        <v>2921</v>
      </c>
      <c r="N33" s="2655" t="s">
        <v>396</v>
      </c>
      <c r="O33" s="2655" t="s">
        <v>2998</v>
      </c>
      <c r="P33" s="2655" t="s">
        <v>2996</v>
      </c>
      <c r="Q33" s="2655" t="s">
        <v>395</v>
      </c>
    </row>
    <row r="34" spans="1:17">
      <c r="A34" s="2655" t="s">
        <v>379</v>
      </c>
      <c r="B34" s="2656" t="s">
        <v>198</v>
      </c>
      <c r="C34" s="2655">
        <v>23090</v>
      </c>
      <c r="D34" s="2655">
        <v>23390</v>
      </c>
      <c r="E34" s="2655">
        <v>23510</v>
      </c>
      <c r="F34" s="2655">
        <v>6700</v>
      </c>
      <c r="G34" s="2668">
        <v>16370</v>
      </c>
      <c r="M34" s="2655" t="s">
        <v>2922</v>
      </c>
      <c r="N34" s="2655" t="s">
        <v>398</v>
      </c>
      <c r="O34" s="2655" t="s">
        <v>3003</v>
      </c>
      <c r="P34" s="2655" t="s">
        <v>3006</v>
      </c>
      <c r="Q34" s="2655" t="s">
        <v>397</v>
      </c>
    </row>
    <row r="35" spans="1:17">
      <c r="A35" s="2655" t="s">
        <v>379</v>
      </c>
      <c r="B35" s="2656" t="s">
        <v>207</v>
      </c>
      <c r="C35" s="2655">
        <v>27270</v>
      </c>
      <c r="D35" s="2655">
        <v>24270</v>
      </c>
      <c r="E35" s="2655">
        <v>24950</v>
      </c>
      <c r="F35" s="2655">
        <v>6600</v>
      </c>
      <c r="G35" s="2668">
        <v>16990</v>
      </c>
      <c r="M35" s="2655" t="s">
        <v>2923</v>
      </c>
      <c r="N35" s="2655" t="s">
        <v>2932</v>
      </c>
      <c r="O35" s="2655" t="s">
        <v>386</v>
      </c>
      <c r="P35" s="2655" t="s">
        <v>2999</v>
      </c>
      <c r="Q35" s="2655" t="s">
        <v>3016</v>
      </c>
    </row>
    <row r="36" spans="1:17">
      <c r="A36" s="2655" t="s">
        <v>379</v>
      </c>
      <c r="B36" s="2656" t="s">
        <v>217</v>
      </c>
      <c r="C36" s="2655">
        <v>23490</v>
      </c>
      <c r="D36" s="2655">
        <v>23020</v>
      </c>
      <c r="E36" s="2655">
        <v>25230</v>
      </c>
      <c r="F36" s="2655">
        <v>6780</v>
      </c>
      <c r="G36" s="2668">
        <v>16120</v>
      </c>
      <c r="M36" s="2655" t="s">
        <v>608</v>
      </c>
      <c r="N36" s="2655" t="s">
        <v>2933</v>
      </c>
      <c r="O36" s="2655" t="s">
        <v>387</v>
      </c>
      <c r="P36" s="2655" t="s">
        <v>400</v>
      </c>
      <c r="Q36" s="2655" t="s">
        <v>399</v>
      </c>
    </row>
    <row r="37" spans="1:17">
      <c r="A37" s="2655" t="s">
        <v>379</v>
      </c>
      <c r="B37" s="2656" t="s">
        <v>227</v>
      </c>
      <c r="C37" s="2655">
        <v>24380</v>
      </c>
      <c r="D37" s="2655">
        <v>22240</v>
      </c>
      <c r="E37" s="2655">
        <v>25980</v>
      </c>
      <c r="F37" s="2655">
        <v>8160</v>
      </c>
      <c r="G37" s="2668">
        <v>15570</v>
      </c>
      <c r="M37" s="2655" t="s">
        <v>2924</v>
      </c>
      <c r="N37" s="2655" t="s">
        <v>2934</v>
      </c>
      <c r="O37" s="2655" t="s">
        <v>391</v>
      </c>
      <c r="P37" s="2655" t="s">
        <v>3001</v>
      </c>
      <c r="Q37" s="2655" t="s">
        <v>3017</v>
      </c>
    </row>
    <row r="38" spans="1:17">
      <c r="A38" s="2655" t="s">
        <v>379</v>
      </c>
      <c r="B38" s="2656" t="s">
        <v>237</v>
      </c>
      <c r="C38" s="2655">
        <v>23120</v>
      </c>
      <c r="D38" s="2655">
        <v>24630</v>
      </c>
      <c r="E38" s="2655">
        <v>25030</v>
      </c>
      <c r="F38" s="2655">
        <v>7710</v>
      </c>
      <c r="G38" s="2668">
        <v>17240</v>
      </c>
      <c r="M38" s="2655" t="s">
        <v>2925</v>
      </c>
      <c r="N38" s="2655" t="s">
        <v>2935</v>
      </c>
      <c r="O38" s="2655" t="s">
        <v>403</v>
      </c>
      <c r="P38" s="2655" t="s">
        <v>404</v>
      </c>
      <c r="Q38" s="2655" t="s">
        <v>3018</v>
      </c>
    </row>
    <row r="39" spans="1:17">
      <c r="A39" s="2655" t="s">
        <v>379</v>
      </c>
      <c r="B39" s="2656" t="s">
        <v>247</v>
      </c>
      <c r="C39" s="2655">
        <v>22330</v>
      </c>
      <c r="D39" s="2655">
        <v>21140</v>
      </c>
      <c r="E39" s="2655">
        <v>23970</v>
      </c>
      <c r="F39" s="2655">
        <v>7940</v>
      </c>
      <c r="G39" s="2668">
        <v>14790</v>
      </c>
      <c r="M39" s="2655" t="s">
        <v>2926</v>
      </c>
      <c r="N39" s="2655" t="s">
        <v>2950</v>
      </c>
      <c r="O39" s="2655" t="s">
        <v>3047</v>
      </c>
      <c r="P39" s="2655" t="s">
        <v>3002</v>
      </c>
      <c r="Q39" s="2655" t="s">
        <v>402</v>
      </c>
    </row>
    <row r="40" spans="1:17">
      <c r="A40" s="2655" t="s">
        <v>379</v>
      </c>
      <c r="B40" s="2656" t="s">
        <v>256</v>
      </c>
      <c r="C40" s="2655">
        <v>24740</v>
      </c>
      <c r="D40" s="2655">
        <v>24690</v>
      </c>
      <c r="E40" s="2655">
        <v>22610</v>
      </c>
      <c r="F40" s="2655"/>
      <c r="G40" s="2668">
        <v>17280</v>
      </c>
      <c r="M40" s="2655" t="s">
        <v>2927</v>
      </c>
      <c r="N40" s="2655" t="s">
        <v>2951</v>
      </c>
      <c r="O40" s="2655" t="s">
        <v>3048</v>
      </c>
      <c r="P40" s="2655" t="s">
        <v>3004</v>
      </c>
      <c r="Q40" s="2655" t="s">
        <v>401</v>
      </c>
    </row>
    <row r="41" spans="1:17" ht="12" thickBot="1">
      <c r="A41" s="2655" t="s">
        <v>379</v>
      </c>
      <c r="B41" s="2656" t="s">
        <v>264</v>
      </c>
      <c r="C41" s="2655">
        <v>21220</v>
      </c>
      <c r="D41" s="2655">
        <v>21120</v>
      </c>
      <c r="E41" s="2655">
        <v>22590</v>
      </c>
      <c r="F41" s="2655"/>
      <c r="G41" s="2668">
        <v>14780</v>
      </c>
      <c r="M41" s="2662" t="s">
        <v>2928</v>
      </c>
      <c r="N41" s="2655" t="s">
        <v>2936</v>
      </c>
      <c r="O41" s="2655" t="s">
        <v>3049</v>
      </c>
      <c r="P41" s="2655" t="s">
        <v>3007</v>
      </c>
      <c r="Q41" s="2655" t="s">
        <v>406</v>
      </c>
    </row>
    <row r="42" spans="1:17">
      <c r="A42" s="2655" t="s">
        <v>379</v>
      </c>
      <c r="B42" s="2656" t="s">
        <v>272</v>
      </c>
      <c r="C42" s="2655">
        <v>24800</v>
      </c>
      <c r="D42" s="2655">
        <v>22280</v>
      </c>
      <c r="E42" s="2655">
        <v>24350</v>
      </c>
      <c r="F42" s="2655"/>
      <c r="G42" s="2668">
        <v>15590</v>
      </c>
      <c r="N42" s="2655" t="s">
        <v>2937</v>
      </c>
      <c r="O42" s="2655" t="s">
        <v>409</v>
      </c>
      <c r="P42" s="2655" t="s">
        <v>3005</v>
      </c>
      <c r="Q42" s="2655" t="s">
        <v>408</v>
      </c>
    </row>
    <row r="43" spans="1:17">
      <c r="A43" s="2655" t="s">
        <v>2942</v>
      </c>
      <c r="B43" s="2656" t="s">
        <v>282</v>
      </c>
      <c r="C43" s="2655">
        <v>21210</v>
      </c>
      <c r="D43" s="2655">
        <v>21160</v>
      </c>
      <c r="E43" s="2655">
        <v>22650</v>
      </c>
      <c r="F43" s="2655"/>
      <c r="G43" s="2668">
        <v>14800</v>
      </c>
      <c r="N43" s="2655" t="s">
        <v>2938</v>
      </c>
      <c r="O43" s="2655" t="s">
        <v>2991</v>
      </c>
      <c r="P43" s="2655" t="s">
        <v>407</v>
      </c>
      <c r="Q43" s="2655" t="s">
        <v>412</v>
      </c>
    </row>
    <row r="44" spans="1:17" ht="12" thickBot="1">
      <c r="A44" s="2655" t="s">
        <v>379</v>
      </c>
      <c r="B44" s="2656" t="s">
        <v>292</v>
      </c>
      <c r="C44" s="2655">
        <v>22370</v>
      </c>
      <c r="D44" s="2655">
        <v>23140</v>
      </c>
      <c r="E44" s="2655">
        <v>25090</v>
      </c>
      <c r="F44" s="2655"/>
      <c r="G44" s="2668">
        <v>16190</v>
      </c>
      <c r="N44" s="2655" t="s">
        <v>2953</v>
      </c>
      <c r="O44" s="2655" t="s">
        <v>3050</v>
      </c>
      <c r="P44" s="2662" t="s">
        <v>405</v>
      </c>
      <c r="Q44" s="2655" t="s">
        <v>413</v>
      </c>
    </row>
    <row r="45" spans="1:17" ht="12" thickBot="1">
      <c r="A45" s="2655" t="s">
        <v>379</v>
      </c>
      <c r="B45" s="2656" t="s">
        <v>301</v>
      </c>
      <c r="C45" s="2655">
        <v>21240</v>
      </c>
      <c r="D45" s="2655">
        <v>27050</v>
      </c>
      <c r="E45" s="2655">
        <v>28000</v>
      </c>
      <c r="F45" s="2655"/>
      <c r="G45" s="2668">
        <v>18940</v>
      </c>
      <c r="N45" s="2655" t="s">
        <v>2954</v>
      </c>
      <c r="O45" s="2662" t="s">
        <v>2992</v>
      </c>
      <c r="Q45" s="2655" t="s">
        <v>414</v>
      </c>
    </row>
    <row r="46" spans="1:17">
      <c r="A46" s="2655" t="s">
        <v>379</v>
      </c>
      <c r="B46" s="2656" t="s">
        <v>310</v>
      </c>
      <c r="C46" s="2655">
        <v>23240</v>
      </c>
      <c r="D46" s="2655">
        <v>23000</v>
      </c>
      <c r="E46" s="2655">
        <v>24980</v>
      </c>
      <c r="F46" s="2655"/>
      <c r="G46" s="2668">
        <v>16100</v>
      </c>
      <c r="N46" s="2655" t="s">
        <v>2955</v>
      </c>
      <c r="Q46" s="2655" t="s">
        <v>410</v>
      </c>
    </row>
    <row r="47" spans="1:17">
      <c r="A47" s="2655" t="s">
        <v>379</v>
      </c>
      <c r="B47" s="2656" t="s">
        <v>320</v>
      </c>
      <c r="C47" s="2655">
        <v>27150</v>
      </c>
      <c r="D47" s="2655">
        <v>23310</v>
      </c>
      <c r="E47" s="2655">
        <v>25150</v>
      </c>
      <c r="F47" s="2655"/>
      <c r="G47" s="2668">
        <v>16310</v>
      </c>
      <c r="N47" s="2655" t="s">
        <v>2957</v>
      </c>
      <c r="Q47" s="2655" t="s">
        <v>411</v>
      </c>
    </row>
    <row r="48" spans="1:17">
      <c r="A48" s="2655" t="s">
        <v>379</v>
      </c>
      <c r="B48" s="2656" t="s">
        <v>329</v>
      </c>
      <c r="C48" s="2655">
        <v>23100</v>
      </c>
      <c r="D48" s="2655">
        <v>21110</v>
      </c>
      <c r="E48" s="2655">
        <v>23080</v>
      </c>
      <c r="F48" s="2655"/>
      <c r="G48" s="2668">
        <v>14780</v>
      </c>
      <c r="N48" s="2655" t="s">
        <v>2956</v>
      </c>
      <c r="Q48" s="2655" t="s">
        <v>3019</v>
      </c>
    </row>
    <row r="49" spans="1:17">
      <c r="A49" s="2655" t="s">
        <v>379</v>
      </c>
      <c r="B49" s="2656" t="s">
        <v>336</v>
      </c>
      <c r="C49" s="2655">
        <v>23400</v>
      </c>
      <c r="D49" s="2655">
        <v>22920</v>
      </c>
      <c r="E49" s="2655">
        <v>24900</v>
      </c>
      <c r="F49" s="2655"/>
      <c r="G49" s="2668">
        <v>16040</v>
      </c>
      <c r="N49" s="2655" t="s">
        <v>2965</v>
      </c>
      <c r="Q49" s="2655" t="s">
        <v>415</v>
      </c>
    </row>
    <row r="50" spans="1:17">
      <c r="A50" s="2655" t="s">
        <v>379</v>
      </c>
      <c r="B50" s="2656" t="s">
        <v>2904</v>
      </c>
      <c r="C50" s="2655">
        <v>21200</v>
      </c>
      <c r="D50" s="2655">
        <v>26540</v>
      </c>
      <c r="E50" s="2655">
        <v>23200</v>
      </c>
      <c r="F50" s="2655"/>
      <c r="G50" s="2668">
        <v>18580</v>
      </c>
      <c r="N50" s="2655" t="s">
        <v>2963</v>
      </c>
      <c r="Q50" s="2656" t="s">
        <v>3020</v>
      </c>
    </row>
    <row r="51" spans="1:17" ht="12" thickBot="1">
      <c r="A51" s="2655" t="s">
        <v>379</v>
      </c>
      <c r="B51" s="2656" t="s">
        <v>2905</v>
      </c>
      <c r="C51" s="2655">
        <v>23000</v>
      </c>
      <c r="D51" s="2655">
        <v>23460</v>
      </c>
      <c r="E51" s="2655">
        <v>25290</v>
      </c>
      <c r="F51" s="2655"/>
      <c r="G51" s="2668">
        <v>16420</v>
      </c>
      <c r="N51" s="2655" t="s">
        <v>2958</v>
      </c>
      <c r="Q51" s="2662" t="s">
        <v>3021</v>
      </c>
    </row>
    <row r="52" spans="1:17">
      <c r="A52" s="2655" t="s">
        <v>379</v>
      </c>
      <c r="B52" s="2656" t="s">
        <v>2906</v>
      </c>
      <c r="C52" s="2655">
        <v>26660</v>
      </c>
      <c r="D52" s="2655">
        <v>22350</v>
      </c>
      <c r="E52" s="2655">
        <v>22920</v>
      </c>
      <c r="F52" s="2655"/>
      <c r="G52" s="2668">
        <v>15640</v>
      </c>
      <c r="N52" s="2655" t="s">
        <v>2959</v>
      </c>
    </row>
    <row r="53" spans="1:17">
      <c r="A53" s="2655" t="s">
        <v>379</v>
      </c>
      <c r="B53" s="2656" t="s">
        <v>2907</v>
      </c>
      <c r="C53" s="2655">
        <v>23580</v>
      </c>
      <c r="D53" s="2655"/>
      <c r="E53" s="2655">
        <v>24280</v>
      </c>
      <c r="F53" s="2655"/>
      <c r="G53" s="2668"/>
      <c r="N53" s="2655" t="s">
        <v>2960</v>
      </c>
    </row>
    <row r="54" spans="1:17" ht="12" thickBot="1">
      <c r="A54" s="2669" t="s">
        <v>379</v>
      </c>
      <c r="B54" s="2661" t="s">
        <v>2908</v>
      </c>
      <c r="C54" s="2662">
        <v>22460</v>
      </c>
      <c r="D54" s="2662"/>
      <c r="E54" s="2662"/>
      <c r="F54" s="2662"/>
      <c r="G54" s="2670"/>
      <c r="N54" s="2655" t="s">
        <v>2961</v>
      </c>
    </row>
    <row r="55" spans="1:17">
      <c r="A55" s="2660" t="s">
        <v>113</v>
      </c>
      <c r="B55" s="2651" t="s">
        <v>416</v>
      </c>
      <c r="C55" s="2655">
        <v>21970</v>
      </c>
      <c r="D55" s="2655">
        <v>20370</v>
      </c>
      <c r="E55" s="2655">
        <v>20180</v>
      </c>
      <c r="F55" s="2655">
        <v>5730</v>
      </c>
      <c r="G55" s="2655">
        <v>13820</v>
      </c>
      <c r="N55" s="2655" t="s">
        <v>2962</v>
      </c>
    </row>
    <row r="56" spans="1:17">
      <c r="A56" s="2655" t="s">
        <v>113</v>
      </c>
      <c r="B56" s="2655" t="s">
        <v>162</v>
      </c>
      <c r="C56" s="2655">
        <v>20470</v>
      </c>
      <c r="D56" s="2655">
        <v>20700</v>
      </c>
      <c r="E56" s="2655">
        <v>20380</v>
      </c>
      <c r="F56" s="2655">
        <v>4760</v>
      </c>
      <c r="G56" s="2655">
        <v>14050</v>
      </c>
      <c r="N56" s="2655" t="s">
        <v>2964</v>
      </c>
    </row>
    <row r="57" spans="1:17">
      <c r="A57" s="2655" t="s">
        <v>113</v>
      </c>
      <c r="B57" s="2655" t="s">
        <v>175</v>
      </c>
      <c r="C57" s="2655">
        <v>20790</v>
      </c>
      <c r="D57" s="2655">
        <v>21370</v>
      </c>
      <c r="E57" s="2655">
        <v>20890</v>
      </c>
      <c r="F57" s="2655">
        <v>4910</v>
      </c>
      <c r="G57" s="2655">
        <v>14510</v>
      </c>
      <c r="N57" s="2655" t="s">
        <v>2966</v>
      </c>
    </row>
    <row r="58" spans="1:17">
      <c r="A58" s="2655" t="s">
        <v>113</v>
      </c>
      <c r="B58" s="2655" t="s">
        <v>188</v>
      </c>
      <c r="C58" s="2655">
        <v>21460</v>
      </c>
      <c r="D58" s="2655">
        <v>20920</v>
      </c>
      <c r="E58" s="2655">
        <v>23410</v>
      </c>
      <c r="F58" s="2655">
        <v>5100</v>
      </c>
      <c r="G58" s="2655">
        <v>14200</v>
      </c>
      <c r="N58" s="2655" t="s">
        <v>2967</v>
      </c>
    </row>
    <row r="59" spans="1:17">
      <c r="A59" s="2655" t="s">
        <v>113</v>
      </c>
      <c r="B59" s="2655" t="s">
        <v>199</v>
      </c>
      <c r="C59" s="2655">
        <v>21000</v>
      </c>
      <c r="D59" s="2655">
        <v>21550</v>
      </c>
      <c r="E59" s="2655">
        <v>21150</v>
      </c>
      <c r="F59" s="2655">
        <v>5250</v>
      </c>
      <c r="G59" s="2655">
        <v>14630</v>
      </c>
      <c r="N59" s="2655" t="s">
        <v>2968</v>
      </c>
    </row>
    <row r="60" spans="1:17">
      <c r="A60" s="2655" t="s">
        <v>113</v>
      </c>
      <c r="B60" s="2655" t="s">
        <v>208</v>
      </c>
      <c r="C60" s="2655">
        <v>21640</v>
      </c>
      <c r="D60" s="2655">
        <v>21260</v>
      </c>
      <c r="E60" s="2655">
        <v>24040</v>
      </c>
      <c r="F60" s="2655">
        <v>4470</v>
      </c>
      <c r="G60" s="2655">
        <v>14430</v>
      </c>
      <c r="N60" s="2655" t="s">
        <v>2969</v>
      </c>
    </row>
    <row r="61" spans="1:17">
      <c r="A61" s="2655" t="s">
        <v>113</v>
      </c>
      <c r="B61" s="2655" t="s">
        <v>218</v>
      </c>
      <c r="C61" s="2655">
        <v>21330</v>
      </c>
      <c r="D61" s="2655">
        <v>18640</v>
      </c>
      <c r="E61" s="2655">
        <v>21190</v>
      </c>
      <c r="F61" s="2655">
        <v>4180</v>
      </c>
      <c r="G61" s="2655">
        <v>12650</v>
      </c>
      <c r="N61" s="2655" t="s">
        <v>2970</v>
      </c>
    </row>
    <row r="62" spans="1:17">
      <c r="A62" s="2655" t="s">
        <v>113</v>
      </c>
      <c r="B62" s="2655" t="s">
        <v>228</v>
      </c>
      <c r="C62" s="2655">
        <v>18710</v>
      </c>
      <c r="D62" s="2655">
        <v>19400</v>
      </c>
      <c r="E62" s="2655">
        <v>23750</v>
      </c>
      <c r="F62" s="2655">
        <v>4860</v>
      </c>
      <c r="G62" s="2655">
        <v>13170</v>
      </c>
      <c r="N62" s="2655" t="s">
        <v>2971</v>
      </c>
    </row>
    <row r="63" spans="1:17">
      <c r="A63" s="2655" t="s">
        <v>113</v>
      </c>
      <c r="B63" s="2655" t="s">
        <v>238</v>
      </c>
      <c r="C63" s="2655">
        <v>19480</v>
      </c>
      <c r="D63" s="2655">
        <v>16830</v>
      </c>
      <c r="E63" s="2655">
        <v>21590</v>
      </c>
      <c r="F63" s="2655">
        <v>4560</v>
      </c>
      <c r="G63" s="2655">
        <v>11420</v>
      </c>
      <c r="N63" s="2655" t="s">
        <v>2972</v>
      </c>
    </row>
    <row r="64" spans="1:17" ht="12" thickBot="1">
      <c r="A64" s="2655" t="s">
        <v>113</v>
      </c>
      <c r="B64" s="2655" t="s">
        <v>248</v>
      </c>
      <c r="C64" s="2655">
        <v>16920</v>
      </c>
      <c r="D64" s="2655">
        <v>19190</v>
      </c>
      <c r="E64" s="2655">
        <v>22200</v>
      </c>
      <c r="F64" s="2655">
        <v>4390</v>
      </c>
      <c r="G64" s="2655">
        <v>13030</v>
      </c>
      <c r="N64" s="2662" t="s">
        <v>2973</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2909</v>
      </c>
      <c r="C78" s="2655">
        <v>19820</v>
      </c>
      <c r="D78" s="2655">
        <v>19780</v>
      </c>
      <c r="E78" s="2655">
        <v>18560</v>
      </c>
      <c r="F78" s="2655"/>
      <c r="G78" s="2655">
        <v>13430</v>
      </c>
    </row>
    <row r="79" spans="1:7" s="2644" customFormat="1">
      <c r="A79" s="2655" t="s">
        <v>113</v>
      </c>
      <c r="B79" s="2655" t="s">
        <v>2910</v>
      </c>
      <c r="C79" s="2655">
        <v>21660</v>
      </c>
      <c r="D79" s="2655">
        <v>18000</v>
      </c>
      <c r="E79" s="2655">
        <v>22570</v>
      </c>
      <c r="F79" s="2655"/>
      <c r="G79" s="2655">
        <v>12220</v>
      </c>
    </row>
    <row r="80" spans="1:7" s="2644" customFormat="1">
      <c r="A80" s="2655" t="s">
        <v>113</v>
      </c>
      <c r="B80" s="2655" t="s">
        <v>2911</v>
      </c>
      <c r="C80" s="2655">
        <v>19850</v>
      </c>
      <c r="D80" s="2655"/>
      <c r="E80" s="2655">
        <v>21700</v>
      </c>
      <c r="F80" s="2655"/>
      <c r="G80" s="2655"/>
    </row>
    <row r="81" spans="1:7" s="2644" customFormat="1">
      <c r="A81" s="2655" t="s">
        <v>113</v>
      </c>
      <c r="B81" s="2655" t="s">
        <v>2912</v>
      </c>
      <c r="C81" s="2655">
        <v>18080</v>
      </c>
      <c r="D81" s="2655"/>
      <c r="E81" s="2655">
        <v>20900</v>
      </c>
      <c r="F81" s="2655"/>
      <c r="G81" s="2655"/>
    </row>
    <row r="82" spans="1:7" s="2644" customFormat="1">
      <c r="A82" s="2655" t="s">
        <v>113</v>
      </c>
      <c r="B82" s="2655" t="s">
        <v>2913</v>
      </c>
      <c r="C82" s="2655"/>
      <c r="D82" s="2655"/>
      <c r="E82" s="2655">
        <v>20840</v>
      </c>
      <c r="F82" s="2655"/>
      <c r="G82" s="2655"/>
    </row>
    <row r="83" spans="1:7" s="2644" customFormat="1">
      <c r="A83" s="2655" t="s">
        <v>113</v>
      </c>
      <c r="B83" s="2655" t="s">
        <v>2943</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2944</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2916</v>
      </c>
      <c r="C113" s="2655">
        <v>15520</v>
      </c>
      <c r="D113" s="2655">
        <v>15450</v>
      </c>
      <c r="E113" s="2655"/>
      <c r="F113" s="2655"/>
      <c r="G113" s="2668">
        <v>10210</v>
      </c>
    </row>
    <row r="114" spans="1:7" s="2644" customFormat="1">
      <c r="A114" s="2655" t="s">
        <v>417</v>
      </c>
      <c r="B114" s="2655" t="s">
        <v>2917</v>
      </c>
      <c r="C114" s="2655">
        <v>13110</v>
      </c>
      <c r="D114" s="2655">
        <v>13050</v>
      </c>
      <c r="E114" s="2655"/>
      <c r="F114" s="2655"/>
      <c r="G114" s="2668">
        <v>8620</v>
      </c>
    </row>
    <row r="115" spans="1:7" s="2644" customFormat="1">
      <c r="A115" s="2655" t="s">
        <v>417</v>
      </c>
      <c r="B115" s="2655" t="s">
        <v>2918</v>
      </c>
      <c r="C115" s="2655">
        <v>12460</v>
      </c>
      <c r="D115" s="2655">
        <v>12390</v>
      </c>
      <c r="E115" s="2655"/>
      <c r="F115" s="2655"/>
      <c r="G115" s="2668">
        <v>8190</v>
      </c>
    </row>
    <row r="116" spans="1:7" s="2644" customFormat="1">
      <c r="A116" s="2655" t="s">
        <v>417</v>
      </c>
      <c r="B116" s="2655" t="s">
        <v>2919</v>
      </c>
      <c r="C116" s="2655">
        <v>13580</v>
      </c>
      <c r="D116" s="2655">
        <v>13520</v>
      </c>
      <c r="E116" s="2655"/>
      <c r="F116" s="2655"/>
      <c r="G116" s="2668">
        <v>8930</v>
      </c>
    </row>
    <row r="117" spans="1:7" s="2644" customFormat="1">
      <c r="A117" s="2655" t="s">
        <v>417</v>
      </c>
      <c r="B117" s="2655" t="s">
        <v>2920</v>
      </c>
      <c r="C117" s="2655">
        <v>17120</v>
      </c>
      <c r="D117" s="2655">
        <v>17040</v>
      </c>
      <c r="E117" s="2655"/>
      <c r="F117" s="2655"/>
      <c r="G117" s="2668">
        <v>11260</v>
      </c>
    </row>
    <row r="118" spans="1:7" s="2644" customFormat="1">
      <c r="A118" s="2655" t="s">
        <v>417</v>
      </c>
      <c r="B118" s="2655" t="s">
        <v>2921</v>
      </c>
      <c r="C118" s="2655">
        <v>14860</v>
      </c>
      <c r="D118" s="2655">
        <v>14790</v>
      </c>
      <c r="E118" s="2655"/>
      <c r="F118" s="2655"/>
      <c r="G118" s="2668">
        <v>9780</v>
      </c>
    </row>
    <row r="119" spans="1:7" s="2644" customFormat="1">
      <c r="A119" s="2655" t="s">
        <v>417</v>
      </c>
      <c r="B119" s="2655" t="s">
        <v>2922</v>
      </c>
      <c r="C119" s="2655">
        <v>16470</v>
      </c>
      <c r="D119" s="2655">
        <v>16400</v>
      </c>
      <c r="E119" s="2655"/>
      <c r="F119" s="2655"/>
      <c r="G119" s="2668">
        <v>10840</v>
      </c>
    </row>
    <row r="120" spans="1:7" s="2644" customFormat="1">
      <c r="A120" s="2655" t="s">
        <v>417</v>
      </c>
      <c r="B120" s="2655" t="s">
        <v>2945</v>
      </c>
      <c r="C120" s="2655"/>
      <c r="D120" s="2655"/>
      <c r="E120" s="2655"/>
      <c r="F120" s="2655">
        <v>4160</v>
      </c>
      <c r="G120" s="2668"/>
    </row>
    <row r="121" spans="1:7" s="2644" customFormat="1">
      <c r="A121" s="2655" t="s">
        <v>417</v>
      </c>
      <c r="B121" s="2655" t="s">
        <v>2946</v>
      </c>
      <c r="C121" s="2655"/>
      <c r="D121" s="2655"/>
      <c r="E121" s="2655"/>
      <c r="F121" s="2655">
        <v>3880</v>
      </c>
      <c r="G121" s="2668"/>
    </row>
    <row r="122" spans="1:7" s="2644" customFormat="1">
      <c r="A122" s="2655" t="s">
        <v>417</v>
      </c>
      <c r="B122" s="2655" t="s">
        <v>2947</v>
      </c>
      <c r="C122" s="2655">
        <v>13750</v>
      </c>
      <c r="D122" s="2655">
        <v>13680</v>
      </c>
      <c r="E122" s="2655">
        <v>16460</v>
      </c>
      <c r="F122" s="2655">
        <v>2880</v>
      </c>
      <c r="G122" s="2668">
        <v>9040</v>
      </c>
    </row>
    <row r="123" spans="1:7" s="2644" customFormat="1">
      <c r="A123" s="2655" t="s">
        <v>417</v>
      </c>
      <c r="B123" s="2655" t="s">
        <v>2925</v>
      </c>
      <c r="C123" s="2655">
        <v>13590</v>
      </c>
      <c r="D123" s="2655">
        <v>13520</v>
      </c>
      <c r="E123" s="2655">
        <v>16290</v>
      </c>
      <c r="F123" s="2655">
        <v>2790</v>
      </c>
      <c r="G123" s="2668">
        <v>8930</v>
      </c>
    </row>
    <row r="124" spans="1:7" s="2644" customFormat="1">
      <c r="A124" s="2655" t="s">
        <v>417</v>
      </c>
      <c r="B124" s="2655" t="s">
        <v>2926</v>
      </c>
      <c r="C124" s="2655">
        <v>13400</v>
      </c>
      <c r="D124" s="2655">
        <v>13320</v>
      </c>
      <c r="E124" s="2655">
        <v>16100</v>
      </c>
      <c r="F124" s="2655">
        <v>2320</v>
      </c>
      <c r="G124" s="2668">
        <v>8800</v>
      </c>
    </row>
    <row r="125" spans="1:7" s="2644" customFormat="1">
      <c r="A125" s="2655" t="s">
        <v>417</v>
      </c>
      <c r="B125" s="2655" t="s">
        <v>2927</v>
      </c>
      <c r="C125" s="2655">
        <v>12860</v>
      </c>
      <c r="D125" s="2655">
        <v>12790</v>
      </c>
      <c r="E125" s="2655">
        <v>15370</v>
      </c>
      <c r="F125" s="2655">
        <v>2280</v>
      </c>
      <c r="G125" s="2668">
        <v>8450</v>
      </c>
    </row>
    <row r="126" spans="1:7" s="2644" customFormat="1" ht="12" thickBot="1">
      <c r="A126" s="2669" t="s">
        <v>417</v>
      </c>
      <c r="B126" s="2662" t="s">
        <v>2948</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2952</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2930</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2931</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2949</v>
      </c>
      <c r="C160" s="2655">
        <v>11180</v>
      </c>
      <c r="D160" s="2655">
        <v>11140</v>
      </c>
      <c r="E160" s="2655">
        <v>14050</v>
      </c>
      <c r="F160" s="2655">
        <v>2270</v>
      </c>
      <c r="G160" s="2655">
        <v>7170</v>
      </c>
    </row>
    <row r="161" spans="1:7" s="2644" customFormat="1">
      <c r="A161" s="2655" t="s">
        <v>32</v>
      </c>
      <c r="B161" s="2655" t="s">
        <v>2933</v>
      </c>
      <c r="C161" s="2655">
        <v>11160</v>
      </c>
      <c r="D161" s="2655">
        <v>11120</v>
      </c>
      <c r="E161" s="2655">
        <v>14020</v>
      </c>
      <c r="F161" s="2655">
        <v>2150</v>
      </c>
      <c r="G161" s="2655">
        <v>7160</v>
      </c>
    </row>
    <row r="162" spans="1:7" s="2644" customFormat="1">
      <c r="A162" s="2655" t="s">
        <v>32</v>
      </c>
      <c r="B162" s="2655" t="s">
        <v>2934</v>
      </c>
      <c r="C162" s="2655">
        <v>9620</v>
      </c>
      <c r="D162" s="2655">
        <v>9570</v>
      </c>
      <c r="E162" s="2655">
        <v>12320</v>
      </c>
      <c r="F162" s="2655">
        <v>2010</v>
      </c>
      <c r="G162" s="2655">
        <v>6160</v>
      </c>
    </row>
    <row r="163" spans="1:7" s="2644" customFormat="1">
      <c r="A163" s="2655" t="s">
        <v>32</v>
      </c>
      <c r="B163" s="2655" t="s">
        <v>2935</v>
      </c>
      <c r="C163" s="2655">
        <v>9320</v>
      </c>
      <c r="D163" s="2655">
        <v>9270</v>
      </c>
      <c r="E163" s="2655">
        <v>11790</v>
      </c>
      <c r="F163" s="2655">
        <v>1920</v>
      </c>
      <c r="G163" s="2655">
        <v>5960</v>
      </c>
    </row>
    <row r="164" spans="1:7" s="2644" customFormat="1">
      <c r="A164" s="2655" t="s">
        <v>32</v>
      </c>
      <c r="B164" s="2655" t="s">
        <v>2950</v>
      </c>
      <c r="C164" s="2655"/>
      <c r="D164" s="2655"/>
      <c r="E164" s="2655"/>
      <c r="F164" s="2655">
        <v>1980</v>
      </c>
      <c r="G164" s="2655"/>
    </row>
    <row r="165" spans="1:7" s="2644" customFormat="1">
      <c r="A165" s="2655" t="s">
        <v>32</v>
      </c>
      <c r="B165" s="2655" t="s">
        <v>2951</v>
      </c>
      <c r="C165" s="2655">
        <v>11060</v>
      </c>
      <c r="D165" s="2655">
        <v>11030</v>
      </c>
      <c r="E165" s="2655">
        <v>13850</v>
      </c>
      <c r="F165" s="2655">
        <v>2170</v>
      </c>
      <c r="G165" s="2655">
        <v>7090</v>
      </c>
    </row>
    <row r="166" spans="1:7" s="2644" customFormat="1">
      <c r="A166" s="2655" t="s">
        <v>32</v>
      </c>
      <c r="B166" s="2655" t="s">
        <v>2936</v>
      </c>
      <c r="C166" s="2655">
        <v>11050</v>
      </c>
      <c r="D166" s="2655">
        <v>11010</v>
      </c>
      <c r="E166" s="2655">
        <v>13920</v>
      </c>
      <c r="F166" s="2655">
        <v>2140</v>
      </c>
      <c r="G166" s="2655">
        <v>7080</v>
      </c>
    </row>
    <row r="167" spans="1:7" s="2644" customFormat="1">
      <c r="A167" s="2655" t="s">
        <v>32</v>
      </c>
      <c r="B167" s="2655" t="s">
        <v>2937</v>
      </c>
      <c r="C167" s="2655">
        <v>10930</v>
      </c>
      <c r="D167" s="2655">
        <v>10890</v>
      </c>
      <c r="E167" s="2655">
        <v>13790</v>
      </c>
      <c r="F167" s="2655">
        <v>2010</v>
      </c>
      <c r="G167" s="2655">
        <v>7000</v>
      </c>
    </row>
    <row r="168" spans="1:7" s="2644" customFormat="1">
      <c r="A168" s="2655" t="s">
        <v>32</v>
      </c>
      <c r="B168" s="2655" t="s">
        <v>2938</v>
      </c>
      <c r="C168" s="2655">
        <v>9420</v>
      </c>
      <c r="D168" s="2655">
        <v>9380</v>
      </c>
      <c r="E168" s="2655">
        <v>11970</v>
      </c>
      <c r="F168" s="2655"/>
      <c r="G168" s="2655">
        <v>6040</v>
      </c>
    </row>
    <row r="169" spans="1:7" s="2644" customFormat="1">
      <c r="A169" s="2655" t="s">
        <v>32</v>
      </c>
      <c r="B169" s="2655" t="s">
        <v>2953</v>
      </c>
      <c r="C169" s="2655"/>
      <c r="D169" s="2655"/>
      <c r="E169" s="2655"/>
      <c r="F169" s="2655">
        <v>2880</v>
      </c>
      <c r="G169" s="2655"/>
    </row>
    <row r="170" spans="1:7" s="2644" customFormat="1">
      <c r="A170" s="2655" t="s">
        <v>32</v>
      </c>
      <c r="B170" s="2655" t="s">
        <v>2954</v>
      </c>
      <c r="C170" s="2655"/>
      <c r="D170" s="2655"/>
      <c r="E170" s="2655"/>
      <c r="F170" s="2655">
        <v>2880</v>
      </c>
      <c r="G170" s="2655"/>
    </row>
    <row r="171" spans="1:7" s="2644" customFormat="1">
      <c r="A171" s="2655" t="s">
        <v>32</v>
      </c>
      <c r="B171" s="2655" t="s">
        <v>2955</v>
      </c>
      <c r="C171" s="2655"/>
      <c r="D171" s="2655"/>
      <c r="E171" s="2655"/>
      <c r="F171" s="2655">
        <v>2880</v>
      </c>
      <c r="G171" s="2655"/>
    </row>
    <row r="172" spans="1:7" s="2644" customFormat="1">
      <c r="A172" s="2655" t="s">
        <v>32</v>
      </c>
      <c r="B172" s="2655" t="s">
        <v>2957</v>
      </c>
      <c r="C172" s="2655"/>
      <c r="D172" s="2655"/>
      <c r="E172" s="2655"/>
      <c r="F172" s="2655">
        <v>2880</v>
      </c>
      <c r="G172" s="2655"/>
    </row>
    <row r="173" spans="1:7" s="2644" customFormat="1">
      <c r="A173" s="2655" t="s">
        <v>32</v>
      </c>
      <c r="B173" s="2655" t="s">
        <v>2956</v>
      </c>
      <c r="C173" s="2655"/>
      <c r="D173" s="2655"/>
      <c r="E173" s="2655"/>
      <c r="F173" s="2655">
        <v>2150</v>
      </c>
      <c r="G173" s="2655"/>
    </row>
    <row r="174" spans="1:7" s="2644" customFormat="1">
      <c r="A174" s="2655" t="s">
        <v>32</v>
      </c>
      <c r="B174" s="2655" t="s">
        <v>2965</v>
      </c>
      <c r="C174" s="2655"/>
      <c r="D174" s="2655"/>
      <c r="E174" s="2655"/>
      <c r="F174" s="2655">
        <v>2030</v>
      </c>
      <c r="G174" s="2655"/>
    </row>
    <row r="175" spans="1:7" s="2644" customFormat="1">
      <c r="A175" s="2655" t="s">
        <v>32</v>
      </c>
      <c r="B175" s="2655" t="s">
        <v>2963</v>
      </c>
      <c r="C175" s="2655"/>
      <c r="D175" s="2655"/>
      <c r="E175" s="2655"/>
      <c r="F175" s="2655">
        <v>2780</v>
      </c>
      <c r="G175" s="2655"/>
    </row>
    <row r="176" spans="1:7" s="2644" customFormat="1">
      <c r="A176" s="2655" t="s">
        <v>32</v>
      </c>
      <c r="B176" s="2655" t="s">
        <v>2958</v>
      </c>
      <c r="C176" s="2655"/>
      <c r="D176" s="2655"/>
      <c r="E176" s="2655"/>
      <c r="F176" s="2655">
        <v>2780</v>
      </c>
      <c r="G176" s="2655"/>
    </row>
    <row r="177" spans="1:7" s="2644" customFormat="1">
      <c r="A177" s="2655" t="s">
        <v>32</v>
      </c>
      <c r="B177" s="2655" t="s">
        <v>2959</v>
      </c>
      <c r="C177" s="2655"/>
      <c r="D177" s="2655"/>
      <c r="E177" s="2655"/>
      <c r="F177" s="2655">
        <v>2780</v>
      </c>
      <c r="G177" s="2655"/>
    </row>
    <row r="178" spans="1:7" s="2644" customFormat="1">
      <c r="A178" s="2655" t="s">
        <v>32</v>
      </c>
      <c r="B178" s="2655" t="s">
        <v>2960</v>
      </c>
      <c r="C178" s="2655"/>
      <c r="D178" s="2655"/>
      <c r="E178" s="2655"/>
      <c r="F178" s="2655">
        <v>2060</v>
      </c>
      <c r="G178" s="2655"/>
    </row>
    <row r="179" spans="1:7" s="2644" customFormat="1">
      <c r="A179" s="2655" t="s">
        <v>32</v>
      </c>
      <c r="B179" s="2655" t="s">
        <v>2961</v>
      </c>
      <c r="C179" s="2655"/>
      <c r="D179" s="2655"/>
      <c r="E179" s="2655"/>
      <c r="F179" s="2655">
        <v>2120</v>
      </c>
      <c r="G179" s="2655"/>
    </row>
    <row r="180" spans="1:7" s="2644" customFormat="1">
      <c r="A180" s="2655" t="s">
        <v>32</v>
      </c>
      <c r="B180" s="2655" t="s">
        <v>2962</v>
      </c>
      <c r="C180" s="2655"/>
      <c r="D180" s="2655"/>
      <c r="E180" s="2655"/>
      <c r="F180" s="2655">
        <v>2340</v>
      </c>
      <c r="G180" s="2655"/>
    </row>
    <row r="181" spans="1:7" s="2644" customFormat="1">
      <c r="A181" s="2655" t="s">
        <v>32</v>
      </c>
      <c r="B181" s="2655" t="s">
        <v>2964</v>
      </c>
      <c r="C181" s="2655"/>
      <c r="D181" s="2655"/>
      <c r="E181" s="2655"/>
      <c r="F181" s="2655">
        <v>2340</v>
      </c>
      <c r="G181" s="2655"/>
    </row>
    <row r="182" spans="1:7" s="2644" customFormat="1">
      <c r="A182" s="2655" t="s">
        <v>32</v>
      </c>
      <c r="B182" s="2655" t="s">
        <v>2966</v>
      </c>
      <c r="C182" s="2655"/>
      <c r="D182" s="2655"/>
      <c r="E182" s="2655"/>
      <c r="F182" s="2655">
        <v>2340</v>
      </c>
      <c r="G182" s="2655"/>
    </row>
    <row r="183" spans="1:7" s="2644" customFormat="1">
      <c r="A183" s="2655" t="s">
        <v>32</v>
      </c>
      <c r="B183" s="2655" t="s">
        <v>2967</v>
      </c>
      <c r="C183" s="2655"/>
      <c r="D183" s="2655"/>
      <c r="E183" s="2655"/>
      <c r="F183" s="2655">
        <v>2340</v>
      </c>
      <c r="G183" s="2655"/>
    </row>
    <row r="184" spans="1:7" s="2644" customFormat="1">
      <c r="A184" s="2655" t="s">
        <v>32</v>
      </c>
      <c r="B184" s="2655" t="s">
        <v>2968</v>
      </c>
      <c r="C184" s="2655"/>
      <c r="D184" s="2655"/>
      <c r="E184" s="2655"/>
      <c r="F184" s="2655">
        <v>2340</v>
      </c>
      <c r="G184" s="2655"/>
    </row>
    <row r="185" spans="1:7" s="2644" customFormat="1">
      <c r="A185" s="2655" t="s">
        <v>32</v>
      </c>
      <c r="B185" s="2655" t="s">
        <v>2969</v>
      </c>
      <c r="C185" s="2655"/>
      <c r="D185" s="2655"/>
      <c r="E185" s="2655"/>
      <c r="F185" s="2655">
        <v>2530</v>
      </c>
      <c r="G185" s="2655"/>
    </row>
    <row r="186" spans="1:7" s="2644" customFormat="1">
      <c r="A186" s="2655" t="s">
        <v>32</v>
      </c>
      <c r="B186" s="2655" t="s">
        <v>2970</v>
      </c>
      <c r="C186" s="2655"/>
      <c r="D186" s="2655"/>
      <c r="E186" s="2655"/>
      <c r="F186" s="2655">
        <v>2550</v>
      </c>
      <c r="G186" s="2655"/>
    </row>
    <row r="187" spans="1:7" s="2644" customFormat="1">
      <c r="A187" s="2655" t="s">
        <v>32</v>
      </c>
      <c r="B187" s="2655" t="s">
        <v>2971</v>
      </c>
      <c r="C187" s="2655"/>
      <c r="D187" s="2655"/>
      <c r="E187" s="2655"/>
      <c r="F187" s="2655">
        <v>2070</v>
      </c>
      <c r="G187" s="2655"/>
    </row>
    <row r="188" spans="1:7" s="2644" customFormat="1">
      <c r="A188" s="2655" t="s">
        <v>32</v>
      </c>
      <c r="B188" s="2655" t="s">
        <v>2972</v>
      </c>
      <c r="C188" s="2655"/>
      <c r="D188" s="2655"/>
      <c r="E188" s="2655"/>
      <c r="F188" s="2655">
        <v>2340</v>
      </c>
      <c r="G188" s="2655"/>
    </row>
    <row r="189" spans="1:7" s="2644" customFormat="1" ht="12" thickBot="1">
      <c r="A189" s="2663" t="s">
        <v>32</v>
      </c>
      <c r="B189" s="2666" t="s">
        <v>2973</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2982</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2974</v>
      </c>
      <c r="C204" s="2655">
        <v>8350</v>
      </c>
      <c r="D204" s="2655">
        <v>8290</v>
      </c>
      <c r="E204" s="2655">
        <v>11080</v>
      </c>
      <c r="F204" s="2655">
        <v>1450</v>
      </c>
      <c r="G204" s="2668">
        <v>5240</v>
      </c>
    </row>
    <row r="205" spans="1:7" s="2644" customFormat="1">
      <c r="A205" s="2655" t="s">
        <v>420</v>
      </c>
      <c r="B205" s="2655" t="s">
        <v>2975</v>
      </c>
      <c r="C205" s="2655">
        <v>7190</v>
      </c>
      <c r="D205" s="2655">
        <v>7130</v>
      </c>
      <c r="E205" s="2655">
        <v>9490</v>
      </c>
      <c r="F205" s="2655">
        <v>1470</v>
      </c>
      <c r="G205" s="2668">
        <v>4510</v>
      </c>
    </row>
    <row r="206" spans="1:7" s="2644" customFormat="1">
      <c r="A206" s="2655" t="s">
        <v>420</v>
      </c>
      <c r="B206" s="2655" t="s">
        <v>2976</v>
      </c>
      <c r="C206" s="2655">
        <v>7000</v>
      </c>
      <c r="D206" s="2655">
        <v>6950</v>
      </c>
      <c r="E206" s="2655">
        <v>9170</v>
      </c>
      <c r="F206" s="2655">
        <v>1400</v>
      </c>
      <c r="G206" s="2668">
        <v>4380</v>
      </c>
    </row>
    <row r="207" spans="1:7" s="2644" customFormat="1">
      <c r="A207" s="2655" t="s">
        <v>420</v>
      </c>
      <c r="B207" s="2655" t="s">
        <v>2977</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2978</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2979</v>
      </c>
      <c r="C214" s="2655">
        <v>8090</v>
      </c>
      <c r="D214" s="2655">
        <v>8030</v>
      </c>
      <c r="E214" s="2655">
        <v>10780</v>
      </c>
      <c r="F214" s="2655">
        <v>1570</v>
      </c>
      <c r="G214" s="2668">
        <v>5070</v>
      </c>
    </row>
    <row r="215" spans="1:7" s="2644" customFormat="1">
      <c r="A215" s="2655" t="s">
        <v>420</v>
      </c>
      <c r="B215" s="2655" t="s">
        <v>2980</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2981</v>
      </c>
      <c r="C217" s="2655">
        <v>8200</v>
      </c>
      <c r="D217" s="2655">
        <v>8150</v>
      </c>
      <c r="E217" s="2655">
        <v>10910</v>
      </c>
      <c r="F217" s="2655">
        <v>1670</v>
      </c>
      <c r="G217" s="2668">
        <v>5150</v>
      </c>
    </row>
    <row r="218" spans="1:7" s="2644" customFormat="1">
      <c r="A218" s="2655" t="s">
        <v>420</v>
      </c>
      <c r="B218" s="2655" t="s">
        <v>2983</v>
      </c>
      <c r="C218" s="2655"/>
      <c r="D218" s="2655"/>
      <c r="E218" s="2655"/>
      <c r="F218" s="2655">
        <v>2040</v>
      </c>
      <c r="G218" s="2668"/>
    </row>
    <row r="219" spans="1:7" s="2644" customFormat="1">
      <c r="A219" s="2655" t="s">
        <v>420</v>
      </c>
      <c r="B219" s="2655" t="s">
        <v>2984</v>
      </c>
      <c r="C219" s="2655"/>
      <c r="D219" s="2655"/>
      <c r="E219" s="2655"/>
      <c r="F219" s="2655">
        <v>2040</v>
      </c>
      <c r="G219" s="2668"/>
    </row>
    <row r="220" spans="1:7" s="2644" customFormat="1">
      <c r="A220" s="2655" t="s">
        <v>420</v>
      </c>
      <c r="B220" s="2655" t="s">
        <v>2997</v>
      </c>
      <c r="C220" s="2655"/>
      <c r="D220" s="2655"/>
      <c r="E220" s="2655"/>
      <c r="F220" s="2655">
        <v>2040</v>
      </c>
      <c r="G220" s="2668"/>
    </row>
    <row r="221" spans="1:7" s="2644" customFormat="1">
      <c r="A221" s="2655" t="s">
        <v>420</v>
      </c>
      <c r="B221" s="2655" t="s">
        <v>2998</v>
      </c>
      <c r="C221" s="2655"/>
      <c r="D221" s="2655"/>
      <c r="E221" s="2655"/>
      <c r="F221" s="2655">
        <v>2040</v>
      </c>
      <c r="G221" s="2668"/>
    </row>
    <row r="222" spans="1:7" s="2644" customFormat="1">
      <c r="A222" s="2655" t="s">
        <v>420</v>
      </c>
      <c r="B222" s="2655" t="s">
        <v>3003</v>
      </c>
      <c r="C222" s="2655"/>
      <c r="D222" s="2655"/>
      <c r="E222" s="2655"/>
      <c r="F222" s="2655">
        <v>2040</v>
      </c>
      <c r="G222" s="2668"/>
    </row>
    <row r="223" spans="1:7" s="2644" customFormat="1">
      <c r="A223" s="2655" t="s">
        <v>420</v>
      </c>
      <c r="B223" s="2655" t="s">
        <v>2985</v>
      </c>
      <c r="C223" s="2655"/>
      <c r="D223" s="2655"/>
      <c r="E223" s="2655"/>
      <c r="F223" s="2655">
        <v>1930</v>
      </c>
      <c r="G223" s="2668"/>
    </row>
    <row r="224" spans="1:7" s="2644" customFormat="1">
      <c r="A224" s="2655" t="s">
        <v>420</v>
      </c>
      <c r="B224" s="2655" t="s">
        <v>2986</v>
      </c>
      <c r="C224" s="2655"/>
      <c r="D224" s="2655"/>
      <c r="E224" s="2655"/>
      <c r="F224" s="2655">
        <v>1930</v>
      </c>
      <c r="G224" s="2668"/>
    </row>
    <row r="225" spans="1:7" s="2644" customFormat="1">
      <c r="A225" s="2655" t="s">
        <v>420</v>
      </c>
      <c r="B225" s="2655" t="s">
        <v>2987</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3047</v>
      </c>
      <c r="C227" s="2655"/>
      <c r="D227" s="2655"/>
      <c r="E227" s="2655"/>
      <c r="F227" s="2655">
        <v>1520</v>
      </c>
      <c r="G227" s="2668"/>
    </row>
    <row r="228" spans="1:7" s="2644" customFormat="1">
      <c r="A228" s="2655" t="s">
        <v>420</v>
      </c>
      <c r="B228" s="2655" t="s">
        <v>3048</v>
      </c>
      <c r="C228" s="2655"/>
      <c r="D228" s="2655"/>
      <c r="E228" s="2655"/>
      <c r="F228" s="2655">
        <v>1520</v>
      </c>
      <c r="G228" s="2668"/>
    </row>
    <row r="229" spans="1:7" s="2644" customFormat="1">
      <c r="A229" s="2655" t="s">
        <v>420</v>
      </c>
      <c r="B229" s="2655" t="s">
        <v>3049</v>
      </c>
      <c r="C229" s="2655"/>
      <c r="D229" s="2655"/>
      <c r="E229" s="2655"/>
      <c r="F229" s="2655">
        <v>1520</v>
      </c>
      <c r="G229" s="2668"/>
    </row>
    <row r="230" spans="1:7" s="2644" customFormat="1">
      <c r="A230" s="2655" t="s">
        <v>420</v>
      </c>
      <c r="B230" s="2655" t="s">
        <v>2993</v>
      </c>
      <c r="C230" s="2655"/>
      <c r="D230" s="2655"/>
      <c r="E230" s="2655"/>
      <c r="F230" s="2655">
        <v>1820</v>
      </c>
      <c r="G230" s="2668"/>
    </row>
    <row r="231" spans="1:7" s="2644" customFormat="1">
      <c r="A231" s="2655" t="s">
        <v>420</v>
      </c>
      <c r="B231" s="2655" t="s">
        <v>2991</v>
      </c>
      <c r="C231" s="2655"/>
      <c r="D231" s="2655"/>
      <c r="E231" s="2655"/>
      <c r="F231" s="2655">
        <v>1760</v>
      </c>
      <c r="G231" s="2668"/>
    </row>
    <row r="232" spans="1:7" s="2644" customFormat="1">
      <c r="A232" s="2655" t="s">
        <v>420</v>
      </c>
      <c r="B232" s="2655" t="s">
        <v>3050</v>
      </c>
      <c r="C232" s="2655"/>
      <c r="D232" s="2655"/>
      <c r="E232" s="2655"/>
      <c r="F232" s="2655">
        <v>1840</v>
      </c>
      <c r="G232" s="2668"/>
    </row>
    <row r="233" spans="1:7" s="2644" customFormat="1" ht="12" thickBot="1">
      <c r="A233" s="2669" t="s">
        <v>420</v>
      </c>
      <c r="B233" s="2662" t="s">
        <v>2992</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2994</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2995</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3008</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2996</v>
      </c>
      <c r="C265" s="2655"/>
      <c r="D265" s="2655"/>
      <c r="E265" s="2655"/>
      <c r="F265" s="2655">
        <v>1500</v>
      </c>
      <c r="G265" s="2655"/>
    </row>
    <row r="266" spans="1:7" s="2644" customFormat="1">
      <c r="A266" s="2655" t="s">
        <v>422</v>
      </c>
      <c r="B266" s="2655" t="s">
        <v>3006</v>
      </c>
      <c r="C266" s="2655"/>
      <c r="D266" s="2655"/>
      <c r="E266" s="2655"/>
      <c r="F266" s="2655">
        <v>1500</v>
      </c>
      <c r="G266" s="2655"/>
    </row>
    <row r="267" spans="1:7" s="2644" customFormat="1">
      <c r="A267" s="2655" t="s">
        <v>422</v>
      </c>
      <c r="B267" s="2655" t="s">
        <v>2999</v>
      </c>
      <c r="C267" s="2655"/>
      <c r="D267" s="2655"/>
      <c r="E267" s="2655"/>
      <c r="F267" s="2655">
        <v>1500</v>
      </c>
      <c r="G267" s="2655"/>
    </row>
    <row r="268" spans="1:7" s="2644" customFormat="1">
      <c r="A268" s="2655" t="s">
        <v>422</v>
      </c>
      <c r="B268" s="2655" t="s">
        <v>3000</v>
      </c>
      <c r="C268" s="2655"/>
      <c r="D268" s="2655"/>
      <c r="E268" s="2655"/>
      <c r="F268" s="2655">
        <v>1290</v>
      </c>
      <c r="G268" s="2655"/>
    </row>
    <row r="269" spans="1:7" s="2644" customFormat="1">
      <c r="A269" s="2655" t="s">
        <v>422</v>
      </c>
      <c r="B269" s="2655" t="s">
        <v>3001</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3002</v>
      </c>
      <c r="C271" s="2655"/>
      <c r="D271" s="2655"/>
      <c r="E271" s="2655"/>
      <c r="F271" s="2655">
        <v>1460</v>
      </c>
      <c r="G271" s="2655"/>
    </row>
    <row r="272" spans="1:7" s="2644" customFormat="1">
      <c r="A272" s="2655" t="s">
        <v>422</v>
      </c>
      <c r="B272" s="2655" t="s">
        <v>3004</v>
      </c>
      <c r="C272" s="2655"/>
      <c r="D272" s="2655"/>
      <c r="E272" s="2655"/>
      <c r="F272" s="2655">
        <v>1460</v>
      </c>
      <c r="G272" s="2655"/>
    </row>
    <row r="273" spans="1:7" s="2644" customFormat="1">
      <c r="A273" s="2655" t="s">
        <v>422</v>
      </c>
      <c r="B273" s="2655" t="s">
        <v>3007</v>
      </c>
      <c r="C273" s="2655"/>
      <c r="D273" s="2655"/>
      <c r="E273" s="2655"/>
      <c r="F273" s="2655">
        <v>1490</v>
      </c>
      <c r="G273" s="2655"/>
    </row>
    <row r="274" spans="1:7" s="2644" customFormat="1">
      <c r="A274" s="2655" t="s">
        <v>422</v>
      </c>
      <c r="B274" s="2655" t="s">
        <v>3005</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3009</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3010</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3011</v>
      </c>
      <c r="C303" s="2655">
        <v>5630</v>
      </c>
      <c r="D303" s="2655">
        <v>5590</v>
      </c>
      <c r="E303" s="2655">
        <v>6550</v>
      </c>
      <c r="F303" s="2655">
        <v>1010</v>
      </c>
      <c r="G303" s="2668">
        <v>3370</v>
      </c>
    </row>
    <row r="304" spans="1:7" s="2644" customFormat="1">
      <c r="A304" s="2655" t="s">
        <v>424</v>
      </c>
      <c r="B304" s="2655" t="s">
        <v>3012</v>
      </c>
      <c r="C304" s="2655">
        <v>5680</v>
      </c>
      <c r="D304" s="2655">
        <v>5620</v>
      </c>
      <c r="E304" s="2655">
        <v>6620</v>
      </c>
      <c r="F304" s="2655">
        <v>1050</v>
      </c>
      <c r="G304" s="2668">
        <v>3390</v>
      </c>
    </row>
    <row r="305" spans="1:7" s="2644" customFormat="1">
      <c r="A305" s="2655" t="s">
        <v>424</v>
      </c>
      <c r="B305" s="2655" t="s">
        <v>3013</v>
      </c>
      <c r="C305" s="2655">
        <v>5590</v>
      </c>
      <c r="D305" s="2655">
        <v>5530</v>
      </c>
      <c r="E305" s="2655">
        <v>6460</v>
      </c>
      <c r="F305" s="2655">
        <v>900</v>
      </c>
      <c r="G305" s="2668">
        <v>3340</v>
      </c>
    </row>
    <row r="306" spans="1:7" s="2644" customFormat="1">
      <c r="A306" s="2655" t="s">
        <v>424</v>
      </c>
      <c r="B306" s="2655" t="s">
        <v>3014</v>
      </c>
      <c r="C306" s="2655">
        <v>5560</v>
      </c>
      <c r="D306" s="2655">
        <v>5510</v>
      </c>
      <c r="E306" s="2655">
        <v>6440</v>
      </c>
      <c r="F306" s="2655">
        <v>900</v>
      </c>
      <c r="G306" s="2668">
        <v>3320</v>
      </c>
    </row>
    <row r="307" spans="1:7" s="2644" customFormat="1">
      <c r="A307" s="2655" t="s">
        <v>424</v>
      </c>
      <c r="B307" s="2655" t="s">
        <v>3015</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3016</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3017</v>
      </c>
      <c r="C312" s="2655">
        <v>4690</v>
      </c>
      <c r="D312" s="2655">
        <v>4640</v>
      </c>
      <c r="E312" s="2655">
        <v>5420</v>
      </c>
      <c r="F312" s="2655">
        <v>800</v>
      </c>
      <c r="G312" s="2668">
        <v>2800</v>
      </c>
    </row>
    <row r="313" spans="1:7" s="2644" customFormat="1">
      <c r="A313" s="2655" t="s">
        <v>424</v>
      </c>
      <c r="B313" s="2655" t="s">
        <v>3018</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3019</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3020</v>
      </c>
      <c r="C325" s="2655"/>
      <c r="D325" s="2655"/>
      <c r="E325" s="2655"/>
      <c r="F325" s="2655">
        <v>900</v>
      </c>
      <c r="G325" s="2668"/>
    </row>
    <row r="326" spans="1:7" s="2644" customFormat="1" ht="12" thickBot="1">
      <c r="A326" s="2669" t="s">
        <v>424</v>
      </c>
      <c r="B326" s="2662" t="s">
        <v>3021</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3022</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3023</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3024</v>
      </c>
      <c r="C345" s="2655">
        <v>3190</v>
      </c>
      <c r="D345" s="2655">
        <v>3140</v>
      </c>
      <c r="E345" s="2655">
        <v>3450</v>
      </c>
      <c r="F345" s="2655">
        <v>720</v>
      </c>
      <c r="G345" s="2655">
        <v>1880</v>
      </c>
      <c r="J345" s="2644"/>
    </row>
    <row r="346" spans="1:10">
      <c r="A346" s="2655" t="s">
        <v>428</v>
      </c>
      <c r="B346" s="2655" t="s">
        <v>3025</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3026</v>
      </c>
      <c r="C348" s="2655">
        <v>4000</v>
      </c>
      <c r="D348" s="2655">
        <v>3950</v>
      </c>
      <c r="E348" s="2655">
        <v>4430</v>
      </c>
      <c r="F348" s="2655">
        <v>760</v>
      </c>
      <c r="G348" s="2655">
        <v>2360</v>
      </c>
      <c r="J348" s="2644"/>
    </row>
    <row r="349" spans="1:10">
      <c r="A349" s="2655" t="s">
        <v>428</v>
      </c>
      <c r="B349" s="2655" t="s">
        <v>3027</v>
      </c>
      <c r="C349" s="2655">
        <v>3820</v>
      </c>
      <c r="D349" s="2655">
        <v>3780</v>
      </c>
      <c r="E349" s="2655">
        <v>4170</v>
      </c>
      <c r="F349" s="2655">
        <v>710</v>
      </c>
      <c r="G349" s="2655">
        <v>2260</v>
      </c>
      <c r="J349" s="2644"/>
    </row>
    <row r="350" spans="1:10">
      <c r="A350" s="2655" t="s">
        <v>428</v>
      </c>
      <c r="B350" s="2655" t="s">
        <v>3028</v>
      </c>
      <c r="C350" s="2655">
        <v>3760</v>
      </c>
      <c r="D350" s="2655">
        <v>3730</v>
      </c>
      <c r="E350" s="2655">
        <v>4100</v>
      </c>
      <c r="F350" s="2655">
        <v>800</v>
      </c>
      <c r="G350" s="2655">
        <v>2230</v>
      </c>
      <c r="J350" s="2644"/>
    </row>
    <row r="351" spans="1:10">
      <c r="A351" s="2655" t="s">
        <v>428</v>
      </c>
      <c r="B351" s="2655" t="s">
        <v>3029</v>
      </c>
      <c r="C351" s="2655">
        <v>3610</v>
      </c>
      <c r="D351" s="2655">
        <v>3580</v>
      </c>
      <c r="E351" s="2655">
        <v>3930</v>
      </c>
      <c r="F351" s="2655">
        <v>700</v>
      </c>
      <c r="G351" s="2655">
        <v>2140</v>
      </c>
      <c r="J351" s="2644"/>
    </row>
    <row r="352" spans="1:10">
      <c r="A352" s="2655" t="s">
        <v>428</v>
      </c>
      <c r="B352" s="2655" t="s">
        <v>3030</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3031</v>
      </c>
      <c r="C355" s="2655">
        <v>3650</v>
      </c>
      <c r="D355" s="2655">
        <v>3610</v>
      </c>
      <c r="E355" s="2655">
        <v>4200</v>
      </c>
      <c r="F355" s="2655">
        <v>640</v>
      </c>
      <c r="G355" s="2655">
        <v>2160</v>
      </c>
    </row>
    <row r="356" spans="1:7">
      <c r="A356" s="2655" t="s">
        <v>428</v>
      </c>
      <c r="B356" s="2655" t="s">
        <v>3032</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3033</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3034</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3035</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3036</v>
      </c>
      <c r="C381" s="2655">
        <v>1460</v>
      </c>
      <c r="D381" s="2655">
        <v>1430</v>
      </c>
      <c r="E381" s="2655">
        <v>1390</v>
      </c>
      <c r="F381" s="2655">
        <v>450</v>
      </c>
      <c r="G381" s="2668">
        <v>900</v>
      </c>
    </row>
    <row r="382" spans="1:7">
      <c r="A382" s="2673" t="s">
        <v>290</v>
      </c>
      <c r="B382" s="2655" t="s">
        <v>3037</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1" t="s">
        <v>601</v>
      </c>
      <c r="B1" s="3311"/>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44784</v>
      </c>
      <c r="D1" s="2677" t="s">
        <v>816</v>
      </c>
      <c r="E1" s="2678">
        <f>'数据-取费表'!B22</f>
        <v>0</v>
      </c>
      <c r="F1" s="2677" t="s">
        <v>817</v>
      </c>
      <c r="G1" s="2679" t="e">
        <f ca="1">INDIRECT("d"&amp;$K$1)/100</f>
        <v>#VALUE!</v>
      </c>
      <c r="H1" s="2677" t="s">
        <v>847</v>
      </c>
      <c r="I1" s="2831">
        <f ca="1">F4/100</f>
        <v>1.4999999999999999E-2</v>
      </c>
      <c r="J1" s="2680">
        <f>IF(C1&gt;C13,0,MATCH(C1,C$13:C$107,-1))+IF(SUMIF(C13:C107,C1,D13:D107)=0,13,12)</f>
        <v>13</v>
      </c>
      <c r="K1" s="2680">
        <f ca="1">MATCH(E1,C3:C7,1)+IF(SUMIF(C3:C7,E1,D3:D7)=0,2,1)</f>
        <v>2</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2575</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5"/>
  </cols>
  <sheetData>
    <row r="1" spans="1:6">
      <c r="A1" s="3312" t="s">
        <v>2706</v>
      </c>
      <c r="B1" s="3312"/>
      <c r="C1" s="3312"/>
      <c r="D1" s="3312"/>
      <c r="E1" s="3312"/>
      <c r="F1" s="3313"/>
    </row>
    <row r="2" spans="1:6">
      <c r="A2" s="2740" t="s">
        <v>3046</v>
      </c>
      <c r="B2" s="2741"/>
      <c r="C2" s="2741"/>
      <c r="D2" s="2741"/>
      <c r="E2" s="2741"/>
      <c r="F2" s="2741"/>
    </row>
    <row r="3" spans="1:6">
      <c r="A3" s="2740" t="s">
        <v>3054</v>
      </c>
      <c r="B3" s="2741"/>
      <c r="C3" s="2741"/>
      <c r="D3" s="2741"/>
      <c r="E3" s="2741"/>
      <c r="F3" s="2742" t="s">
        <v>3055</v>
      </c>
    </row>
    <row r="4" spans="1:6">
      <c r="A4" s="2743" t="s">
        <v>885</v>
      </c>
      <c r="B4" s="2743" t="s">
        <v>886</v>
      </c>
      <c r="C4" s="2743" t="s">
        <v>24</v>
      </c>
      <c r="D4" s="2743" t="s">
        <v>887</v>
      </c>
      <c r="E4" s="2743" t="s">
        <v>3</v>
      </c>
      <c r="F4" s="2743" t="s">
        <v>2707</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1145</v>
      </c>
      <c r="B2" s="3007" t="s">
        <v>1146</v>
      </c>
      <c r="C2" s="3007" t="s">
        <v>1147</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2"/>
      <c r="B3" s="3002"/>
      <c r="C3" s="3002"/>
      <c r="D3" s="2769" t="s">
        <v>1142</v>
      </c>
      <c r="E3" s="2769" t="s">
        <v>1148</v>
      </c>
      <c r="F3" s="2769" t="s">
        <v>1142</v>
      </c>
      <c r="G3" s="2769" t="s">
        <v>1143</v>
      </c>
      <c r="H3" s="2769" t="s">
        <v>1142</v>
      </c>
      <c r="I3" s="2769" t="s">
        <v>1143</v>
      </c>
    </row>
    <row r="4" spans="1:9" ht="15">
      <c r="A4" s="2770" t="str">
        <f>项目基本情况!S2</f>
        <v>北京市房地产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02" t="s">
        <v>1144</v>
      </c>
      <c r="B5" s="3002"/>
      <c r="C5" s="3002"/>
      <c r="D5" s="3002" t="e">
        <f ca="1">结果表!D119</f>
        <v>#REF!</v>
      </c>
      <c r="E5" s="3002"/>
      <c r="F5" s="3002" t="e">
        <f ca="1">结果表!F119</f>
        <v>#REF!</v>
      </c>
      <c r="G5" s="3002"/>
      <c r="H5" s="3002" t="e">
        <f ca="1">结果表!H119</f>
        <v>#REF!</v>
      </c>
      <c r="I5" s="3002"/>
    </row>
    <row r="6" spans="1:9" ht="15.75">
      <c r="A6" s="3001" t="str">
        <f>结果表!A120</f>
        <v>估价师知悉的法定优先受偿款</v>
      </c>
      <c r="B6" s="3001"/>
      <c r="C6" s="3001"/>
      <c r="D6" s="3001">
        <f>结果表!D120</f>
        <v>0</v>
      </c>
      <c r="E6" s="3001"/>
      <c r="F6" s="3001"/>
      <c r="G6" s="3001"/>
      <c r="H6" s="3001"/>
      <c r="I6" s="3001"/>
    </row>
    <row r="7" spans="1:9" ht="15">
      <c r="A7" s="3002" t="s">
        <v>1144</v>
      </c>
      <c r="B7" s="3002"/>
      <c r="C7" s="3002"/>
      <c r="D7" s="3003" t="str">
        <f>结果表!D121</f>
        <v>零元整</v>
      </c>
      <c r="E7" s="3004"/>
      <c r="F7" s="3004"/>
      <c r="G7" s="3004"/>
      <c r="H7" s="3004"/>
      <c r="I7" s="3005"/>
    </row>
    <row r="8" spans="1:9" ht="15.75">
      <c r="A8" s="3001" t="str">
        <f>结果表!A122</f>
        <v>房地产抵押价值</v>
      </c>
      <c r="B8" s="3001"/>
      <c r="C8" s="3001"/>
      <c r="D8" s="3001" t="e">
        <f ca="1">结果表!D122</f>
        <v>#REF!</v>
      </c>
      <c r="E8" s="3001"/>
      <c r="F8" s="3001"/>
      <c r="G8" s="3001"/>
      <c r="H8" s="3001"/>
      <c r="I8" s="3001"/>
    </row>
    <row r="9" spans="1:9" ht="15">
      <c r="A9" s="3002" t="s">
        <v>1144</v>
      </c>
      <c r="B9" s="3002"/>
      <c r="C9" s="3002"/>
      <c r="D9" s="3002" t="e">
        <f ca="1">结果表!D123</f>
        <v>#REF!</v>
      </c>
      <c r="E9" s="3002"/>
      <c r="F9" s="3002"/>
      <c r="G9" s="3002"/>
      <c r="H9" s="3002"/>
      <c r="I9" s="3002"/>
    </row>
    <row r="10" spans="1:9" ht="15.75">
      <c r="A10" s="3001" t="str">
        <f>结果表!A124</f>
        <v/>
      </c>
      <c r="B10" s="3001"/>
      <c r="C10" s="3001"/>
      <c r="D10" s="3001" t="str">
        <f>结果表!D124</f>
        <v>——</v>
      </c>
      <c r="E10" s="3001"/>
      <c r="F10" s="3001"/>
      <c r="G10" s="3001"/>
      <c r="H10" s="3001"/>
      <c r="I10" s="3001"/>
    </row>
    <row r="11" spans="1:9" ht="15">
      <c r="A11" s="3002" t="s">
        <v>1144</v>
      </c>
      <c r="B11" s="3002"/>
      <c r="C11" s="3002"/>
      <c r="D11" s="3002" t="e">
        <f>结果表!D125</f>
        <v>#VALUE!</v>
      </c>
      <c r="E11" s="3002"/>
      <c r="F11" s="3002"/>
      <c r="G11" s="3002"/>
      <c r="H11" s="3002"/>
      <c r="I11" s="3002"/>
    </row>
    <row r="12" spans="1:9" ht="15.75">
      <c r="A12" s="3001" t="str">
        <f>结果表!A126</f>
        <v/>
      </c>
      <c r="B12" s="3001"/>
      <c r="C12" s="3001"/>
      <c r="D12" s="3001" t="str">
        <f>结果表!D126</f>
        <v>——</v>
      </c>
      <c r="E12" s="3001"/>
      <c r="F12" s="3001"/>
      <c r="G12" s="3001"/>
      <c r="H12" s="3001"/>
      <c r="I12" s="3001"/>
    </row>
    <row r="13" spans="1:9" ht="15.75" thickBot="1">
      <c r="A13" s="2999" t="s">
        <v>1144</v>
      </c>
      <c r="B13" s="2999"/>
      <c r="C13" s="2999"/>
      <c r="D13" s="2999" t="e">
        <f>结果表!D127</f>
        <v>#VALUE!</v>
      </c>
      <c r="E13" s="2999"/>
      <c r="F13" s="2999"/>
      <c r="G13" s="2999"/>
      <c r="H13" s="2999"/>
      <c r="I13" s="2999"/>
    </row>
    <row r="14" spans="1:9" ht="15" thickTop="1">
      <c r="A14" s="3000" t="s">
        <v>1149</v>
      </c>
      <c r="B14" s="3000"/>
      <c r="C14" s="3000"/>
      <c r="D14" s="3000"/>
      <c r="E14" s="3000"/>
      <c r="F14" s="3000"/>
      <c r="G14" s="3000"/>
      <c r="H14" s="3000"/>
      <c r="I14" s="3000"/>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4" t="s">
        <v>1166</v>
      </c>
      <c r="B1" s="3014"/>
      <c r="C1" s="3014"/>
      <c r="D1" s="3014"/>
    </row>
    <row r="2" spans="1:4" ht="18">
      <c r="A2" s="3015" t="s">
        <v>1150</v>
      </c>
      <c r="B2" s="3015"/>
      <c r="C2" s="3015"/>
      <c r="D2" s="3015"/>
    </row>
    <row r="3" spans="1:4" ht="18.75">
      <c r="A3" s="2793" t="s">
        <v>1151</v>
      </c>
      <c r="B3" s="2793" t="s">
        <v>1152</v>
      </c>
      <c r="C3" s="2793" t="s">
        <v>1153</v>
      </c>
      <c r="D3" s="2793" t="s">
        <v>1154</v>
      </c>
    </row>
    <row r="4" spans="1:4" ht="56.25" customHeight="1">
      <c r="A4" s="2794">
        <f>项目基本情况!B4</f>
        <v>0</v>
      </c>
      <c r="B4" s="2795">
        <f>项目基本情况!C4</f>
        <v>0</v>
      </c>
      <c r="C4" s="2796"/>
      <c r="D4" s="2797" t="s">
        <v>1155</v>
      </c>
    </row>
    <row r="5" spans="1:4" ht="56.25" customHeight="1">
      <c r="A5" s="2794">
        <f>项目基本情况!D4</f>
        <v>0</v>
      </c>
      <c r="B5" s="2795">
        <f>项目基本情况!E4</f>
        <v>0</v>
      </c>
      <c r="C5" s="2798"/>
      <c r="D5" s="2797" t="s">
        <v>1155</v>
      </c>
    </row>
    <row r="6" spans="1:4" ht="18">
      <c r="A6" s="3015" t="s">
        <v>1156</v>
      </c>
      <c r="B6" s="3015"/>
      <c r="C6" s="3015"/>
      <c r="D6" s="3015"/>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16" t="s">
        <v>1159</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1160</v>
      </c>
      <c r="B16" s="3010"/>
      <c r="C16" s="3010"/>
      <c r="D16" s="3010"/>
    </row>
    <row r="17" spans="1:4" ht="144" customHeight="1">
      <c r="A17" s="3010" t="s">
        <v>1161</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1162</v>
      </c>
      <c r="B22" s="3012"/>
      <c r="C22" s="3012"/>
      <c r="D22" s="3012"/>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09">
        <v>42551</v>
      </c>
      <c r="D31" s="3009"/>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2" t="s">
        <v>1173</v>
      </c>
      <c r="B15" s="3017" t="s">
        <v>112</v>
      </c>
      <c r="C15" s="3018"/>
    </row>
    <row r="16" spans="1:7" ht="13.5">
      <c r="A16" s="3023"/>
      <c r="B16" s="3017" t="s">
        <v>45</v>
      </c>
      <c r="C16" s="3018"/>
    </row>
    <row r="17" spans="1:3" ht="13.5">
      <c r="A17" s="3023"/>
      <c r="B17" s="3020" t="s">
        <v>1174</v>
      </c>
      <c r="C17" s="203" t="s">
        <v>1173</v>
      </c>
    </row>
    <row r="18" spans="1:3" ht="13.5">
      <c r="A18" s="3023"/>
      <c r="B18" s="3020"/>
      <c r="C18" s="203" t="s">
        <v>1175</v>
      </c>
    </row>
    <row r="19" spans="1:3" ht="13.5">
      <c r="A19" s="3023"/>
      <c r="B19" s="3020"/>
      <c r="C19" s="203" t="s">
        <v>1176</v>
      </c>
    </row>
    <row r="20" spans="1:3" ht="13.5">
      <c r="A20" s="3024"/>
      <c r="B20" s="3019" t="s">
        <v>1177</v>
      </c>
      <c r="C20" s="3018"/>
    </row>
    <row r="21" spans="1:3" ht="13.5">
      <c r="A21" s="204" t="s">
        <v>1178</v>
      </c>
      <c r="B21" s="205"/>
      <c r="C21" s="206"/>
    </row>
    <row r="22" spans="1:3" ht="13.5">
      <c r="A22" s="3021" t="s">
        <v>1179</v>
      </c>
      <c r="B22" s="3019" t="s">
        <v>1180</v>
      </c>
      <c r="C22" s="3018"/>
    </row>
    <row r="23" spans="1:3" ht="13.5">
      <c r="A23" s="3021"/>
      <c r="B23" s="3019" t="s">
        <v>1181</v>
      </c>
      <c r="C23" s="3018"/>
    </row>
    <row r="24" spans="1:3" ht="13.5">
      <c r="A24" s="3021"/>
      <c r="B24" s="3019" t="s">
        <v>1182</v>
      </c>
      <c r="C24" s="3018"/>
    </row>
    <row r="25" spans="1:3" ht="13.5">
      <c r="A25" s="3021"/>
      <c r="B25" s="3020" t="s">
        <v>1183</v>
      </c>
      <c r="C25" s="203" t="s">
        <v>1184</v>
      </c>
    </row>
    <row r="26" spans="1:3" ht="13.5">
      <c r="A26" s="3021"/>
      <c r="B26" s="3020"/>
      <c r="C26" s="203" t="s">
        <v>1185</v>
      </c>
    </row>
    <row r="27" spans="1:3" ht="13.5">
      <c r="A27" s="3021"/>
      <c r="B27" s="3020"/>
      <c r="C27" s="203" t="s">
        <v>1186</v>
      </c>
    </row>
    <row r="28" spans="1:3" ht="13.5">
      <c r="A28" s="3021"/>
      <c r="B28" s="3020"/>
      <c r="C28" s="203" t="s">
        <v>1187</v>
      </c>
    </row>
    <row r="29" spans="1:3" ht="13.5">
      <c r="A29" s="3021"/>
      <c r="B29" s="3020"/>
      <c r="C29" s="203" t="s">
        <v>1188</v>
      </c>
    </row>
    <row r="30" spans="1:3" ht="13.5">
      <c r="A30" s="3021"/>
      <c r="B30" s="3020"/>
      <c r="C30" s="203" t="s">
        <v>1189</v>
      </c>
    </row>
    <row r="31" spans="1:3" ht="13.5">
      <c r="A31" s="3021"/>
      <c r="B31" s="3020"/>
      <c r="C31" s="203" t="s">
        <v>1190</v>
      </c>
    </row>
    <row r="32" spans="1:3" ht="13.5">
      <c r="A32" s="3021"/>
      <c r="B32" s="3020"/>
      <c r="C32" s="203" t="s">
        <v>1191</v>
      </c>
    </row>
    <row r="33" spans="1:3" ht="13.5">
      <c r="A33" s="3021"/>
      <c r="B33" s="3020"/>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44784</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5">
        <v>44876</v>
      </c>
      <c r="D4" s="573" t="str">
        <f ca="1">A4&amp;"（注册号："&amp;B4&amp;"）"</f>
        <v>梁津（注册号：1119970066）</v>
      </c>
      <c r="E4" s="574" t="s">
        <v>2406</v>
      </c>
      <c r="F4" s="572">
        <f ca="1">IF(G4&lt;B2,"已过期",96010014)</f>
        <v>96010014</v>
      </c>
      <c r="G4" s="2805">
        <v>47118</v>
      </c>
      <c r="H4" s="575" t="str">
        <f ca="1">E4&amp;"（注册号："&amp;F4&amp;"）"</f>
        <v>梁津（注册号：96010014）</v>
      </c>
    </row>
    <row r="5" spans="1:8" ht="24" customHeight="1">
      <c r="A5" s="572" t="s">
        <v>2407</v>
      </c>
      <c r="B5" s="572">
        <f ca="1">IF(C5&lt;B2,"已过期",1119970111)</f>
        <v>1119970111</v>
      </c>
      <c r="C5" s="2805">
        <v>44876</v>
      </c>
      <c r="D5" s="573" t="str">
        <f t="shared" ref="D5:D15" ca="1" si="0">A5&amp;"（注册号："&amp;B5&amp;"）"</f>
        <v>叶凌（注册号：1119970111）</v>
      </c>
      <c r="E5" s="574" t="s">
        <v>2407</v>
      </c>
      <c r="F5" s="572">
        <f ca="1">IF(G5&lt;B2,"已过期",94010078)</f>
        <v>94010078</v>
      </c>
      <c r="G5" s="2805">
        <v>46387</v>
      </c>
      <c r="H5" s="575" t="str">
        <f t="shared" ref="H5:H16" ca="1" si="1">E5&amp;"（注册号："&amp;F5&amp;"）"</f>
        <v>叶凌（注册号：94010078）</v>
      </c>
    </row>
    <row r="6" spans="1:8" ht="24" customHeight="1">
      <c r="A6" s="572" t="s">
        <v>2408</v>
      </c>
      <c r="B6" s="572" t="str">
        <f ca="1">IF(C6&lt;B2,"已过期",1120050019)</f>
        <v>已过期</v>
      </c>
      <c r="C6" s="2805">
        <v>44395</v>
      </c>
      <c r="D6" s="573" t="str">
        <f t="shared" ca="1" si="0"/>
        <v>王鹏（注册号：已过期）</v>
      </c>
      <c r="E6" s="574" t="s">
        <v>2408</v>
      </c>
      <c r="F6" s="572">
        <f ca="1">IF(G6&lt;B2,"已过期",2002110030)</f>
        <v>2002110030</v>
      </c>
      <c r="G6" s="2805">
        <v>46387</v>
      </c>
      <c r="H6" s="575" t="str">
        <f t="shared" ca="1" si="1"/>
        <v>王鹏（注册号：2002110030）</v>
      </c>
    </row>
    <row r="7" spans="1:8" ht="24" customHeight="1">
      <c r="A7" s="572" t="s">
        <v>2409</v>
      </c>
      <c r="B7" s="572">
        <f ca="1">IF(C7&lt;B2,"已过期",1120000080)</f>
        <v>1120000080</v>
      </c>
      <c r="C7" s="2805">
        <v>44876</v>
      </c>
      <c r="D7" s="573" t="str">
        <f t="shared" ca="1" si="0"/>
        <v>欧红伟（注册号：1120000080）</v>
      </c>
      <c r="E7" s="574" t="s">
        <v>2409</v>
      </c>
      <c r="F7" s="572">
        <f ca="1">IF(G7&lt;B2,"已过期",2000110082)</f>
        <v>2000110082</v>
      </c>
      <c r="G7" s="2805">
        <v>46387</v>
      </c>
      <c r="H7" s="575" t="str">
        <f t="shared" ca="1" si="1"/>
        <v>欧红伟（注册号：2000110082）</v>
      </c>
    </row>
    <row r="8" spans="1:8" ht="24" customHeight="1">
      <c r="A8" s="572" t="s">
        <v>2410</v>
      </c>
      <c r="B8" s="572">
        <f ca="1">IF(C8&lt;B2,"已过期",1419970001)</f>
        <v>1419970001</v>
      </c>
      <c r="C8" s="2805">
        <v>44899</v>
      </c>
      <c r="D8" s="573" t="str">
        <f t="shared" ca="1" si="0"/>
        <v>吴薇（注册号：1419970001）</v>
      </c>
      <c r="E8" s="574" t="s">
        <v>2410</v>
      </c>
      <c r="F8" s="572">
        <f ca="1">IF(G8&lt;B2,"已过期",2002110125)</f>
        <v>2002110125</v>
      </c>
      <c r="G8" s="2805">
        <v>47118</v>
      </c>
      <c r="H8" s="575" t="str">
        <f t="shared" ca="1" si="1"/>
        <v>吴薇（注册号：2002110125）</v>
      </c>
    </row>
    <row r="9" spans="1:8" ht="24" customHeight="1">
      <c r="A9" s="572" t="s">
        <v>2411</v>
      </c>
      <c r="B9" s="572" t="str">
        <f ca="1">IF(C9&lt;B2,"已过期",1120060040)</f>
        <v>已过期</v>
      </c>
      <c r="C9" s="2806">
        <v>44554</v>
      </c>
      <c r="D9" s="573" t="str">
        <f t="shared" ca="1" si="0"/>
        <v>陈颖（注册号：已过期）</v>
      </c>
      <c r="E9" s="574" t="s">
        <v>2411</v>
      </c>
      <c r="F9" s="572">
        <f ca="1">IF(G9&lt;B2,"已过期",2004110096)</f>
        <v>2004110096</v>
      </c>
      <c r="G9" s="2805">
        <v>47118</v>
      </c>
      <c r="H9" s="575" t="str">
        <f t="shared" ca="1" si="1"/>
        <v>陈颖（注册号：2004110096）</v>
      </c>
    </row>
    <row r="10" spans="1:8" ht="24" customHeight="1">
      <c r="A10" s="572" t="s">
        <v>2412</v>
      </c>
      <c r="B10" s="572" t="str">
        <f ca="1">IF(C10&lt;B2,"已过期",1120100036)</f>
        <v>已过期</v>
      </c>
      <c r="C10" s="2806">
        <v>44675</v>
      </c>
      <c r="D10" s="573" t="str">
        <f t="shared" ca="1" si="0"/>
        <v>崔锴（注册号：已过期）</v>
      </c>
      <c r="E10" s="574" t="s">
        <v>2412</v>
      </c>
      <c r="F10" s="572">
        <f ca="1">IF(G10&lt;B2,"已过期",2010110070)</f>
        <v>2010110070</v>
      </c>
      <c r="G10" s="2805">
        <v>47907</v>
      </c>
      <c r="H10" s="575" t="str">
        <f t="shared" ca="1" si="1"/>
        <v>崔锴（注册号：2010110070）</v>
      </c>
    </row>
    <row r="11" spans="1:8" ht="24" customHeight="1">
      <c r="A11" s="572" t="s">
        <v>2413</v>
      </c>
      <c r="B11" s="572">
        <f ca="1">IF(C11&lt;B2,"已过期",1120070131)</f>
        <v>1120070131</v>
      </c>
      <c r="C11" s="2805">
        <v>44849</v>
      </c>
      <c r="D11" s="573" t="str">
        <f t="shared" ca="1" si="0"/>
        <v>郑燚（注册号：1120070131）</v>
      </c>
      <c r="E11" s="574" t="s">
        <v>2413</v>
      </c>
      <c r="F11" s="572">
        <f ca="1">IF(G11&lt;B2,"已过期",2014110011)</f>
        <v>2014110011</v>
      </c>
      <c r="G11" s="2805">
        <v>49302</v>
      </c>
      <c r="H11" s="575" t="str">
        <f t="shared" ca="1" si="1"/>
        <v>郑燚（注册号：2014110011）</v>
      </c>
    </row>
    <row r="12" spans="1:8" ht="24" customHeight="1">
      <c r="A12" s="572" t="s">
        <v>2414</v>
      </c>
      <c r="B12" s="572">
        <f ca="1">IF(C12&lt;B2,"已过期",1120040230)</f>
        <v>1120040230</v>
      </c>
      <c r="C12" s="2806">
        <v>44864</v>
      </c>
      <c r="D12" s="573" t="str">
        <f t="shared" ca="1" si="0"/>
        <v>苏海（注册号：1120040230）</v>
      </c>
      <c r="E12" s="574" t="s">
        <v>2414</v>
      </c>
      <c r="F12" s="572">
        <f ca="1">IF(G12&lt;B2,"已过期",98030020)</f>
        <v>98030020</v>
      </c>
      <c r="G12" s="2805">
        <v>47118</v>
      </c>
      <c r="H12" s="575" t="str">
        <f t="shared" ca="1" si="1"/>
        <v>苏海（注册号：98030020）</v>
      </c>
    </row>
    <row r="13" spans="1:8" ht="24" customHeight="1">
      <c r="A13" s="572" t="s">
        <v>2415</v>
      </c>
      <c r="B13" s="572" t="str">
        <f ca="1">IF(C13&lt;B2,"已过期",1120020033)</f>
        <v>已过期</v>
      </c>
      <c r="C13" s="2805">
        <v>44339</v>
      </c>
      <c r="D13" s="573" t="str">
        <f t="shared" ca="1" si="0"/>
        <v>刘敬东（注册号：已过期）</v>
      </c>
      <c r="E13" s="574" t="s">
        <v>2415</v>
      </c>
      <c r="F13" s="572">
        <f ca="1">IF(G13&lt;B2,"已过期",2000110137)</f>
        <v>2000110137</v>
      </c>
      <c r="G13" s="2805">
        <v>46387</v>
      </c>
      <c r="H13" s="575" t="str">
        <f t="shared" ca="1" si="1"/>
        <v>刘敬东（注册号：2000110137）</v>
      </c>
    </row>
    <row r="14" spans="1:8" ht="24" customHeight="1">
      <c r="A14" s="572" t="s">
        <v>2416</v>
      </c>
      <c r="B14" s="572">
        <f ca="1">IF(C14&lt;B2,"已过期",1119980106)</f>
        <v>1119980106</v>
      </c>
      <c r="C14" s="2806">
        <v>44969</v>
      </c>
      <c r="D14" s="573" t="str">
        <f t="shared" ca="1" si="0"/>
        <v>刘俊财（注册号：1119980106）</v>
      </c>
      <c r="E14" s="574" t="s">
        <v>2416</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2417</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25" t="s">
        <v>2418</v>
      </c>
      <c r="B17" s="3025"/>
      <c r="C17" s="3025"/>
      <c r="D17" s="3025"/>
      <c r="E17" s="3025"/>
      <c r="F17" s="3025"/>
      <c r="G17" s="3025"/>
      <c r="H17" s="3025"/>
    </row>
    <row r="18" spans="1:8" ht="24" customHeight="1">
      <c r="A18" s="3026" t="s">
        <v>2419</v>
      </c>
      <c r="B18" s="3026"/>
      <c r="C18" s="3026"/>
      <c r="D18" s="570"/>
      <c r="E18" s="3027" t="s">
        <v>2420</v>
      </c>
      <c r="F18" s="3026"/>
      <c r="G18" s="3026"/>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5">
        <v>44820</v>
      </c>
      <c r="D20" s="576"/>
      <c r="E20" s="582" t="s">
        <v>2425</v>
      </c>
      <c r="F20" s="581" t="s">
        <v>2426</v>
      </c>
      <c r="G20" s="2807">
        <v>44377</v>
      </c>
    </row>
    <row r="21" spans="1:8" s="580" customFormat="1" ht="24" customHeight="1">
      <c r="A21" s="581"/>
      <c r="B21" s="581"/>
      <c r="C21" s="2809"/>
      <c r="D21" s="583"/>
      <c r="E21" s="582" t="s">
        <v>2427</v>
      </c>
      <c r="F21" s="584" t="s">
        <v>2428</v>
      </c>
      <c r="G21" s="2808">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2022-08-11T05:22:16Z</dcterms:modified>
</cp:coreProperties>
</file>