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1雪梨澳乡市场价值\"/>
    </mc:Choice>
  </mc:AlternateContent>
  <xr:revisionPtr revIDLastSave="0" documentId="13_ncr:1_{5279FC7C-8E7D-4DA9-A8CB-7A8CB44CA724}" xr6:coauthVersionLast="45" xr6:coauthVersionMax="45" xr10:uidLastSave="{00000000-0000-0000-0000-000000000000}"/>
  <bookViews>
    <workbookView xWindow="0" yWindow="0" windowWidth="21600"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r:id="rId37"/>
    <sheet name="容积率修正" sheetId="46" state="hidden" r:id="rId38"/>
    <sheet name="成本法（废）" sheetId="11" state="hidden" r:id="rId39"/>
    <sheet name="区片价" sheetId="44" state="hidden" r:id="rId40"/>
    <sheet name="因素修正幅度" sheetId="65"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5" i="43" l="1"/>
  <c r="N18" i="43"/>
  <c r="N17" i="43"/>
  <c r="N16" i="43"/>
  <c r="I5" i="21"/>
  <c r="G5" i="21"/>
  <c r="E5" i="21"/>
  <c r="K9" i="6" l="1"/>
  <c r="I7" i="6" s="1"/>
  <c r="Y6" i="1" l="1"/>
  <c r="N20" i="1"/>
  <c r="I24" i="21"/>
  <c r="E24" i="21"/>
  <c r="I22" i="21"/>
  <c r="G22" i="21"/>
  <c r="E22" i="21"/>
  <c r="G18" i="21"/>
  <c r="C24" i="21"/>
  <c r="G24" i="21" s="1"/>
  <c r="C20" i="21"/>
  <c r="I20" i="21" s="1"/>
  <c r="C18" i="21"/>
  <c r="I18" i="21" s="1"/>
  <c r="C16" i="21"/>
  <c r="I16" i="21" s="1"/>
  <c r="J10" i="4"/>
  <c r="I33" i="21"/>
  <c r="G33" i="21"/>
  <c r="E33" i="21"/>
  <c r="I4" i="80"/>
  <c r="I47" i="21" s="1"/>
  <c r="I3" i="80"/>
  <c r="G47" i="21" s="1"/>
  <c r="E47" i="21"/>
  <c r="I7" i="21"/>
  <c r="G7" i="21"/>
  <c r="E7" i="21"/>
  <c r="D33" i="43"/>
  <c r="F19" i="6"/>
  <c r="B14" i="74" s="1"/>
  <c r="M80" i="81"/>
  <c r="M81" i="81"/>
  <c r="M82" i="81" s="1"/>
  <c r="U6" i="1" s="1"/>
  <c r="M79" i="81"/>
  <c r="G16" i="21" l="1"/>
  <c r="E18" i="21"/>
  <c r="G20" i="21"/>
  <c r="C33" i="21"/>
  <c r="E16" i="21"/>
  <c r="E20" i="21"/>
  <c r="L12" i="8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C55" i="71"/>
  <c r="D55" i="71" s="1"/>
  <c r="D62" i="71"/>
  <c r="T68" i="71"/>
  <c r="D68" i="71"/>
  <c r="Q68" i="71"/>
  <c r="C71" i="71"/>
  <c r="D71" i="71" s="1"/>
  <c r="D72" i="71"/>
  <c r="E75" i="71"/>
  <c r="E74" i="71" s="1"/>
  <c r="D76" i="71"/>
  <c r="C79" i="71"/>
  <c r="C78" i="71" s="1"/>
  <c r="D78" i="71" s="1"/>
  <c r="D80" i="71"/>
  <c r="F28" i="71"/>
  <c r="F27" i="71" s="1"/>
  <c r="F26" i="71" s="1"/>
  <c r="AB25" i="71"/>
  <c r="E28" i="71"/>
  <c r="E27" i="71" s="1"/>
  <c r="E26" i="71" s="1"/>
  <c r="AA27" i="7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U19" i="21" s="1"/>
  <c r="D83" i="21"/>
  <c r="E83" i="21" s="1"/>
  <c r="F83" i="21" s="1"/>
  <c r="G83" i="21" s="1"/>
  <c r="F21" i="21"/>
  <c r="AA21" i="21" s="1"/>
  <c r="D81" i="21"/>
  <c r="G20" i="20"/>
  <c r="C22" i="20"/>
  <c r="B100" i="43" s="1"/>
  <c r="B57" i="43"/>
  <c r="S25" i="40"/>
  <c r="U18" i="36"/>
  <c r="H25" i="40"/>
  <c r="U25" i="40" s="1"/>
  <c r="J25" i="40"/>
  <c r="W25" i="40" s="1"/>
  <c r="H29" i="39"/>
  <c r="AB29" i="39" s="1"/>
  <c r="J29" i="39"/>
  <c r="AC29" i="39" s="1"/>
  <c r="J18" i="36"/>
  <c r="H18" i="35"/>
  <c r="J18" i="35"/>
  <c r="W18" i="35" s="1"/>
  <c r="H21" i="37"/>
  <c r="U21" i="37" s="1"/>
  <c r="F21" i="37"/>
  <c r="H21" i="34"/>
  <c r="F83" i="33"/>
  <c r="H21" i="33"/>
  <c r="F21" i="33"/>
  <c r="S21" i="33" s="1"/>
  <c r="H1" i="69"/>
  <c r="AC25" i="40"/>
  <c r="AB25" i="40"/>
  <c r="U29" i="39"/>
  <c r="W29" i="39"/>
  <c r="AC18" i="36"/>
  <c r="W18" i="36"/>
  <c r="AB21" i="37"/>
  <c r="AA21" i="37"/>
  <c r="S21" i="37"/>
  <c r="AB21" i="34"/>
  <c r="U21" i="34"/>
  <c r="U21" i="33"/>
  <c r="AB21" i="33"/>
  <c r="AB18" i="35"/>
  <c r="U18" i="35"/>
  <c r="AC18" i="35"/>
  <c r="J21" i="37"/>
  <c r="J21" i="34"/>
  <c r="W21" i="34" s="1"/>
  <c r="G83" i="33"/>
  <c r="J21" i="33"/>
  <c r="W21" i="33" s="1"/>
  <c r="H21" i="21"/>
  <c r="AB21" i="21" s="1"/>
  <c r="F38" i="69"/>
  <c r="E37" i="69"/>
  <c r="F36" i="69"/>
  <c r="F35" i="69"/>
  <c r="F21" i="69"/>
  <c r="F40" i="69" s="1"/>
  <c r="F20" i="69"/>
  <c r="F39" i="69" s="1"/>
  <c r="E10" i="69"/>
  <c r="E9" i="69"/>
  <c r="AC21" i="37"/>
  <c r="W21" i="37"/>
  <c r="AC21" i="34"/>
  <c r="AC21" i="33"/>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E71" i="37" s="1"/>
  <c r="F71" i="37" s="1"/>
  <c r="G71" i="37" s="1"/>
  <c r="H15" i="37"/>
  <c r="AB15" i="37"/>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J44" i="21" s="1"/>
  <c r="AC44" i="21" s="1"/>
  <c r="B98" i="21"/>
  <c r="H31" i="21" s="1"/>
  <c r="AB31" i="21" s="1"/>
  <c r="B96" i="21"/>
  <c r="F30" i="21" s="1"/>
  <c r="B94" i="21"/>
  <c r="J29" i="21" s="1"/>
  <c r="B92" i="21"/>
  <c r="H28" i="21" s="1"/>
  <c r="AB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AA41" i="21"/>
  <c r="F45" i="39"/>
  <c r="S45" i="39"/>
  <c r="J45" i="39"/>
  <c r="W45" i="39"/>
  <c r="F36" i="39"/>
  <c r="S36" i="39"/>
  <c r="H36" i="39"/>
  <c r="AB36" i="39"/>
  <c r="J36" i="39"/>
  <c r="AC36" i="39"/>
  <c r="W40" i="39"/>
  <c r="U30" i="37"/>
  <c r="W31" i="37"/>
  <c r="U14" i="37"/>
  <c r="F29" i="36"/>
  <c r="AA29" i="36" s="1"/>
  <c r="F16" i="36"/>
  <c r="AA16" i="36" s="1"/>
  <c r="U9" i="36"/>
  <c r="U31" i="36"/>
  <c r="H22" i="35"/>
  <c r="AB22" i="35"/>
  <c r="W28" i="35"/>
  <c r="U31" i="35"/>
  <c r="S34" i="35"/>
  <c r="W22" i="35"/>
  <c r="S31" i="35"/>
  <c r="F36" i="34"/>
  <c r="J35" i="34"/>
  <c r="W9" i="34"/>
  <c r="U34" i="34"/>
  <c r="H39" i="33"/>
  <c r="AB39" i="33" s="1"/>
  <c r="F26" i="33"/>
  <c r="AA26" i="33" s="1"/>
  <c r="U33" i="33"/>
  <c r="S40" i="33"/>
  <c r="W39" i="33"/>
  <c r="F11" i="40"/>
  <c r="AA11" i="40" s="1"/>
  <c r="H11" i="40"/>
  <c r="AB11" i="40" s="1"/>
  <c r="W8" i="40"/>
  <c r="AC40" i="40"/>
  <c r="AA9" i="40"/>
  <c r="U9" i="40"/>
  <c r="S40" i="40"/>
  <c r="W31" i="40"/>
  <c r="U34" i="40"/>
  <c r="F42" i="39"/>
  <c r="AA42" i="39" s="1"/>
  <c r="F41" i="39"/>
  <c r="S41" i="39" s="1"/>
  <c r="H40" i="39"/>
  <c r="AB40" i="39" s="1"/>
  <c r="H39" i="39"/>
  <c r="U39" i="39" s="1"/>
  <c r="S38" i="39"/>
  <c r="S34" i="39"/>
  <c r="H34" i="39"/>
  <c r="U34"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G100" i="39" s="1"/>
  <c r="H27" i="39"/>
  <c r="U27" i="39" s="1"/>
  <c r="J19" i="39"/>
  <c r="AC19" i="39" s="1"/>
  <c r="J17" i="39"/>
  <c r="J27" i="39"/>
  <c r="AC27" i="39" s="1"/>
  <c r="F27" i="39"/>
  <c r="F11" i="21"/>
  <c r="S11" i="21" s="1"/>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AC29" i="35" s="1"/>
  <c r="H33" i="35"/>
  <c r="AB33" i="35"/>
  <c r="J20" i="35"/>
  <c r="W20" i="35"/>
  <c r="F35" i="37"/>
  <c r="S35" i="37"/>
  <c r="E101" i="37"/>
  <c r="F101" i="37"/>
  <c r="G101" i="37" s="1"/>
  <c r="H101" i="37" s="1"/>
  <c r="I101" i="37" s="1"/>
  <c r="J101" i="37" s="1"/>
  <c r="K101" i="37" s="1"/>
  <c r="L101" i="37" s="1"/>
  <c r="M101" i="37" s="1"/>
  <c r="J34" i="37"/>
  <c r="W34" i="37" s="1"/>
  <c r="AB34" i="37"/>
  <c r="J33" i="37"/>
  <c r="AC33" i="37" s="1"/>
  <c r="U42" i="34"/>
  <c r="H40" i="34"/>
  <c r="U40" i="34" s="1"/>
  <c r="H36" i="34"/>
  <c r="U36" i="34" s="1"/>
  <c r="F37" i="34"/>
  <c r="AA37" i="34" s="1"/>
  <c r="S35" i="34"/>
  <c r="F28" i="34"/>
  <c r="AA28" i="34" s="1"/>
  <c r="F27" i="34"/>
  <c r="AA27" i="34" s="1"/>
  <c r="F25" i="34"/>
  <c r="S25" i="34" s="1"/>
  <c r="H23" i="34"/>
  <c r="J23" i="34"/>
  <c r="F19" i="34"/>
  <c r="H17" i="34"/>
  <c r="U17" i="34" s="1"/>
  <c r="F15" i="34"/>
  <c r="AA15" i="34" s="1"/>
  <c r="J15" i="34"/>
  <c r="H15" i="34"/>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J17" i="40"/>
  <c r="W17" i="40" s="1"/>
  <c r="F15" i="40"/>
  <c r="S15" i="40" s="1"/>
  <c r="H15" i="40"/>
  <c r="AB15" i="40" s="1"/>
  <c r="AC11" i="40"/>
  <c r="AB30" i="36"/>
  <c r="U33" i="35"/>
  <c r="F29" i="35"/>
  <c r="S29" i="35" s="1"/>
  <c r="H29" i="35"/>
  <c r="AB29" i="35" s="1"/>
  <c r="H33" i="37"/>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AB17" i="34"/>
  <c r="S15" i="34"/>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U23" i="40"/>
  <c r="H123" i="21"/>
  <c r="I123" i="21" s="1"/>
  <c r="J123" i="21"/>
  <c r="K123" i="21" s="1"/>
  <c r="L123" i="21" s="1"/>
  <c r="M123" i="21" s="1"/>
  <c r="J42" i="21"/>
  <c r="AC42" i="21" s="1"/>
  <c r="H42" i="21"/>
  <c r="U42" i="21" s="1"/>
  <c r="J44" i="34"/>
  <c r="F44" i="34"/>
  <c r="AA44" i="34" s="1"/>
  <c r="J10" i="35"/>
  <c r="AC10" i="35" s="1"/>
  <c r="BL587" i="3"/>
  <c r="J14" i="21"/>
  <c r="W14" i="21" s="1"/>
  <c r="F14" i="21"/>
  <c r="S14" i="21" s="1"/>
  <c r="H14" i="21"/>
  <c r="U14"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W12" i="40"/>
  <c r="H14" i="33"/>
  <c r="U14" i="33"/>
  <c r="F14" i="33"/>
  <c r="S14" i="33"/>
  <c r="J14" i="33"/>
  <c r="H30" i="33"/>
  <c r="F30" i="33"/>
  <c r="J30" i="33"/>
  <c r="H44" i="33"/>
  <c r="J44" i="33"/>
  <c r="AC44" i="33" s="1"/>
  <c r="F44" i="33"/>
  <c r="S44" i="33" s="1"/>
  <c r="J46" i="33"/>
  <c r="AC46" i="33" s="1"/>
  <c r="F46" i="33"/>
  <c r="AA46" i="33" s="1"/>
  <c r="H46" i="33"/>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J47" i="34"/>
  <c r="AC47" i="34" s="1"/>
  <c r="F13" i="35"/>
  <c r="J13" i="35"/>
  <c r="H13" i="35"/>
  <c r="U13" i="35" s="1"/>
  <c r="J25" i="35"/>
  <c r="W25" i="35" s="1"/>
  <c r="F25" i="35"/>
  <c r="H25" i="35"/>
  <c r="AB25" i="35" s="1"/>
  <c r="J35" i="35"/>
  <c r="AC35" i="35" s="1"/>
  <c r="F35" i="35"/>
  <c r="AA35" i="35" s="1"/>
  <c r="H35" i="35"/>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H13" i="39"/>
  <c r="H14" i="40"/>
  <c r="AB14" i="40" s="1"/>
  <c r="J14" i="40"/>
  <c r="W14" i="40" s="1"/>
  <c r="F14" i="40"/>
  <c r="J14" i="37"/>
  <c r="J27" i="37"/>
  <c r="AA44" i="33"/>
  <c r="U31" i="34"/>
  <c r="AA14" i="33"/>
  <c r="J36" i="37"/>
  <c r="AC36" i="37" s="1"/>
  <c r="G105" i="37"/>
  <c r="J10" i="36"/>
  <c r="AC10" i="36" s="1"/>
  <c r="AB26" i="33"/>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36" i="39"/>
  <c r="U36" i="39"/>
  <c r="G540" i="3"/>
  <c r="G535" i="3"/>
  <c r="G531" i="3"/>
  <c r="G528" i="3"/>
  <c r="G527" i="3"/>
  <c r="G523" i="3"/>
  <c r="G518" i="3"/>
  <c r="G514" i="3"/>
  <c r="G510" i="3"/>
  <c r="G508" i="3"/>
  <c r="G504" i="3"/>
  <c r="G500" i="3"/>
  <c r="G496" i="3"/>
  <c r="G584" i="3"/>
  <c r="G580" i="3"/>
  <c r="G572" i="3"/>
  <c r="G564" i="3"/>
  <c r="G560" i="3"/>
  <c r="G554" i="3"/>
  <c r="BL584" i="3"/>
  <c r="BL576" i="3"/>
  <c r="BL568" i="3"/>
  <c r="BL564" i="3"/>
  <c r="BL560" i="3"/>
  <c r="BL554" i="3"/>
  <c r="BL546" i="3"/>
  <c r="BL538" i="3"/>
  <c r="BL530" i="3"/>
  <c r="BL526" i="3"/>
  <c r="BL522" i="3"/>
  <c r="BL516" i="3"/>
  <c r="BL512" i="3"/>
  <c r="BL506" i="3"/>
  <c r="BL502" i="3"/>
  <c r="AZ502" i="3" s="1"/>
  <c r="BL498" i="3"/>
  <c r="BL494" i="3"/>
  <c r="BL582" i="3"/>
  <c r="BL578" i="3"/>
  <c r="BL570" i="3"/>
  <c r="BL562" i="3"/>
  <c r="BL556" i="3"/>
  <c r="BL552" i="3"/>
  <c r="BL540" i="3"/>
  <c r="G533"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AZ560" i="3" s="1"/>
  <c r="BA558" i="3"/>
  <c r="BA556" i="3"/>
  <c r="BA554" i="3"/>
  <c r="AZ554" i="3" s="1"/>
  <c r="BA552" i="3"/>
  <c r="AZ552" i="3" s="1"/>
  <c r="BA546" i="3"/>
  <c r="BA542" i="3"/>
  <c r="BA538" i="3"/>
  <c r="AZ538" i="3" s="1"/>
  <c r="BA534" i="3"/>
  <c r="BA530" i="3"/>
  <c r="BA528" i="3"/>
  <c r="BA526" i="3"/>
  <c r="BA524" i="3"/>
  <c r="BA522" i="3"/>
  <c r="BA520" i="3"/>
  <c r="BA518" i="3"/>
  <c r="AZ518" i="3" s="1"/>
  <c r="BA516" i="3"/>
  <c r="BA514" i="3"/>
  <c r="BA512" i="3"/>
  <c r="AZ512" i="3" s="1"/>
  <c r="BA510" i="3"/>
  <c r="BA508" i="3"/>
  <c r="BA506" i="3"/>
  <c r="BA504" i="3"/>
  <c r="BA502" i="3"/>
  <c r="BA500" i="3"/>
  <c r="AZ500" i="3" s="1"/>
  <c r="BA498" i="3"/>
  <c r="AZ498" i="3" s="1"/>
  <c r="BA496" i="3"/>
  <c r="BA494" i="3"/>
  <c r="BA587" i="3"/>
  <c r="BA583" i="3"/>
  <c r="BA581" i="3"/>
  <c r="BA579" i="3"/>
  <c r="BA575" i="3"/>
  <c r="BA571" i="3"/>
  <c r="BA567" i="3"/>
  <c r="BA565" i="3"/>
  <c r="BA563" i="3"/>
  <c r="BA561" i="3"/>
  <c r="BA559" i="3"/>
  <c r="BA555" i="3"/>
  <c r="BA553" i="3"/>
  <c r="BA547" i="3"/>
  <c r="BA543" i="3"/>
  <c r="BA539" i="3"/>
  <c r="BA535" i="3"/>
  <c r="BA531" i="3"/>
  <c r="BA529" i="3"/>
  <c r="BA527" i="3"/>
  <c r="BA525" i="3"/>
  <c r="BA523" i="3"/>
  <c r="BA519" i="3"/>
  <c r="BA517" i="3"/>
  <c r="BA515" i="3"/>
  <c r="BA513" i="3"/>
  <c r="BA511" i="3"/>
  <c r="BA507" i="3"/>
  <c r="BA505" i="3"/>
  <c r="BA503" i="3"/>
  <c r="BA501" i="3"/>
  <c r="BA499" i="3"/>
  <c r="BA497" i="3"/>
  <c r="BA495" i="3"/>
  <c r="BA493" i="3"/>
  <c r="G583" i="3"/>
  <c r="G581" i="3"/>
  <c r="G577" i="3"/>
  <c r="G573" i="3"/>
  <c r="G569" i="3"/>
  <c r="G565" i="3"/>
  <c r="G563" i="3"/>
  <c r="G561" i="3"/>
  <c r="BL558" i="3"/>
  <c r="BA557" i="3"/>
  <c r="AC557" i="3"/>
  <c r="G557" i="3"/>
  <c r="BQ557" i="3"/>
  <c r="BL557" i="3"/>
  <c r="AZ557" i="3" s="1"/>
  <c r="BQ583" i="3"/>
  <c r="BL583" i="3"/>
  <c r="BQ581" i="3"/>
  <c r="BQ579" i="3"/>
  <c r="BL579" i="3" s="1"/>
  <c r="AZ579" i="3" s="1"/>
  <c r="BQ577" i="3"/>
  <c r="BL577" i="3"/>
  <c r="BQ575" i="3"/>
  <c r="BQ573" i="3"/>
  <c r="BQ571" i="3"/>
  <c r="BL571" i="3" s="1"/>
  <c r="AZ571" i="3" s="1"/>
  <c r="BQ569" i="3"/>
  <c r="BL569" i="3"/>
  <c r="BQ567" i="3"/>
  <c r="BQ565" i="3"/>
  <c r="BL565" i="3" s="1"/>
  <c r="BQ563" i="3"/>
  <c r="BL563" i="3" s="1"/>
  <c r="BQ561" i="3"/>
  <c r="BL561" i="3" s="1"/>
  <c r="AZ561" i="3"/>
  <c r="BQ559" i="3"/>
  <c r="BL559" i="3"/>
  <c r="G559" i="3"/>
  <c r="G555" i="3"/>
  <c r="G553" i="3"/>
  <c r="G549" i="3"/>
  <c r="G545" i="3"/>
  <c r="G541" i="3"/>
  <c r="G537" i="3"/>
  <c r="BQ555" i="3"/>
  <c r="BL555" i="3" s="1"/>
  <c r="AZ555" i="3"/>
  <c r="BQ553" i="3"/>
  <c r="BL553" i="3"/>
  <c r="AZ553" i="3" s="1"/>
  <c r="BQ551" i="3"/>
  <c r="BQ549" i="3"/>
  <c r="BL549" i="3" s="1"/>
  <c r="BQ547" i="3"/>
  <c r="BL547" i="3"/>
  <c r="AZ547" i="3" s="1"/>
  <c r="BQ545" i="3"/>
  <c r="BQ543" i="3"/>
  <c r="BL543" i="3"/>
  <c r="AZ543" i="3" s="1"/>
  <c r="BQ541" i="3"/>
  <c r="BQ539" i="3"/>
  <c r="BL539" i="3"/>
  <c r="AZ539" i="3" s="1"/>
  <c r="BQ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S41" i="34" s="1"/>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S32" i="40" s="1"/>
  <c r="H32" i="40"/>
  <c r="AB32" i="40" s="1"/>
  <c r="J36" i="40"/>
  <c r="H19" i="37"/>
  <c r="AB19" i="37" s="1"/>
  <c r="H42" i="33"/>
  <c r="AB42" i="33" s="1"/>
  <c r="J43" i="33"/>
  <c r="AC43" i="33" s="1"/>
  <c r="U43" i="33"/>
  <c r="S28" i="31"/>
  <c r="S27" i="31"/>
  <c r="S26" i="31"/>
  <c r="U14" i="40"/>
  <c r="AA12" i="35"/>
  <c r="AB28" i="37"/>
  <c r="W26" i="37"/>
  <c r="W47" i="34"/>
  <c r="AC36" i="34"/>
  <c r="AA13" i="33"/>
  <c r="AC31" i="33"/>
  <c r="AC45" i="33"/>
  <c r="W44" i="33"/>
  <c r="AC46" i="21"/>
  <c r="AB38" i="21"/>
  <c r="F43" i="33"/>
  <c r="AA43" i="33" s="1"/>
  <c r="W15" i="34"/>
  <c r="AC15" i="34"/>
  <c r="W16" i="35"/>
  <c r="G107" i="37"/>
  <c r="H107" i="37" s="1"/>
  <c r="I107" i="37" s="1"/>
  <c r="J107" i="37" s="1"/>
  <c r="K107" i="37" s="1"/>
  <c r="L107" i="37" s="1"/>
  <c r="M107" i="37" s="1"/>
  <c r="H37" i="21"/>
  <c r="U37" i="21" s="1"/>
  <c r="H19" i="34"/>
  <c r="AB19" i="34" s="1"/>
  <c r="F36" i="35"/>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H5" i="3"/>
  <c r="H19" i="40"/>
  <c r="U19" i="40" s="1"/>
  <c r="F88" i="40"/>
  <c r="G88" i="40" s="1"/>
  <c r="F19" i="40"/>
  <c r="AC13" i="40"/>
  <c r="AB33" i="40"/>
  <c r="W23" i="39"/>
  <c r="AC43" i="39"/>
  <c r="W43" i="39"/>
  <c r="U45" i="39"/>
  <c r="AB45" i="39"/>
  <c r="H37" i="39"/>
  <c r="AC37" i="39"/>
  <c r="W37" i="39"/>
  <c r="H25" i="39"/>
  <c r="J25" i="39"/>
  <c r="F25" i="39"/>
  <c r="AA25" i="39" s="1"/>
  <c r="F15" i="39"/>
  <c r="H15" i="39"/>
  <c r="U15" i="39" s="1"/>
  <c r="J15" i="39"/>
  <c r="W15" i="39" s="1"/>
  <c r="H41" i="39"/>
  <c r="AB41" i="39" s="1"/>
  <c r="W27" i="39"/>
  <c r="U40"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c r="BL176" i="3"/>
  <c r="G177" i="3"/>
  <c r="BA179" i="3"/>
  <c r="AZ179" i="3"/>
  <c r="BL180" i="3"/>
  <c r="AZ180" i="3"/>
  <c r="G181" i="3"/>
  <c r="BA183" i="3"/>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84" i="3"/>
  <c r="AZ200" i="3"/>
  <c r="AZ85" i="3"/>
  <c r="AZ93"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AZ390" i="3" s="1"/>
  <c r="G391" i="3"/>
  <c r="G394" i="3"/>
  <c r="AZ138" i="3"/>
  <c r="AZ142" i="3"/>
  <c r="AZ146" i="3"/>
  <c r="AZ150" i="3"/>
  <c r="AZ158" i="3"/>
  <c r="AZ162" i="3"/>
  <c r="AZ166" i="3"/>
  <c r="AZ178" i="3"/>
  <c r="AZ186" i="3"/>
  <c r="AZ190" i="3"/>
  <c r="AZ198" i="3"/>
  <c r="AZ202" i="3"/>
  <c r="AZ206"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AZ299" i="3"/>
  <c r="BO5" i="3"/>
  <c r="BM5" i="3"/>
  <c r="BJ5" i="3"/>
  <c r="BH5" i="3"/>
  <c r="BF5" i="3"/>
  <c r="BD5" i="3"/>
  <c r="AZ317" i="3"/>
  <c r="AZ333" i="3"/>
  <c r="BQ5" i="3"/>
  <c r="AZ549" i="3"/>
  <c r="AZ506" i="3"/>
  <c r="AZ496" i="3"/>
  <c r="G548" i="3"/>
  <c r="G538" i="3"/>
  <c r="G520" i="3"/>
  <c r="G502" i="3"/>
  <c r="BS5" i="3"/>
  <c r="BP5" i="3"/>
  <c r="BN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U43" i="21"/>
  <c r="AC35" i="21"/>
  <c r="G8" i="1"/>
  <c r="G10" i="1"/>
  <c r="AC11" i="39"/>
  <c r="AZ563" i="3"/>
  <c r="AZ501" i="3"/>
  <c r="W37" i="37"/>
  <c r="W44" i="34"/>
  <c r="AC44" i="34"/>
  <c r="U13"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59" i="3"/>
  <c r="AZ280" i="3"/>
  <c r="AZ288" i="3"/>
  <c r="AZ117" i="3"/>
  <c r="AZ133" i="3"/>
  <c r="AZ21"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C12" i="39"/>
  <c r="W12" i="39"/>
  <c r="AC39" i="40"/>
  <c r="W39" i="40"/>
  <c r="AZ401" i="3"/>
  <c r="AZ417" i="3"/>
  <c r="AZ433" i="3"/>
  <c r="AZ465" i="3"/>
  <c r="W12" i="33"/>
  <c r="AC12" i="33"/>
  <c r="AA32" i="36"/>
  <c r="S32" i="36"/>
  <c r="AZ408" i="3"/>
  <c r="AZ457" i="3"/>
  <c r="AZ473" i="3"/>
  <c r="AZ490" i="3"/>
  <c r="AA39" i="34"/>
  <c r="BL14" i="3"/>
  <c r="AC13" i="34"/>
  <c r="W28" i="37"/>
  <c r="S19" i="39"/>
  <c r="F12" i="33"/>
  <c r="H12" i="39"/>
  <c r="AB12" i="39" s="1"/>
  <c r="F39" i="40"/>
  <c r="BA14" i="3"/>
  <c r="AZ14" i="3"/>
  <c r="AZ213" i="3"/>
  <c r="AZ234" i="3"/>
  <c r="AZ250" i="3"/>
  <c r="AZ281" i="3"/>
  <c r="AZ286" i="3"/>
  <c r="AZ157" i="3"/>
  <c r="AZ173" i="3"/>
  <c r="AZ189" i="3"/>
  <c r="AZ197" i="3"/>
  <c r="AZ19" i="3"/>
  <c r="AZ26" i="3"/>
  <c r="B12" i="1"/>
  <c r="E12" i="1" s="1"/>
  <c r="B10" i="1"/>
  <c r="E10" i="1" s="1"/>
  <c r="AZ80" i="3"/>
  <c r="AZ84" i="3"/>
  <c r="AZ88" i="3"/>
  <c r="K12" i="1"/>
  <c r="M12" i="1" s="1"/>
  <c r="S13" i="1"/>
  <c r="AR13" i="1" s="1"/>
  <c r="R13" i="1"/>
  <c r="C42" i="1"/>
  <c r="AC34" i="33"/>
  <c r="AA34" i="33"/>
  <c r="B41" i="1"/>
  <c r="F48" i="9" s="1"/>
  <c r="O52" i="9" s="1"/>
  <c r="AB37" i="40"/>
  <c r="S35" i="40"/>
  <c r="U35" i="40"/>
  <c r="AA32" i="40"/>
  <c r="S23" i="40"/>
  <c r="AC17" i="40"/>
  <c r="AC15" i="40"/>
  <c r="S30" i="40"/>
  <c r="S28"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U26" i="36"/>
  <c r="S33" i="36"/>
  <c r="AA26" i="36"/>
  <c r="AA34" i="36"/>
  <c r="AC26" i="36"/>
  <c r="W14" i="36"/>
  <c r="AB14" i="36"/>
  <c r="U22" i="36"/>
  <c r="S16" i="36"/>
  <c r="AA25" i="36"/>
  <c r="S24" i="36"/>
  <c r="U24" i="36"/>
  <c r="U23" i="36"/>
  <c r="AB20" i="36"/>
  <c r="U16" i="36"/>
  <c r="S14" i="36"/>
  <c r="S23" i="35"/>
  <c r="W24" i="35"/>
  <c r="AB13" i="35"/>
  <c r="U29" i="35"/>
  <c r="U28" i="35"/>
  <c r="AB27" i="35"/>
  <c r="U32" i="35"/>
  <c r="AA33" i="35"/>
  <c r="AC30" i="35"/>
  <c r="S32" i="35"/>
  <c r="S28" i="35"/>
  <c r="AB16" i="35"/>
  <c r="U22" i="35"/>
  <c r="S20" i="35"/>
  <c r="AC20" i="35"/>
  <c r="S22" i="35"/>
  <c r="U14" i="35"/>
  <c r="AA11" i="35"/>
  <c r="AC9" i="35"/>
  <c r="W9" i="35"/>
  <c r="AC12" i="35"/>
  <c r="F9" i="35"/>
  <c r="S9" i="35" s="1"/>
  <c r="H9" i="35"/>
  <c r="U9" i="35" s="1"/>
  <c r="AB40" i="37"/>
  <c r="AC29" i="37"/>
  <c r="U29" i="37"/>
  <c r="S32" i="37"/>
  <c r="W30"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U28"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36" i="21"/>
  <c r="AC40" i="21"/>
  <c r="J15" i="21"/>
  <c r="W15"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s="1"/>
  <c r="AB14" i="21"/>
  <c r="AB46" i="21"/>
  <c r="U31" i="21"/>
  <c r="AC15" i="21"/>
  <c r="J37" i="21"/>
  <c r="W37" i="21" s="1"/>
  <c r="H15" i="21"/>
  <c r="U15" i="21" s="1"/>
  <c r="J17" i="21"/>
  <c r="AC17" i="21" s="1"/>
  <c r="AC19" i="21"/>
  <c r="W39" i="21"/>
  <c r="AC14" i="21"/>
  <c r="S46" i="21"/>
  <c r="H45" i="21"/>
  <c r="U45" i="21"/>
  <c r="F29" i="21"/>
  <c r="S29" i="21" s="1"/>
  <c r="AC38" i="21"/>
  <c r="H32" i="21"/>
  <c r="U32" i="21" s="1"/>
  <c r="J9" i="21"/>
  <c r="AC9" i="21" s="1"/>
  <c r="J32" i="21"/>
  <c r="W32" i="21" s="1"/>
  <c r="F32" i="21"/>
  <c r="S32" i="21" s="1"/>
  <c r="AA31" i="21"/>
  <c r="S19" i="21"/>
  <c r="K141" i="21"/>
  <c r="K144" i="21"/>
  <c r="K143" i="21"/>
  <c r="AB25" i="21"/>
  <c r="W13" i="21"/>
  <c r="AC45" i="21"/>
  <c r="F10" i="21"/>
  <c r="AA10" i="21" s="1"/>
  <c r="K145" i="21"/>
  <c r="S17" i="21"/>
  <c r="AA15" i="21"/>
  <c r="AB36" i="21"/>
  <c r="W30" i="40"/>
  <c r="C19" i="39"/>
  <c r="C15" i="40"/>
  <c r="C17" i="40"/>
  <c r="C23" i="40"/>
  <c r="C21" i="40"/>
  <c r="U30" i="40"/>
  <c r="B56" i="43"/>
  <c r="B67" i="43"/>
  <c r="B51" i="43"/>
  <c r="B54" i="43"/>
  <c r="B58"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AP7" i="1"/>
  <c r="AB45" i="21"/>
  <c r="W9"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3" i="73"/>
  <c r="F5" i="73"/>
  <c r="F13" i="67"/>
  <c r="M22" i="67"/>
  <c r="F40" i="15"/>
  <c r="B11" i="76"/>
  <c r="F4" i="73"/>
  <c r="M24" i="67"/>
  <c r="E7" i="76"/>
  <c r="L47" i="15"/>
  <c r="F36" i="67"/>
  <c r="M26" i="15"/>
  <c r="E10" i="76"/>
  <c r="F42" i="67"/>
  <c r="F7" i="73"/>
  <c r="D35" i="9"/>
  <c r="J15" i="67"/>
  <c r="M8" i="15"/>
  <c r="E9" i="76"/>
  <c r="D4" i="73"/>
  <c r="F8" i="15"/>
  <c r="M9" i="67"/>
  <c r="J15" i="15"/>
  <c r="F9" i="15"/>
  <c r="M22" i="15"/>
  <c r="M28" i="67"/>
  <c r="F36" i="15"/>
  <c r="F26" i="15"/>
  <c r="M9" i="15"/>
  <c r="E2" i="68"/>
  <c r="F16" i="15"/>
  <c r="D34" i="9"/>
  <c r="F26" i="67"/>
  <c r="M8" i="67"/>
  <c r="F43" i="15"/>
  <c r="F37" i="67"/>
  <c r="M29" i="67"/>
  <c r="B7" i="76"/>
  <c r="F8" i="67"/>
  <c r="E13" i="76"/>
  <c r="M24" i="15"/>
  <c r="L48" i="67"/>
  <c r="M6" i="67"/>
  <c r="F42" i="15"/>
  <c r="F6" i="67"/>
  <c r="F20" i="31"/>
  <c r="C76" i="67"/>
  <c r="F6" i="73"/>
  <c r="F43" i="67"/>
  <c r="D7" i="73"/>
  <c r="C76" i="15"/>
  <c r="M23" i="67"/>
  <c r="E2" i="69"/>
  <c r="F38" i="15"/>
  <c r="M26" i="67"/>
  <c r="B8" i="76"/>
  <c r="F7" i="67"/>
  <c r="F13" i="15"/>
  <c r="F37" i="15"/>
  <c r="F16" i="67"/>
  <c r="M28" i="15"/>
  <c r="B10" i="76"/>
  <c r="F38" i="67"/>
  <c r="B12" i="76"/>
  <c r="B13" i="76"/>
  <c r="L47" i="67"/>
  <c r="D6" i="73"/>
  <c r="B9" i="76"/>
  <c r="F40" i="67"/>
  <c r="M6" i="15"/>
  <c r="F7" i="15"/>
  <c r="F9" i="67"/>
  <c r="D5" i="73"/>
  <c r="AO13" i="1"/>
  <c r="E8" i="76"/>
  <c r="L48" i="15"/>
  <c r="M29" i="15"/>
  <c r="E12" i="76"/>
  <c r="M23" i="15"/>
  <c r="D3" i="73"/>
  <c r="E11" i="76"/>
  <c r="F6" i="15"/>
  <c r="F26" i="21" l="1"/>
  <c r="S26" i="21" s="1"/>
  <c r="H26" i="21"/>
  <c r="AB26" i="21" s="1"/>
  <c r="AB29" i="21"/>
  <c r="H30" i="21"/>
  <c r="U30" i="21" s="1"/>
  <c r="F34" i="21"/>
  <c r="AA34" i="21" s="1"/>
  <c r="W25" i="21"/>
  <c r="AB30" i="21"/>
  <c r="J30" i="21"/>
  <c r="F28" i="21"/>
  <c r="AA28" i="21" s="1"/>
  <c r="S30" i="21"/>
  <c r="AA30" i="21"/>
  <c r="AA29" i="21"/>
  <c r="U27" i="21"/>
  <c r="J28" i="21"/>
  <c r="W28" i="21" s="1"/>
  <c r="U34" i="21"/>
  <c r="AC34" i="21"/>
  <c r="C25" i="39"/>
  <c r="B79" i="43"/>
  <c r="B62" i="43"/>
  <c r="C21" i="39"/>
  <c r="B73" i="43"/>
  <c r="C27" i="39"/>
  <c r="B76" i="43"/>
  <c r="AZ380" i="3"/>
  <c r="AB25" i="39"/>
  <c r="U25" i="39"/>
  <c r="S19" i="40"/>
  <c r="AA19" i="40"/>
  <c r="U31" i="37"/>
  <c r="AB31" i="37"/>
  <c r="AB21" i="40"/>
  <c r="U21" i="40"/>
  <c r="AZ509" i="3"/>
  <c r="G521" i="3"/>
  <c r="AC5" i="3"/>
  <c r="AC27" i="37"/>
  <c r="W27" i="37"/>
  <c r="AA14" i="40"/>
  <c r="S14" i="40"/>
  <c r="W13" i="39"/>
  <c r="AC13" i="39"/>
  <c r="AB12" i="40"/>
  <c r="U12" i="40"/>
  <c r="AC13" i="35"/>
  <c r="W13" i="35"/>
  <c r="AC31" i="34"/>
  <c r="W31" i="34"/>
  <c r="U13" i="34"/>
  <c r="AB13" i="34"/>
  <c r="AB13" i="36"/>
  <c r="U13" i="36"/>
  <c r="AA17" i="34"/>
  <c r="S17" i="34"/>
  <c r="AB33" i="37"/>
  <c r="U33" i="37"/>
  <c r="AB15" i="34"/>
  <c r="U15" i="34"/>
  <c r="U23" i="34"/>
  <c r="AB23" i="34"/>
  <c r="D20" i="71"/>
  <c r="U20" i="71" s="1"/>
  <c r="T20" i="71"/>
  <c r="U27" i="40"/>
  <c r="AB27" i="40"/>
  <c r="AZ389" i="3"/>
  <c r="AZ347" i="3"/>
  <c r="AZ378" i="3"/>
  <c r="AA15" i="39"/>
  <c r="S15" i="39"/>
  <c r="AB37" i="39"/>
  <c r="U37" i="39"/>
  <c r="W15" i="37"/>
  <c r="AC15" i="37"/>
  <c r="AA15" i="37"/>
  <c r="S15" i="37"/>
  <c r="W12" i="37"/>
  <c r="AC12" i="37"/>
  <c r="S36" i="35"/>
  <c r="AA36" i="35"/>
  <c r="W36" i="40"/>
  <c r="AC36" i="40"/>
  <c r="AA36" i="37"/>
  <c r="S36" i="37"/>
  <c r="AB27" i="34"/>
  <c r="U27" i="34"/>
  <c r="S22" i="36"/>
  <c r="AA22" i="36"/>
  <c r="AZ559" i="3"/>
  <c r="AZ522" i="3"/>
  <c r="AZ546" i="3"/>
  <c r="AZ562" i="3"/>
  <c r="AZ578" i="3"/>
  <c r="AC14" i="37"/>
  <c r="W14" i="37"/>
  <c r="AB35" i="35"/>
  <c r="U35" i="35"/>
  <c r="S25" i="35"/>
  <c r="AA25" i="35"/>
  <c r="S13" i="35"/>
  <c r="AA13" i="35"/>
  <c r="S47" i="34"/>
  <c r="AA47" i="34"/>
  <c r="AB46" i="33"/>
  <c r="U46" i="33"/>
  <c r="AB30" i="33"/>
  <c r="U30" i="33"/>
  <c r="AC40" i="37"/>
  <c r="W40" i="37"/>
  <c r="AB11" i="33"/>
  <c r="U11" i="33"/>
  <c r="AA17" i="40"/>
  <c r="S17" i="40"/>
  <c r="AA41" i="33"/>
  <c r="S41" i="33"/>
  <c r="AZ577" i="3"/>
  <c r="BL573" i="3"/>
  <c r="AZ573" i="3"/>
  <c r="AZ569" i="3"/>
  <c r="AZ544" i="3"/>
  <c r="AZ540" i="3"/>
  <c r="AZ536" i="3"/>
  <c r="AZ532" i="3"/>
  <c r="AA25" i="34"/>
  <c r="F28" i="6"/>
  <c r="AZ379" i="3"/>
  <c r="AZ345" i="3"/>
  <c r="AZ318" i="3"/>
  <c r="AZ372" i="3"/>
  <c r="AZ337" i="3"/>
  <c r="AZ320" i="3"/>
  <c r="AZ305" i="3"/>
  <c r="AZ376" i="3"/>
  <c r="AZ362" i="3"/>
  <c r="AZ360" i="3"/>
  <c r="AZ343" i="3"/>
  <c r="S42" i="39"/>
  <c r="AB34" i="39"/>
  <c r="AZ513" i="3"/>
  <c r="BL537" i="3"/>
  <c r="AZ537" i="3" s="1"/>
  <c r="BL541" i="3"/>
  <c r="AZ541" i="3" s="1"/>
  <c r="BL545" i="3"/>
  <c r="AZ545" i="3" s="1"/>
  <c r="BL551" i="3"/>
  <c r="BL567" i="3"/>
  <c r="AZ567" i="3" s="1"/>
  <c r="BL575" i="3"/>
  <c r="AZ575" i="3" s="1"/>
  <c r="BL581" i="3"/>
  <c r="AZ581" i="3" s="1"/>
  <c r="AZ511" i="3"/>
  <c r="AZ515" i="3"/>
  <c r="AZ519" i="3"/>
  <c r="AZ565" i="3"/>
  <c r="AZ510" i="3"/>
  <c r="AZ584" i="3"/>
  <c r="AZ524" i="3"/>
  <c r="AZ528" i="3"/>
  <c r="AZ516" i="3"/>
  <c r="AZ526" i="3"/>
  <c r="F12" i="40"/>
  <c r="H32" i="36"/>
  <c r="F45" i="21"/>
  <c r="J31" i="21"/>
  <c r="AC31" i="21" s="1"/>
  <c r="F27" i="21"/>
  <c r="S28" i="34"/>
  <c r="AA12" i="36"/>
  <c r="U40" i="40"/>
  <c r="S34" i="40"/>
  <c r="AC9" i="40"/>
  <c r="S27" i="35"/>
  <c r="H39" i="37"/>
  <c r="AC27" i="35"/>
  <c r="F39" i="37"/>
  <c r="AB41" i="21"/>
  <c r="F12" i="21"/>
  <c r="J12" i="21"/>
  <c r="AC12" i="21" s="1"/>
  <c r="J12" i="34"/>
  <c r="F12" i="34"/>
  <c r="F23" i="36"/>
  <c r="H33" i="36"/>
  <c r="J33" i="36"/>
  <c r="AC33" i="36" s="1"/>
  <c r="J35" i="39"/>
  <c r="F35" i="39"/>
  <c r="H36" i="35"/>
  <c r="J36" i="35"/>
  <c r="AC28" i="36"/>
  <c r="W28" i="36"/>
  <c r="AB9" i="39"/>
  <c r="U9" i="39"/>
  <c r="H44" i="39"/>
  <c r="J44" i="39"/>
  <c r="BA551" i="3"/>
  <c r="AZ551" i="3" s="1"/>
  <c r="BL548" i="3"/>
  <c r="AZ548" i="3" s="1"/>
  <c r="BL586" i="3"/>
  <c r="AZ586" i="3" s="1"/>
  <c r="BL585" i="3"/>
  <c r="AZ585" i="3" s="1"/>
  <c r="G570" i="3"/>
  <c r="G556" i="3"/>
  <c r="BL550" i="3"/>
  <c r="BA550" i="3"/>
  <c r="AZ550" i="3" s="1"/>
  <c r="G526" i="3"/>
  <c r="BL15" i="3"/>
  <c r="BL5" i="3" s="1"/>
  <c r="BL16" i="3"/>
  <c r="AZ16" i="3" s="1"/>
  <c r="AZ403" i="3"/>
  <c r="AZ418" i="3"/>
  <c r="AZ422" i="3"/>
  <c r="AZ434" i="3"/>
  <c r="AZ450" i="3"/>
  <c r="AZ454" i="3"/>
  <c r="AZ459" i="3"/>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2" i="3"/>
  <c r="BL472" i="3"/>
  <c r="AZ472" i="3" s="1"/>
  <c r="BA474" i="3"/>
  <c r="AZ474"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L174" i="3"/>
  <c r="AZ174" i="3" s="1"/>
  <c r="BA176" i="3"/>
  <c r="AZ176" i="3" s="1"/>
  <c r="BL177" i="3"/>
  <c r="AZ177" i="3" s="1"/>
  <c r="G180" i="3"/>
  <c r="BA181" i="3"/>
  <c r="AZ181" i="3" s="1"/>
  <c r="BA182" i="3"/>
  <c r="AZ182" i="3" s="1"/>
  <c r="BL183" i="3"/>
  <c r="AZ183" i="3" s="1"/>
  <c r="BA185" i="3"/>
  <c r="AZ185" i="3" s="1"/>
  <c r="AZ301" i="3"/>
  <c r="AZ125" i="3"/>
  <c r="AZ205" i="3"/>
  <c r="AZ52" i="3"/>
  <c r="AZ87" i="3"/>
  <c r="C27" i="71"/>
  <c r="D28" i="71"/>
  <c r="U28" i="71" s="1"/>
  <c r="T28" i="71"/>
  <c r="T36" i="71"/>
  <c r="D36" i="71"/>
  <c r="C64" i="71"/>
  <c r="D63" i="71"/>
  <c r="BA188" i="3"/>
  <c r="AZ188" i="3" s="1"/>
  <c r="G190" i="3"/>
  <c r="G191" i="3"/>
  <c r="BL194" i="3"/>
  <c r="AZ194" i="3" s="1"/>
  <c r="BA196" i="3"/>
  <c r="AZ196" i="3" s="1"/>
  <c r="G198" i="3"/>
  <c r="G199" i="3"/>
  <c r="G202" i="3"/>
  <c r="G203" i="3"/>
  <c r="G205" i="3"/>
  <c r="BL205" i="3"/>
  <c r="G18" i="3"/>
  <c r="G5" i="3" s="1"/>
  <c r="B3" i="3" s="1"/>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F3" i="35"/>
  <c r="D78" i="43"/>
  <c r="J51" i="67"/>
  <c r="AA21" i="33"/>
  <c r="B88" i="43"/>
  <c r="C25" i="40"/>
  <c r="T44" i="71"/>
  <c r="D44" i="71"/>
  <c r="D50" i="71"/>
  <c r="C51" i="71"/>
  <c r="D58" i="71"/>
  <c r="C59" i="71"/>
  <c r="S18" i="35"/>
  <c r="S18" i="36"/>
  <c r="D56" i="71"/>
  <c r="C83" i="71"/>
  <c r="C75" i="71"/>
  <c r="C67" i="71"/>
  <c r="Q67" i="71"/>
  <c r="E67" i="71"/>
  <c r="Q65" i="71"/>
  <c r="AA3" i="71"/>
  <c r="D42" i="71"/>
  <c r="Y30" i="71"/>
  <c r="Z30" i="71" s="1"/>
  <c r="X29" i="71"/>
  <c r="F35" i="71"/>
  <c r="F36" i="71" s="1"/>
  <c r="V36" i="71" s="1"/>
  <c r="Y34" i="71"/>
  <c r="Z34" i="71" s="1"/>
  <c r="X32" i="71"/>
  <c r="AA29" i="71"/>
  <c r="E47" i="71"/>
  <c r="E48" i="71" s="1"/>
  <c r="U48" i="71" s="1"/>
  <c r="V24" i="71"/>
  <c r="AA32" i="21"/>
  <c r="AB13" i="21"/>
  <c r="U13" i="21"/>
  <c r="S12" i="21"/>
  <c r="AA12" i="21"/>
  <c r="F13" i="21"/>
  <c r="H12" i="21"/>
  <c r="AA25" i="21"/>
  <c r="AA9" i="21"/>
  <c r="S9" i="21"/>
  <c r="H9" i="21"/>
  <c r="F44" i="21"/>
  <c r="AA44" i="21" s="1"/>
  <c r="U40" i="21"/>
  <c r="S40" i="21"/>
  <c r="AC29" i="21"/>
  <c r="W29"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M23" i="43"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D9" i="69"/>
  <c r="C36" i="69"/>
  <c r="F27" i="69"/>
  <c r="G1" i="73"/>
  <c r="C16" i="15"/>
  <c r="AA26" i="21" l="1"/>
  <c r="S28" i="21"/>
  <c r="S34" i="21"/>
  <c r="AC28" i="21"/>
  <c r="AC30" i="21"/>
  <c r="W30" i="21"/>
  <c r="W12" i="21"/>
  <c r="E165" i="3"/>
  <c r="E148" i="3"/>
  <c r="E286" i="3"/>
  <c r="E575" i="3"/>
  <c r="E499" i="3"/>
  <c r="R6" i="3"/>
  <c r="E502" i="3"/>
  <c r="E442" i="3"/>
  <c r="E466" i="3"/>
  <c r="E541" i="3"/>
  <c r="E430" i="3"/>
  <c r="E449" i="3"/>
  <c r="E255" i="3"/>
  <c r="I3" i="6"/>
  <c r="AP6" i="3"/>
  <c r="E554" i="3"/>
  <c r="E517" i="3"/>
  <c r="E435" i="3"/>
  <c r="E491" i="3"/>
  <c r="E417" i="3"/>
  <c r="E479" i="3"/>
  <c r="E37" i="3"/>
  <c r="E132" i="3"/>
  <c r="E192" i="3"/>
  <c r="E258" i="3"/>
  <c r="E241" i="3"/>
  <c r="E292" i="3"/>
  <c r="E363" i="3"/>
  <c r="E389" i="3"/>
  <c r="E544" i="3"/>
  <c r="E76" i="3"/>
  <c r="E59" i="3"/>
  <c r="E484" i="3"/>
  <c r="E455" i="3"/>
  <c r="E79" i="3"/>
  <c r="E96" i="3"/>
  <c r="E38" i="3"/>
  <c r="E78" i="3"/>
  <c r="E100" i="3"/>
  <c r="E129" i="3"/>
  <c r="E170" i="3"/>
  <c r="E137" i="3"/>
  <c r="E174" i="3"/>
  <c r="E194" i="3"/>
  <c r="E234" i="3"/>
  <c r="E275" i="3"/>
  <c r="E219" i="3"/>
  <c r="E235" i="3"/>
  <c r="E299" i="3"/>
  <c r="E324" i="3"/>
  <c r="E339" i="3"/>
  <c r="E383" i="3"/>
  <c r="E325" i="3"/>
  <c r="E342" i="3"/>
  <c r="E392" i="3"/>
  <c r="E522" i="3"/>
  <c r="AQ6" i="3"/>
  <c r="E35" i="3"/>
  <c r="E36" i="3"/>
  <c r="E34" i="3"/>
  <c r="E112" i="3"/>
  <c r="E49" i="3"/>
  <c r="E123" i="3"/>
  <c r="E206" i="3"/>
  <c r="E232" i="3"/>
  <c r="E289" i="3"/>
  <c r="E251" i="3"/>
  <c r="E340" i="3"/>
  <c r="E370" i="3"/>
  <c r="E364" i="3"/>
  <c r="AF6" i="3"/>
  <c r="E102" i="3"/>
  <c r="E20" i="3"/>
  <c r="E80" i="3"/>
  <c r="E62" i="3"/>
  <c r="E113" i="3"/>
  <c r="E176" i="3"/>
  <c r="E218" i="3"/>
  <c r="E287" i="3"/>
  <c r="E265" i="3"/>
  <c r="E308" i="3"/>
  <c r="E365" i="3"/>
  <c r="E326" i="3"/>
  <c r="E524" i="3"/>
  <c r="E22" i="3"/>
  <c r="E101" i="3"/>
  <c r="E149" i="3"/>
  <c r="E167" i="3"/>
  <c r="E141" i="3"/>
  <c r="E312" i="3"/>
  <c r="AD6" i="3"/>
  <c r="E542" i="3"/>
  <c r="E552" i="3"/>
  <c r="E421" i="3"/>
  <c r="E398" i="3"/>
  <c r="E459" i="3"/>
  <c r="E374" i="3"/>
  <c r="E566" i="3"/>
  <c r="E500" i="3"/>
  <c r="E582" i="3"/>
  <c r="E413" i="3"/>
  <c r="E460" i="3"/>
  <c r="E520" i="3"/>
  <c r="E436" i="3"/>
  <c r="E39" i="3"/>
  <c r="E90" i="3"/>
  <c r="E57" i="3"/>
  <c r="E131" i="3"/>
  <c r="E187" i="3"/>
  <c r="E155" i="3"/>
  <c r="E240" i="3"/>
  <c r="E297" i="3"/>
  <c r="E348" i="3"/>
  <c r="E378" i="3"/>
  <c r="E375" i="3"/>
  <c r="E504" i="3"/>
  <c r="E58" i="3"/>
  <c r="E110" i="3"/>
  <c r="E488" i="3"/>
  <c r="E446" i="3"/>
  <c r="E47" i="3"/>
  <c r="E64" i="3"/>
  <c r="E98" i="3"/>
  <c r="E46" i="3"/>
  <c r="E65" i="3"/>
  <c r="E103" i="3"/>
  <c r="E160" i="3"/>
  <c r="E195" i="3"/>
  <c r="E200" i="3"/>
  <c r="E248" i="3"/>
  <c r="E267" i="3"/>
  <c r="E209" i="3"/>
  <c r="E249" i="3"/>
  <c r="E266" i="3"/>
  <c r="E300" i="3"/>
  <c r="E307" i="3"/>
  <c r="E371" i="3"/>
  <c r="E386" i="3"/>
  <c r="E310" i="3"/>
  <c r="E354" i="3"/>
  <c r="E492" i="3"/>
  <c r="E584" i="3"/>
  <c r="E24" i="3"/>
  <c r="E48" i="3"/>
  <c r="E33" i="3"/>
  <c r="E144" i="3"/>
  <c r="E127" i="3"/>
  <c r="E184" i="3"/>
  <c r="E250" i="3"/>
  <c r="E233" i="3"/>
  <c r="E284" i="3"/>
  <c r="E355" i="3"/>
  <c r="E341" i="3"/>
  <c r="E381" i="3"/>
  <c r="Y6" i="3"/>
  <c r="E63" i="3"/>
  <c r="E19" i="3"/>
  <c r="E81" i="3"/>
  <c r="E154" i="3"/>
  <c r="E118" i="3"/>
  <c r="E179" i="3"/>
  <c r="E222" i="3"/>
  <c r="E283" i="3"/>
  <c r="E323" i="3"/>
  <c r="E309" i="3"/>
  <c r="E373" i="3"/>
  <c r="E513" i="3"/>
  <c r="E21"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6" i="71"/>
  <c r="P67" i="71"/>
  <c r="O67" i="71"/>
  <c r="D67" i="71"/>
  <c r="C66" i="71"/>
  <c r="D83" i="71"/>
  <c r="C82" i="71"/>
  <c r="D82" i="71" s="1"/>
  <c r="D59" i="71"/>
  <c r="C60" i="71"/>
  <c r="D51" i="71"/>
  <c r="C52" i="71"/>
  <c r="E86" i="3"/>
  <c r="E84" i="3"/>
  <c r="E82" i="3"/>
  <c r="E68" i="3"/>
  <c r="E66" i="3"/>
  <c r="E56" i="3"/>
  <c r="E51" i="3"/>
  <c r="E23" i="3"/>
  <c r="E199" i="3"/>
  <c r="E158" i="3"/>
  <c r="E142" i="3"/>
  <c r="E138" i="3"/>
  <c r="E212" i="3"/>
  <c r="E349" i="3"/>
  <c r="E487" i="3"/>
  <c r="E467" i="3"/>
  <c r="E464" i="3"/>
  <c r="AZ451" i="3"/>
  <c r="AZ438" i="3"/>
  <c r="AZ435" i="3"/>
  <c r="AZ419" i="3"/>
  <c r="E416" i="3"/>
  <c r="AB44" i="39"/>
  <c r="U44" i="39"/>
  <c r="AB36" i="35"/>
  <c r="U36" i="35"/>
  <c r="AA35" i="39"/>
  <c r="S35" i="39"/>
  <c r="AA23" i="36"/>
  <c r="S23" i="36"/>
  <c r="W12" i="34"/>
  <c r="AC12" i="34"/>
  <c r="S39" i="37"/>
  <c r="AA39" i="37"/>
  <c r="AB39" i="37"/>
  <c r="U39" i="37"/>
  <c r="AB32" i="36"/>
  <c r="U32" i="36"/>
  <c r="AZ15" i="3"/>
  <c r="AZ5" i="3" s="1"/>
  <c r="E521" i="3"/>
  <c r="C31" i="12"/>
  <c r="C74" i="71"/>
  <c r="D74" i="71" s="1"/>
  <c r="D75" i="71"/>
  <c r="E95" i="3"/>
  <c r="E87" i="3"/>
  <c r="E83" i="3"/>
  <c r="E67" i="3"/>
  <c r="E52" i="3"/>
  <c r="E50" i="3"/>
  <c r="E18" i="3"/>
  <c r="E190" i="3"/>
  <c r="D27" i="71"/>
  <c r="C26" i="71"/>
  <c r="D26" i="71" s="1"/>
  <c r="E163" i="3"/>
  <c r="E152" i="3"/>
  <c r="E147" i="3"/>
  <c r="E264" i="3"/>
  <c r="E259" i="3"/>
  <c r="E244" i="3"/>
  <c r="E220" i="3"/>
  <c r="E462" i="3"/>
  <c r="E425" i="3"/>
  <c r="E409" i="3"/>
  <c r="AC44" i="39"/>
  <c r="W44" i="39"/>
  <c r="AC36" i="35"/>
  <c r="W36" i="35"/>
  <c r="AC35" i="39"/>
  <c r="W35" i="39"/>
  <c r="AB33" i="36"/>
  <c r="U33" i="36"/>
  <c r="S12" i="34"/>
  <c r="AA12" i="34"/>
  <c r="AA27" i="21"/>
  <c r="S27" i="21"/>
  <c r="S45" i="21"/>
  <c r="AA45" i="21"/>
  <c r="S12" i="40"/>
  <c r="AA12" i="40"/>
  <c r="S13" i="2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W7" i="37"/>
  <c r="T52" i="71"/>
  <c r="D52" i="71"/>
  <c r="T60" i="71"/>
  <c r="D60" i="71"/>
  <c r="D66" i="71"/>
  <c r="O65" i="71"/>
  <c r="O66" i="71"/>
  <c r="P66" i="71"/>
  <c r="P65" i="71"/>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C38" i="43"/>
  <c r="G38" i="43" s="1"/>
  <c r="I38" i="43" s="1"/>
  <c r="C39" i="43"/>
  <c r="G39" i="43" s="1"/>
  <c r="I39" i="43" s="1"/>
  <c r="C37" i="43"/>
  <c r="E37" i="43" s="1"/>
  <c r="C33" i="43"/>
  <c r="C6" i="69" s="1"/>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17" i="15"/>
  <c r="C14" i="67"/>
  <c r="D10" i="69"/>
  <c r="C34" i="69"/>
  <c r="E38" i="43" l="1"/>
  <c r="G37" i="43"/>
  <c r="I37" i="43" s="1"/>
  <c r="C7" i="69"/>
  <c r="C25" i="11"/>
  <c r="C22" i="11" s="1"/>
  <c r="C31" i="11" s="1"/>
  <c r="E39" i="43"/>
  <c r="E40" i="43"/>
  <c r="G42" i="43"/>
  <c r="I42"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5" i="69"/>
  <c r="C23" i="69" s="1"/>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J48" i="35"/>
  <c r="E6" i="76"/>
  <c r="P58" i="21" l="1"/>
  <c r="E2" i="76"/>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F35" i="15"/>
  <c r="F35" i="67"/>
  <c r="M21" i="15"/>
  <c r="M21" i="67"/>
  <c r="R58" i="21"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C51" i="69"/>
  <c r="C52" i="69" s="1"/>
  <c r="B2" i="69" s="1"/>
  <c r="H49" i="6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3" i="69"/>
  <c r="D2" i="21"/>
  <c r="T58" i="21" l="1"/>
  <c r="C57" i="69"/>
  <c r="C56" i="69" s="1"/>
  <c r="C6" i="71"/>
  <c r="D7"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L57" i="67"/>
  <c r="L60" i="67" s="1"/>
  <c r="L46" i="67" s="1"/>
  <c r="Q67" i="67"/>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5"/>
  <c r="D2" i="37"/>
  <c r="V58" i="21" l="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6" i="1"/>
  <c r="AO11" i="1"/>
  <c r="AO9" i="1"/>
  <c r="AO12" i="1"/>
  <c r="W58" i="21" l="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X58" i="21"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Y58" i="21" l="1"/>
  <c r="C42" i="40"/>
  <c r="C43" i="40"/>
  <c r="E47" i="40"/>
  <c r="F47" i="40" s="1"/>
  <c r="E46" i="40"/>
  <c r="F46" i="40" s="1"/>
  <c r="I47" i="40"/>
  <c r="J47" i="40" s="1"/>
  <c r="Z58" i="21" l="1"/>
  <c r="AA58" i="21" s="1"/>
  <c r="AB58" i="21" s="1"/>
  <c r="F7" i="21" s="1"/>
  <c r="H7" i="21"/>
  <c r="J7" i="21"/>
  <c r="B58" i="40"/>
  <c r="F58" i="40" s="1"/>
  <c r="B54" i="40"/>
  <c r="F54" i="40" s="1"/>
  <c r="B53" i="40"/>
  <c r="F53" i="40" s="1"/>
  <c r="B59" i="40"/>
  <c r="F59" i="40" s="1"/>
  <c r="B52" i="40"/>
  <c r="F52" i="40" s="1"/>
  <c r="B56" i="40"/>
  <c r="F56" i="40" s="1"/>
  <c r="B60" i="40"/>
  <c r="F60" i="40" s="1"/>
  <c r="B57" i="40"/>
  <c r="F57" i="40" s="1"/>
  <c r="B51" i="40"/>
  <c r="F51" i="40" s="1"/>
  <c r="F61" i="40"/>
  <c r="B2" i="40" s="1"/>
  <c r="B3" i="40" s="1"/>
  <c r="AB7" i="21" l="1"/>
  <c r="T48" i="21" s="1"/>
  <c r="G48" i="21" s="1"/>
  <c r="U7" i="21"/>
  <c r="AC7" i="21"/>
  <c r="V48" i="21" s="1"/>
  <c r="I48" i="21" s="1"/>
  <c r="W7" i="21"/>
  <c r="AA7" i="21"/>
  <c r="R48" i="21" s="1"/>
  <c r="S7" i="21"/>
  <c r="I52" i="21" l="1"/>
  <c r="J52" i="21" s="1"/>
  <c r="R49" i="21"/>
  <c r="E48" i="21"/>
  <c r="G52" i="21"/>
  <c r="H52" i="21" s="1"/>
  <c r="G53" i="21"/>
  <c r="H53" i="21" s="1"/>
  <c r="B6" i="74"/>
  <c r="D6" i="74" s="1"/>
  <c r="C49" i="21" l="1"/>
  <c r="C48" i="21"/>
  <c r="E52" i="21"/>
  <c r="F52" i="21" s="1"/>
  <c r="E53" i="21"/>
  <c r="F53" i="21" s="1"/>
  <c r="I53" i="21"/>
  <c r="J53" i="21" s="1"/>
  <c r="B2" i="21" l="1"/>
  <c r="B3" i="21"/>
  <c r="C19" i="9"/>
  <c r="D20" i="9"/>
  <c r="C20" i="9"/>
  <c r="D19" i="9"/>
  <c r="C21" i="9" l="1"/>
  <c r="C102" i="9"/>
  <c r="C103" i="9"/>
  <c r="G20" i="9"/>
  <c r="D103" i="9"/>
  <c r="D102" i="9"/>
  <c r="G19" i="9"/>
  <c r="G21" i="9" s="1"/>
  <c r="D21" i="9"/>
  <c r="D22" i="9"/>
  <c r="C32" i="9" l="1"/>
  <c r="C35" i="9" s="1"/>
  <c r="C34" i="9" s="1"/>
  <c r="E14" i="74"/>
  <c r="D14" i="74" s="1"/>
  <c r="G22" i="9" l="1"/>
  <c r="B5" i="74"/>
  <c r="F14" i="74"/>
  <c r="D5" i="74" l="1"/>
  <c r="B47" i="72"/>
  <c r="D4" i="52"/>
  <c r="B22" i="72"/>
  <c r="D6" i="53"/>
  <c r="B21" i="72"/>
  <c r="D7" i="53"/>
  <c r="H5" i="52"/>
  <c r="H119" i="9"/>
  <c r="M54" i="9"/>
  <c r="D56" i="9"/>
  <c r="D58" i="9"/>
  <c r="C97" i="9"/>
  <c r="M55" i="9"/>
  <c r="D59" i="9"/>
  <c r="B30" i="72"/>
  <c r="C81" i="9"/>
  <c r="E81" i="9"/>
  <c r="C72" i="9"/>
  <c r="C79" i="9"/>
  <c r="C80" i="9"/>
  <c r="E80" i="9"/>
  <c r="D54" i="9"/>
  <c r="C64" i="9"/>
  <c r="C63" i="9"/>
  <c r="C67" i="9"/>
  <c r="C68" i="9"/>
  <c r="B31" i="72"/>
  <c r="D15" i="53"/>
  <c r="N61" i="9"/>
  <c r="N59" i="9"/>
  <c r="N60" i="9"/>
  <c r="D5" i="53"/>
  <c r="B20" i="72"/>
  <c r="B51" i="72"/>
  <c r="F4" i="52"/>
  <c r="D9" i="52"/>
  <c r="D123" i="9"/>
  <c r="C86" i="9"/>
  <c r="C93" i="9"/>
  <c r="D13" i="53"/>
  <c r="D14" i="53"/>
  <c r="B32" i="72"/>
  <c r="D118" i="9"/>
  <c r="D119" i="9"/>
  <c r="D5" i="52"/>
  <c r="B49" i="72"/>
  <c r="F119" i="9"/>
  <c r="F5" i="52"/>
  <c r="B53" i="72"/>
  <c r="D52" i="9"/>
  <c r="D53" i="9"/>
  <c r="M48" i="9"/>
  <c r="H102" i="9"/>
  <c r="C5" i="74"/>
  <c r="C105" i="9"/>
  <c r="I4" i="52"/>
  <c r="P57" i="9"/>
  <c r="D55" i="9"/>
  <c r="M53" i="9"/>
  <c r="N57" i="9"/>
  <c r="N58" i="9"/>
  <c r="D122" i="9"/>
  <c r="D8" i="52"/>
  <c r="C104" i="9"/>
  <c r="H4" i="52"/>
  <c r="H107" i="9"/>
  <c r="H108" i="9"/>
  <c r="C6" i="74"/>
  <c r="C85" i="9"/>
  <c r="C95" i="9"/>
  <c r="C96" i="9"/>
  <c r="E96" i="9"/>
  <c r="E97" i="9"/>
  <c r="F118" i="9"/>
  <c r="G118" i="9"/>
  <c r="G4" i="52"/>
  <c r="B52" i="72"/>
  <c r="E118" i="9"/>
  <c r="E4" i="52"/>
  <c r="B48"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<sst xmlns="http://schemas.openxmlformats.org/spreadsheetml/2006/main" count="7980" uniqueCount="3507">
  <si>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</si>
  <si>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</si>
  <si>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</si>
  <si>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</si>
  <si>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</si>
  <si>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</si>
  <si>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</si>
  <si>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</si>
  <si>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</si>
  <si>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</si>
  <si>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</si>
  <si>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</si>
  <si>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</si>
  <si>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</si>
  <si>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</si>
  <si>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</si>
  <si>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</si>
  <si>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</si>
  <si>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</si>
  <si>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</si>
  <si>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</si>
  <si>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</si>
  <si>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</si>
  <si>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</si>
  <si>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</si>
  <si>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</si>
  <si>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</si>
  <si>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</si>
  <si>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</si>
  <si>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</si>
  <si>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</si>
  <si>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</si>
  <si>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</si>
  <si>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</si>
  <si>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</si>
  <si>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</si>
  <si>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</si>
  <si>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</si>
  <si>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</si>
  <si>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</si>
  <si>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</si>
  <si>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</si>
  <si>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</si>
  <si>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</si>
  <si>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</si>
  <si>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</si>
  <si>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</si>
  <si>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</si>
  <si>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</si>
  <si>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</si>
  <si>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</si>
  <si>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</si>
  <si>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</si>
  <si>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</si>
  <si>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</si>
  <si>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</si>
  <si>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</si>
  <si>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</si>
  <si>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</si>
  <si>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</si>
  <si>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</si>
  <si>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</si>
  <si>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</si>
  <si>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</si>
  <si>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</si>
  <si>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</si>
  <si>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</si>
  <si>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</si>
  <si>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</si>
  <si>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</si>
  <si>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</si>
  <si>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</si>
  <si>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</si>
  <si>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</si>
  <si>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</si>
  <si>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</si>
  <si>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</si>
  <si>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</si>
  <si>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</si>
  <si>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</si>
  <si>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</si>
  <si>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</si>
  <si>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</si>
  <si>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</si>
  <si>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</si>
  <si>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</si>
  <si>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</si>
  <si>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</si>
  <si>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</si>
  <si>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</si>
  <si>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</si>
  <si>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</si>
  <si>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</si>
  <si>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</si>
  <si>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</si>
  <si>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</si>
  <si>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</si>
  <si>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</si>
  <si>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</si>
  <si>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</si>
  <si>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</si>
  <si>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</si>
  <si>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</si>
  <si>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</si>
  <si>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</si>
  <si>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</si>
  <si>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</si>
  <si>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</si>
  <si>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</si>
  <si>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</si>
  <si>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</si>
  <si>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</si>
  <si>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</si>
  <si>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</si>
  <si>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</si>
  <si>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</si>
  <si>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</si>
  <si>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</si>
  <si>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</si>
  <si>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</si>
  <si>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</si>
  <si>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</si>
  <si>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</si>
  <si>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</si>
  <si>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</si>
  <si>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</si>
  <si>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</si>
  <si>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</si>
  <si>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</si>
  <si>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</si>
  <si>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</si>
  <si>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</si>
  <si>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</si>
  <si>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</si>
  <si>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</si>
  <si>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</si>
  <si>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</si>
  <si>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</si>
  <si>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</si>
  <si>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</si>
  <si>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</si>
  <si>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</si>
  <si>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</si>
  <si>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</si>
  <si>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</si>
  <si>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</si>
  <si>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</si>
  <si>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</si>
  <si>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</si>
  <si>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</si>
  <si>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</si>
  <si>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</si>
  <si>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</si>
  <si>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</si>
  <si>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</si>
  <si>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</si>
  <si>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</si>
  <si>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</si>
  <si>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</si>
  <si>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</si>
  <si>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</si>
  <si>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</si>
  <si>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</si>
  <si>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</si>
  <si>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</si>
  <si>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</si>
  <si>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</si>
  <si>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</si>
  <si>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</si>
  <si>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</si>
  <si>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</si>
  <si>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</si>
  <si>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</si>
  <si>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</si>
  <si>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</si>
  <si>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</si>
  <si>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</si>
  <si>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</si>
  <si>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</si>
  <si>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</si>
  <si>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</si>
  <si>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</si>
  <si>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</si>
  <si>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</si>
  <si>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</si>
  <si>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</si>
  <si>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</si>
  <si>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</si>
  <si>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</si>
  <si>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</si>
  <si>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</si>
  <si>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</si>
  <si>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</si>
  <si>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</si>
  <si>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</si>
  <si>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</si>
  <si>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</si>
  <si>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</si>
  <si>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</si>
  <si>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</si>
  <si>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</si>
  <si>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</si>
  <si>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</si>
  <si>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</si>
  <si>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</si>
  <si>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</si>
  <si>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</si>
  <si>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</si>
  <si>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</si>
  <si>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</si>
  <si>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</si>
  <si>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</si>
  <si>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</si>
  <si>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</si>
  <si>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</si>
  <si>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</si>
  <si>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</si>
  <si>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</si>
  <si>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</si>
  <si>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</si>
  <si>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</si>
  <si>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</si>
  <si>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</si>
  <si>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</si>
  <si>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</si>
  <si>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</si>
  <si>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</si>
  <si>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</si>
  <si>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</si>
  <si>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</si>
  <si>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</si>
  <si>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</si>
  <si>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</si>
  <si>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</si>
  <si>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</si>
  <si>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</si>
  <si>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</si>
  <si>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</si>
  <si>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</si>
  <si>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</si>
  <si>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</si>
  <si>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</si>
  <si>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</si>
  <si>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</si>
  <si>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</si>
  <si>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</si>
  <si>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</si>
  <si>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</si>
  <si>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</si>
  <si>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</si>
  <si>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</si>
  <si>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</si>
  <si>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</si>
  <si>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</si>
  <si>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</si>
  <si>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</si>
  <si>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</si>
  <si>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</si>
  <si>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</si>
  <si>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</si>
  <si>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</si>
  <si>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</si>
  <si>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</si>
  <si>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</si>
  <si>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</si>
  <si>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</si>
  <si>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</si>
  <si>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</si>
  <si>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</si>
  <si>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</si>
  <si>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</si>
  <si>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</si>
  <si>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</si>
  <si>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</si>
  <si>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</si>
  <si>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</si>
  <si>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</si>
  <si>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</si>
  <si>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</si>
  <si>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</si>
  <si>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</si>
  <si>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</si>
  <si>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</si>
  <si>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</si>
  <si>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</si>
  <si>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</si>
  <si>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</si>
  <si>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</si>
  <si>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</si>
  <si>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</si>
  <si>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</si>
  <si>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</si>
  <si>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</si>
  <si>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</si>
  <si>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</si>
  <si>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</si>
  <si>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</si>
  <si>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</si>
  <si>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</si>
  <si>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</si>
  <si>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</si>
  <si>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</si>
  <si>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</si>
  <si>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</si>
  <si>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</si>
  <si>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</si>
  <si>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</si>
  <si>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</si>
  <si>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</si>
  <si>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</si>
  <si>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</si>
  <si>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</si>
  <si>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</si>
  <si>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</si>
  <si>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</si>
  <si>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</si>
  <si>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</si>
  <si>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</si>
  <si>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</si>
  <si>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</si>
  <si>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</si>
  <si>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</si>
  <si>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</si>
  <si>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</si>
  <si>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</si>
  <si>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</si>
  <si>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</si>
  <si>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</si>
  <si>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</si>
  <si>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</si>
  <si>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</si>
  <si>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</si>
  <si>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</si>
  <si>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</si>
  <si>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</si>
  <si>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</si>
  <si>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</si>
  <si>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</si>
  <si>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</si>
  <si>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</si>
  <si>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</si>
  <si>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</si>
  <si>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</si>
  <si>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</si>
  <si>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</si>
  <si>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</si>
  <si>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</si>
  <si>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</si>
  <si>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</si>
  <si>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</si>
  <si>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</si>
  <si>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</si>
  <si>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</si>
  <si>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</si>
  <si>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</si>
  <si>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</si>
  <si>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</si>
  <si>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</si>
  <si>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</si>
  <si>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</si>
  <si>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</si>
  <si>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</si>
  <si>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</si>
  <si>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</si>
  <si>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</si>
  <si>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</si>
  <si>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</si>
  <si>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</si>
  <si>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</si>
  <si>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</si>
  <si>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</si>
  <si>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</si>
  <si>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</si>
  <si>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</si>
  <si>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</si>
  <si>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</si>
  <si>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</si>
  <si>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</si>
  <si>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</si>
  <si>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</si>
  <si>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</si>
  <si>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</si>
  <si>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</si>
  <si>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</si>
  <si>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</si>
  <si>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</si>
  <si>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</si>
  <si>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</si>
  <si>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</si>
  <si>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</si>
  <si>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</si>
  <si>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</si>
  <si>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</si>
  <si>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</si>
  <si>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</si>
  <si>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</si>
  <si>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</si>
  <si>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</si>
  <si>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</si>
  <si>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</si>
  <si>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</si>
  <si>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</si>
  <si>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</si>
  <si>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</si>
  <si>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</si>
  <si>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</si>
  <si>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</si>
  <si>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</si>
  <si>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</si>
  <si>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</si>
  <si>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</si>
  <si>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</si>
  <si>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</si>
  <si>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</si>
  <si>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</si>
  <si>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</si>
  <si>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</si>
  <si>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</si>
  <si>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</si>
  <si>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</si>
  <si>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</si>
  <si>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</si>
  <si>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</si>
  <si>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</si>
  <si>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</si>
  <si>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</si>
  <si>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</si>
  <si>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</si>
  <si>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</si>
  <si>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</si>
  <si>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</si>
  <si>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</si>
  <si>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</si>
  <si>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</si>
  <si>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</si>
  <si>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</si>
  <si>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</si>
  <si>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</si>
  <si>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</si>
  <si>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</si>
  <si>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</si>
  <si>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</si>
  <si>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</si>
  <si>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</si>
  <si>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</si>
  <si>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</si>
  <si>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</si>
  <si>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</si>
  <si>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</si>
  <si>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</si>
  <si>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</si>
  <si>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</si>
  <si>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</si>
  <si>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</si>
  <si>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</si>
  <si>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</si>
  <si>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</si>
  <si>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</si>
  <si>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</si>
  <si>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</si>
  <si>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</si>
  <si>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</si>
  <si>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</si>
  <si>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</si>
  <si>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</si>
  <si>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</si>
  <si>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</si>
  <si>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</si>
  <si>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</si>
  <si>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</si>
  <si>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</si>
  <si>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</si>
  <si>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</si>
  <si>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</si>
  <si>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</si>
  <si>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</si>
  <si>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</si>
  <si>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</si>
  <si>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</si>
  <si>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</si>
  <si>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</si>
  <si>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</si>
  <si>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</si>
  <si>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</si>
  <si>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</si>
  <si>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</si>
  <si>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</si>
  <si>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</si>
  <si>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</si>
  <si>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</si>
  <si>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</si>
  <si>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</si>
  <si>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</si>
  <si>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</si>
  <si>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</si>
  <si>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</si>
  <si>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</si>
  <si>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</si>
  <si>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</si>
  <si>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</si>
  <si>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</si>
  <si>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</si>
  <si>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</si>
  <si>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</si>
  <si>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</si>
  <si>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</si>
  <si>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</si>
  <si>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</si>
  <si>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</si>
  <si>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</si>
  <si>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</si>
  <si>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</si>
  <si>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</si>
  <si>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</si>
  <si>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</si>
  <si>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</si>
  <si>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</si>
  <si>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</si>
  <si>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</si>
  <si>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</si>
  <si>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</si>
  <si>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</si>
  <si>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</si>
  <si>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</si>
  <si>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</si>
  <si>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</si>
  <si>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</si>
  <si>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</si>
  <si>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</si>
  <si>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</si>
  <si>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</si>
  <si>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</si>
  <si>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</si>
  <si>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</si>
  <si>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</si>
  <si>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</si>
  <si>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</si>
  <si>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</si>
  <si>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</si>
  <si>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</si>
  <si>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</si>
  <si>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</si>
  <si>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</si>
  <si>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</si>
  <si>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</si>
  <si>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</si>
  <si>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</si>
  <si>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</si>
  <si>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</si>
  <si>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</si>
  <si>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</si>
  <si>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</si>
  <si>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</si>
  <si>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</si>
  <si>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</si>
  <si>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</si>
  <si>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</si>
  <si>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</si>
  <si>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</si>
  <si>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</si>
  <si>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</si>
  <si>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</si>
  <si>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</si>
  <si>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</si>
  <si>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</si>
  <si>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</si>
  <si>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</si>
  <si>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</si>
  <si>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</si>
  <si>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</si>
  <si>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</si>
  <si>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</si>
  <si>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</si>
  <si>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</si>
  <si>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</si>
  <si>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</si>
  <si>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</si>
  <si>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</si>
  <si>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</si>
  <si>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</si>
  <si>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</si>
  <si>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</si>
  <si>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</si>
  <si>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</si>
  <si>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</si>
  <si>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</si>
  <si>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</si>
  <si>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</si>
  <si>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</si>
  <si>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</si>
  <si>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</si>
  <si>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</si>
  <si>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</si>
  <si>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</si>
  <si>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</si>
  <si>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</si>
  <si>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</si>
  <si>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</si>
  <si>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</si>
  <si>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</si>
  <si>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</si>
  <si>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</si>
  <si>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</si>
  <si>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</si>
  <si>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</si>
  <si>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</si>
  <si>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</si>
  <si>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</si>
  <si>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</si>
  <si>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</si>
  <si>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</si>
  <si>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</si>
  <si>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</si>
  <si>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</si>
  <si>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</si>
  <si>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</si>
  <si>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</si>
  <si>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</si>
  <si>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</si>
  <si>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</si>
  <si>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</si>
  <si>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</si>
  <si>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</si>
  <si>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</si>
  <si>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</si>
  <si>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</si>
  <si>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</si>
  <si>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</si>
  <si>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</si>
  <si>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</si>
  <si>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</si>
  <si>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</si>
  <si>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</si>
  <si>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</si>
  <si>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</si>
  <si>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</si>
  <si>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</si>
  <si>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</si>
  <si>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</si>
  <si>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</si>
  <si>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</si>
  <si>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</si>
  <si>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</si>
  <si>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</si>
  <si>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</si>
  <si>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</si>
  <si>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</si>
  <si>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</si>
  <si>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</si>
  <si>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</si>
  <si>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</si>
  <si>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</si>
  <si>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</si>
  <si>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</si>
  <si>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</si>
  <si>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</si>
  <si>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</si>
  <si>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</si>
  <si>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</si>
  <si>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</si>
  <si>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</si>
  <si>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</si>
  <si>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</si>
  <si>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</si>
  <si>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</si>
  <si>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</si>
  <si>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</si>
  <si>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</si>
  <si>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</si>
  <si>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</si>
  <si>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</si>
  <si>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</si>
  <si>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</si>
  <si>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</si>
  <si>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</si>
  <si>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</si>
  <si>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</si>
  <si>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</si>
  <si>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</si>
  <si>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</si>
  <si>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</si>
  <si>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</si>
  <si>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</si>
  <si>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</si>
  <si>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</si>
  <si>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</si>
  <si>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</si>
  <si>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</si>
  <si>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</si>
  <si>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</si>
  <si>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</si>
  <si>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</si>
  <si>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</si>
  <si>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</si>
  <si>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</si>
  <si>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</si>
  <si>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</si>
  <si>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</si>
  <si>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</si>
  <si>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</si>
  <si>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</si>
  <si>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</si>
  <si>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</si>
  <si>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</si>
  <si>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</si>
  <si>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</si>
  <si>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</si>
  <si>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</si>
  <si>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</si>
  <si>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</si>
  <si>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</si>
  <si>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</si>
  <si>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</si>
  <si>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</si>
  <si>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</si>
  <si>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</si>
  <si>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</si>
  <si>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</si>
  <si>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</si>
  <si>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</si>
  <si>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</si>
  <si>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</si>
  <si>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</si>
  <si>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</si>
  <si>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</si>
  <si>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</si>
  <si>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</si>
  <si>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</si>
  <si>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</si>
  <si>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</si>
  <si>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</si>
  <si>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</si>
  <si>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</si>
  <si>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</si>
  <si>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</si>
  <si>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</si>
  <si>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</si>
  <si>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</si>
  <si>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</si>
  <si>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</si>
  <si>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</si>
  <si>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</si>
  <si>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</si>
  <si>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</si>
  <si>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</si>
  <si>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</si>
  <si>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</si>
  <si>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</si>
  <si>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</si>
  <si>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</si>
  <si>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</si>
  <si>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</si>
  <si>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</si>
  <si>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</si>
  <si>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</si>
  <si>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</si>
  <si>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</si>
  <si>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</si>
  <si>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</si>
  <si>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</si>
  <si>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</si>
  <si>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</si>
  <si>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</si>
  <si>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</si>
  <si>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</si>
  <si>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</si>
  <si>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</si>
  <si>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</si>
  <si>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</si>
  <si>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</si>
  <si>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</si>
  <si>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</si>
  <si>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</si>
  <si>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</si>
  <si>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</si>
  <si>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</si>
  <si>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</si>
  <si>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</si>
  <si>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</si>
  <si>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</si>
  <si>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</si>
  <si>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</si>
  <si>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</si>
  <si>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</si>
  <si>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</si>
  <si>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</si>
  <si>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</si>
  <si>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</si>
  <si>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</si>
  <si>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</si>
  <si>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</si>
  <si>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</si>
  <si>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</si>
  <si>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</si>
  <si>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</si>
  <si>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</si>
  <si>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</si>
  <si>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</si>
  <si>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</si>
  <si>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</si>
  <si>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</si>
  <si>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</si>
  <si>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</si>
  <si>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</si>
  <si>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</si>
  <si>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</si>
  <si>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</si>
  <si>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</si>
  <si>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</si>
  <si>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</si>
  <si>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</si>
  <si>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</si>
  <si>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</si>
  <si>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</si>
  <si>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</si>
  <si>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</si>
  <si>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</si>
  <si>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</si>
  <si>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</si>
  <si>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</si>
  <si>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</si>
  <si>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</si>
  <si>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</si>
  <si>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</si>
  <si>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</si>
  <si>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</si>
  <si>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</si>
  <si>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</si>
  <si>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</si>
  <si>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</si>
  <si>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</si>
  <si>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</si>
  <si>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</si>
  <si>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</si>
  <si>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</si>
  <si>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</si>
  <si>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</si>
  <si>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</si>
  <si>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</si>
  <si>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</si>
  <si>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</si>
  <si>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</si>
  <si>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</si>
  <si>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</si>
  <si>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</si>
  <si>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</si>
  <si>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</si>
  <si>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</si>
  <si>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</si>
  <si>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</si>
  <si>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</si>
  <si>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</si>
  <si>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</si>
  <si>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</si>
  <si>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</si>
  <si>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</si>
  <si>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</si>
  <si>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</si>
  <si>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</si>
  <si>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</si>
  <si>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</si>
  <si>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</si>
  <si>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</si>
  <si>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</si>
  <si>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</si>
  <si>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</si>
  <si>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</si>
  <si>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</si>
  <si>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</si>
  <si>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</si>
  <si>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</si>
  <si>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</si>
  <si>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</si>
  <si>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</si>
  <si>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</si>
  <si>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</si>
  <si>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</si>
  <si>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</si>
  <si>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</si>
  <si>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</si>
  <si>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</si>
  <si>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</si>
  <si>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</si>
  <si>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</si>
  <si>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</si>
  <si>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</si>
  <si>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</si>
  <si>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</si>
  <si>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</si>
  <si>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</si>
  <si>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</si>
  <si>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</si>
  <si>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</si>
  <si>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</si>
  <si>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</si>
  <si>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</si>
  <si>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</si>
  <si>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</si>
  <si>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</si>
  <si>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</si>
  <si>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</si>
  <si>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</si>
  <si>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</si>
  <si>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</si>
  <si>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</si>
  <si>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</si>
  <si>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</si>
  <si>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</si>
  <si>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</si>
  <si>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</si>
  <si>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</si>
  <si>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</si>
  <si>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</si>
  <si>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</si>
  <si>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</si>
  <si>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</si>
  <si>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</si>
  <si>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</si>
  <si>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</si>
  <si>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</si>
  <si>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</si>
  <si>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</si>
  <si>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</si>
  <si>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</si>
  <si>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</si>
  <si>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</si>
  <si>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</si>
  <si>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</si>
  <si>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</si>
  <si>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</si>
  <si>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</si>
  <si>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</si>
  <si>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</si>
  <si>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</si>
  <si>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</si>
  <si>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</si>
  <si>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</si>
  <si>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</si>
  <si>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</si>
  <si>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</si>
  <si>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</si>
  <si>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</si>
  <si>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</si>
  <si>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</si>
  <si>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</si>
  <si>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</si>
  <si>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</si>
  <si>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</si>
  <si>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</si>
  <si>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</si>
  <si>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</si>
  <si>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</si>
  <si>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</si>
  <si>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</si>
  <si>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</si>
  <si>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</si>
  <si>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</si>
  <si>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</si>
  <si>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</si>
  <si>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</si>
  <si>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</si>
  <si>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</si>
  <si>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</si>
  <si>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</si>
  <si>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</si>
  <si>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</si>
  <si>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</si>
  <si>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</si>
  <si>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</si>
  <si>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</si>
  <si>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</si>
  <si>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</si>
  <si>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</si>
  <si>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</si>
  <si>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</si>
  <si>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</si>
  <si>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</si>
  <si>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</si>
  <si>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</si>
  <si>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</si>
  <si>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</si>
  <si>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</si>
  <si>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</si>
  <si>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</si>
  <si>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</si>
  <si>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</si>
  <si>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</si>
  <si>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</si>
  <si>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</si>
  <si>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</si>
  <si>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</si>
  <si>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</si>
  <si>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</si>
  <si>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</si>
  <si>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</si>
  <si>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</si>
  <si>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</si>
  <si>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</si>
  <si>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</si>
  <si>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</si>
  <si>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</si>
  <si>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</si>
  <si>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</si>
  <si>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</si>
  <si>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</si>
  <si>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</si>
  <si>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</si>
  <si>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</si>
  <si>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</si>
  <si>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</si>
  <si>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</si>
  <si>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</si>
  <si>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</si>
  <si>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</si>
  <si>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</si>
  <si>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</si>
  <si>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</si>
  <si>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</si>
  <si>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</si>
  <si>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</si>
  <si>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</si>
  <si>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</si>
  <si>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</si>
  <si>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</si>
  <si>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</si>
  <si>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</si>
  <si>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</si>
  <si>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</si>
  <si>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</si>
  <si>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</si>
  <si>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</si>
  <si>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</si>
  <si>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</si>
  <si>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</si>
  <si>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</si>
  <si>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</si>
  <si>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</si>
  <si>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</si>
  <si>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</si>
  <si>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</si>
  <si>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</si>
  <si>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</si>
  <si>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</si>
  <si>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</si>
  <si>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</si>
  <si>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</si>
  <si>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</si>
  <si>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</si>
  <si>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</si>
  <si>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</si>
  <si>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</si>
  <si>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</si>
  <si>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</si>
  <si>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</si>
  <si>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</si>
  <si>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</si>
  <si>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</si>
  <si>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</si>
  <si>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</si>
  <si>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</si>
  <si>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</si>
  <si>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</si>
  <si>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</si>
  <si>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</si>
  <si>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</si>
  <si>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</si>
  <si>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</si>
  <si>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</si>
  <si>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</si>
  <si>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</si>
  <si>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</si>
  <si>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</si>
  <si>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</si>
  <si>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</si>
  <si>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</si>
  <si>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</si>
  <si>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</si>
  <si>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</si>
  <si>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</si>
  <si>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</si>
  <si>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</si>
  <si>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</si>
  <si>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</si>
  <si>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</si>
  <si>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</si>
  <si>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</si>
  <si>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</si>
  <si>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</si>
  <si>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</si>
  <si>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</si>
  <si>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</si>
  <si>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</si>
  <si>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</si>
  <si>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</si>
  <si>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</si>
  <si>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</si>
  <si>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</si>
  <si>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</si>
  <si>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</si>
  <si>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</si>
  <si>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</si>
  <si>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</si>
  <si>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</si>
  <si>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</si>
  <si>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</si>
  <si>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</si>
  <si>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</si>
  <si>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</si>
  <si>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</si>
  <si>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</si>
  <si>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</si>
  <si>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</si>
  <si>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</si>
  <si>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</si>
  <si>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</si>
  <si>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</si>
  <si>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</si>
  <si>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</si>
  <si>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</si>
  <si>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</si>
  <si>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</si>
  <si>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</si>
  <si>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</si>
  <si>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</si>
  <si>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</si>
  <si>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</si>
  <si>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</si>
  <si>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</si>
  <si>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</si>
  <si>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</si>
  <si>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</si>
  <si>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</si>
  <si>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</si>
  <si>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</si>
  <si>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</si>
  <si>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</si>
  <si>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</si>
  <si>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</si>
  <si>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</si>
  <si>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</si>
  <si>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</si>
  <si>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</si>
  <si>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</si>
  <si>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</si>
  <si>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</si>
  <si>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</si>
  <si>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</si>
  <si>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</si>
  <si>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</si>
  <si>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</si>
  <si>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</si>
  <si>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</si>
  <si>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</si>
  <si>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</si>
  <si>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</si>
  <si>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</si>
  <si>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</si>
  <si>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</si>
  <si>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</si>
  <si>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</si>
  <si>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</si>
  <si>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</si>
  <si>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</si>
  <si>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</si>
  <si>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</si>
  <si>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</si>
  <si>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</si>
  <si>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</si>
  <si>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</si>
  <si>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</si>
  <si>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</si>
  <si>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</si>
  <si>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</si>
  <si>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</si>
  <si>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</si>
  <si>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</si>
  <si>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</si>
  <si>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</si>
  <si>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</si>
  <si>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</si>
  <si>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</si>
  <si>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</si>
  <si>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</si>
  <si>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</si>
  <si>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</si>
  <si>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</si>
  <si>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</si>
  <si>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</si>
  <si>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</si>
  <si>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</si>
  <si>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</si>
  <si>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</si>
  <si>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</si>
  <si>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</si>
  <si>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</si>
  <si>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</si>
  <si>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</si>
  <si>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</si>
  <si>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</si>
  <si>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</si>
  <si>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</si>
  <si>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</si>
  <si>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</si>
  <si>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</si>
  <si>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</si>
  <si>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</si>
  <si>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</si>
  <si>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</si>
  <si>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</si>
  <si>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</si>
  <si>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</si>
  <si>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</si>
  <si>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</si>
  <si>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</si>
  <si>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</si>
  <si>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</si>
  <si>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</si>
  <si>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</si>
  <si>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</si>
  <si>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</si>
  <si>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</si>
  <si>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</si>
  <si>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</si>
  <si>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</si>
  <si>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</si>
  <si>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</si>
  <si>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</si>
  <si>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</si>
  <si>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</si>
  <si>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</si>
  <si>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</si>
  <si>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</si>
  <si>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</si>
  <si>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</si>
  <si>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</si>
  <si>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</si>
  <si>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</si>
  <si>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</si>
  <si>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</si>
  <si>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</si>
  <si>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</si>
  <si>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</si>
  <si>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</si>
  <si>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</si>
  <si>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</si>
  <si>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</si>
  <si>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</si>
  <si>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</si>
  <si>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</si>
  <si>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</si>
  <si>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</si>
  <si>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</si>
  <si>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</si>
  <si>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</si>
  <si>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</si>
  <si>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</si>
  <si>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</si>
  <si>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</si>
  <si>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</si>
  <si>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</si>
  <si>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</si>
  <si>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</si>
  <si>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</si>
  <si>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</si>
  <si>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</si>
  <si>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</si>
  <si>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</si>
  <si>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</si>
  <si>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</si>
  <si>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</si>
  <si>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</si>
  <si>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</si>
  <si>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</si>
  <si>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</si>
  <si>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</si>
  <si>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</si>
  <si>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</si>
  <si>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</si>
  <si>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</si>
  <si>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</si>
  <si>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</si>
  <si>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</si>
  <si>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</si>
  <si>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</si>
  <si>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</si>
  <si>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</si>
  <si>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</si>
  <si>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</si>
  <si>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</si>
  <si>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</si>
  <si>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</si>
  <si>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</si>
  <si>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</si>
  <si>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</si>
  <si>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</si>
  <si>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</si>
  <si>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</si>
  <si>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</si>
  <si>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</si>
  <si>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</si>
  <si>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</si>
  <si>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</si>
  <si>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</si>
  <si>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</si>
  <si>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</si>
  <si>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</si>
  <si>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</si>
  <si>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</si>
  <si>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</si>
  <si>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</si>
  <si>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</si>
  <si>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</si>
  <si>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</si>
  <si>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</si>
  <si>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</si>
  <si>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</si>
  <si>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</si>
  <si>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</si>
  <si>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</si>
  <si>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</si>
  <si>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</si>
  <si>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</si>
  <si>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</si>
  <si>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</si>
  <si>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</si>
  <si>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</si>
  <si>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</si>
  <si>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</si>
  <si>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</si>
  <si>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</si>
  <si>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</si>
  <si>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</si>
  <si>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</si>
  <si>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</si>
  <si>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</si>
  <si>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</si>
  <si>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</si>
  <si>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</si>
  <si>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</si>
  <si>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</si>
  <si>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</si>
  <si>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</si>
  <si>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</si>
  <si>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</si>
  <si>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</si>
  <si>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</si>
  <si>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</si>
  <si>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</si>
  <si>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</si>
  <si>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</si>
  <si>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</si>
  <si>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</si>
  <si>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</si>
  <si>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</si>
  <si>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</si>
  <si>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</si>
  <si>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</si>
  <si>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</si>
  <si>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</si>
  <si>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</si>
  <si>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</si>
  <si>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</si>
  <si>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</si>
  <si>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</si>
  <si>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</si>
  <si>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</si>
  <si>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</si>
  <si>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</si>
  <si>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</si>
  <si>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</si>
  <si>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</si>
  <si>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</si>
  <si>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</si>
  <si>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</si>
  <si>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</si>
  <si>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</si>
  <si>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</si>
  <si>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</si>
  <si>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</si>
  <si>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</si>
  <si>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</si>
  <si>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</si>
  <si>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</si>
  <si>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</si>
  <si>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</si>
  <si>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</si>
  <si>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</si>
  <si>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</si>
  <si>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</si>
  <si>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</si>
  <si>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</si>
  <si>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</si>
  <si>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</si>
  <si>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</si>
  <si>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</si>
  <si>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</si>
  <si>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</si>
  <si>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</si>
  <si>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</si>
  <si>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</si>
  <si>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</si>
  <si>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</si>
  <si>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</si>
  <si>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</si>
  <si>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</si>
  <si>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</si>
  <si>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</si>
  <si>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</si>
  <si>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</si>
  <si>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</si>
  <si>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</si>
  <si>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</si>
  <si>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</si>
  <si>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</si>
  <si>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</si>
  <si>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</si>
  <si>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</si>
  <si>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</si>
  <si>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</si>
  <si>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</si>
  <si>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</si>
  <si>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</si>
  <si>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</si>
  <si>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</si>
  <si>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</si>
  <si>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</si>
  <si>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</si>
  <si>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</si>
  <si>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</si>
  <si>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</si>
  <si>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</si>
  <si>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</si>
  <si>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</si>
  <si>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</si>
  <si>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</si>
  <si>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</si>
  <si>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</si>
  <si>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</si>
  <si>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</si>
  <si>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</si>
  <si>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</si>
  <si>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</si>
  <si>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</si>
  <si>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</si>
  <si>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</si>
  <si>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</si>
  <si>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</si>
  <si>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</si>
  <si>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</si>
  <si>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</si>
  <si>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</si>
  <si>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</si>
  <si>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</si>
  <si>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</si>
  <si>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</si>
  <si>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</si>
  <si>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</si>
  <si>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</si>
  <si>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</si>
  <si>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</si>
  <si>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</si>
  <si>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</si>
  <si>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</si>
  <si>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</si>
  <si>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</si>
  <si>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</si>
  <si>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</si>
  <si>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</si>
  <si>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</si>
  <si>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</si>
  <si>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</si>
  <si>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</si>
  <si>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</si>
  <si>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</si>
  <si>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</si>
  <si>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</si>
  <si>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</si>
  <si>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</si>
  <si>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</si>
  <si>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</si>
  <si>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</si>
  <si>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</si>
  <si>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</si>
  <si>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</si>
  <si>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</si>
  <si>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</si>
  <si>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</si>
  <si>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</si>
  <si>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</si>
  <si>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</si>
  <si>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</si>
  <si>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</si>
  <si>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</si>
  <si>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</si>
  <si>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</si>
  <si>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</si>
  <si>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</si>
  <si>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</si>
  <si>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</si>
  <si>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</si>
  <si>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</si>
  <si>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</si>
  <si>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</si>
  <si>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</si>
  <si>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</si>
  <si>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</si>
  <si>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</si>
  <si>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</si>
  <si>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</si>
  <si>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</si>
  <si>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</si>
  <si>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</si>
  <si>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</si>
  <si>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</si>
  <si>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</si>
  <si>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</si>
  <si>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</si>
  <si>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</si>
  <si>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</si>
  <si>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</si>
  <si>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</si>
  <si>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</si>
  <si>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</si>
  <si>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</si>
  <si>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</si>
  <si>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</si>
  <si>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</si>
  <si>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</si>
  <si>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</si>
  <si>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</si>
  <si>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</si>
  <si>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</si>
  <si>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</si>
  <si>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</si>
  <si>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</si>
  <si>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</si>
  <si>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</si>
  <si>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</si>
  <si>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</si>
  <si>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</si>
  <si>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</si>
  <si>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</si>
  <si>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</si>
  <si>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</si>
  <si>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</si>
  <si>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</si>
  <si>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</si>
  <si>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</si>
  <si>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</si>
  <si>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</si>
  <si>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</si>
  <si>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</si>
  <si>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</si>
  <si>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</si>
  <si>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</si>
  <si>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</si>
  <si>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</si>
  <si>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</si>
  <si>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</si>
  <si>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</si>
  <si>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</si>
  <si>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</si>
  <si>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</si>
  <si>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</si>
  <si>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</si>
  <si>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</si>
  <si>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</si>
  <si>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</si>
  <si>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</si>
  <si>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</si>
  <si>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</si>
  <si>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</si>
  <si>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</si>
  <si>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</si>
  <si>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</si>
  <si>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</si>
  <si>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</si>
  <si>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</si>
  <si>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</si>
  <si>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</si>
  <si>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</si>
  <si>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</si>
  <si>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</si>
  <si>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</si>
  <si>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</si>
  <si>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</si>
  <si>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</si>
  <si>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</si>
  <si>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</si>
  <si>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</si>
  <si>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</si>
  <si>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</si>
  <si>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</si>
  <si>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</si>
  <si>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</si>
  <si>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</si>
  <si>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</si>
  <si>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</si>
  <si>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</si>
  <si>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</si>
  <si>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</si>
  <si>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</si>
  <si>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</si>
  <si>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</si>
  <si>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</si>
  <si>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</si>
  <si>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</si>
  <si>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</si>
  <si>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</si>
  <si>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</si>
  <si>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</si>
  <si>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</si>
  <si>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</si>
  <si>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</si>
  <si>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</si>
  <si>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</si>
  <si>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</si>
  <si>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</si>
  <si>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</si>
  <si>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</si>
  <si>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</si>
  <si>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</si>
  <si>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</si>
  <si>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</si>
  <si>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</si>
  <si>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</si>
  <si>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</si>
  <si>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</si>
  <si>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</si>
  <si>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</si>
  <si>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</si>
  <si>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</si>
  <si>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</si>
  <si>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</si>
  <si>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</si>
  <si>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</si>
  <si>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</si>
  <si>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</si>
  <si>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</si>
  <si>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</si>
  <si>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</si>
  <si>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</si>
  <si>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</si>
  <si>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</si>
  <si>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</si>
  <si>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</si>
  <si>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</si>
  <si>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</si>
  <si>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</si>
  <si>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</si>
  <si>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</si>
  <si>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</si>
  <si>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</si>
  <si>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</si>
  <si>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</si>
  <si>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</si>
  <si>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</si>
  <si>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</si>
  <si>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</si>
  <si>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</si>
  <si>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</si>
  <si>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</si>
  <si>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</si>
  <si>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</si>
  <si>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</si>
  <si>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</si>
  <si>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</si>
  <si>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</si>
  <si>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</si>
  <si>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</si>
  <si>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</si>
  <si>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</si>
  <si>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</si>
  <si>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</si>
  <si>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</si>
  <si>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</si>
  <si>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</si>
  <si>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</si>
  <si>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</si>
  <si>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</si>
  <si>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</si>
  <si>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</si>
  <si>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</si>
  <si>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</si>
  <si>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</si>
  <si>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</si>
  <si>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</si>
  <si>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</si>
  <si>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</si>
  <si>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</si>
  <si>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</si>
  <si>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</si>
  <si>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</si>
  <si>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</si>
  <si>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</si>
  <si>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</si>
  <si>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</si>
  <si>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</si>
  <si>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</si>
  <si>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</si>
  <si>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</si>
  <si>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</si>
  <si>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</si>
  <si>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</si>
  <si>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</si>
  <si>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</si>
  <si>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</si>
  <si>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</si>
  <si>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</si>
  <si>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</si>
  <si>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</si>
  <si>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</si>
  <si>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</si>
  <si>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</si>
  <si>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</si>
  <si>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</si>
  <si>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</si>
  <si>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</si>
  <si>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</si>
  <si>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</si>
  <si>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</si>
  <si>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</si>
  <si>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</si>
  <si>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</si>
  <si>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</si>
  <si>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</si>
  <si>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</si>
  <si>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</si>
  <si>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</si>
  <si>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</si>
  <si>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</si>
  <si>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</si>
  <si>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</si>
  <si>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</si>
  <si>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</si>
  <si>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</si>
  <si>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</si>
  <si>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</si>
  <si>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</si>
  <si>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</si>
  <si>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</si>
  <si>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</si>
  <si>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</si>
  <si>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</si>
  <si>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</si>
  <si>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</si>
  <si>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</si>
  <si>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</si>
  <si>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</si>
  <si>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</si>
  <si>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</si>
  <si>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</si>
  <si>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</si>
  <si>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</si>
  <si>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</si>
  <si>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</si>
  <si>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</si>
  <si>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</si>
  <si>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</si>
  <si>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</si>
  <si>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</si>
  <si>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</si>
  <si>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</si>
  <si>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</si>
  <si>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</si>
  <si>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</si>
  <si>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</si>
  <si>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</si>
  <si>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</si>
  <si>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</si>
  <si>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</si>
  <si>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</si>
  <si>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</si>
  <si>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</si>
  <si>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</si>
  <si>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</si>
  <si>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</si>
  <si>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</si>
  <si>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</si>
  <si>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</si>
  <si>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</si>
  <si>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</si>
  <si>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</si>
  <si>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</si>
  <si>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</si>
  <si>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</si>
  <si>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</si>
  <si>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</si>
  <si>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</si>
  <si>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</si>
  <si>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</si>
  <si>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</si>
  <si>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</si>
  <si>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</si>
  <si>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</si>
  <si>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</si>
  <si>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</si>
  <si>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</si>
  <si>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</si>
  <si>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</si>
  <si>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</si>
  <si>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</si>
  <si>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</si>
  <si>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</si>
  <si>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</si>
  <si>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</si>
  <si>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</si>
  <si>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</si>
  <si>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</si>
  <si>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</si>
  <si>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</si>
  <si>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</si>
  <si>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</si>
  <si>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</si>
  <si>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</si>
  <si>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</si>
  <si>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</si>
  <si>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</si>
  <si>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</si>
  <si>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</si>
  <si>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</si>
  <si>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</si>
  <si>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</si>
  <si>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</si>
  <si>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</si>
  <si>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</si>
  <si>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</si>
  <si>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</si>
  <si>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</si>
  <si>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</si>
  <si>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</si>
  <si>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</si>
  <si>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</si>
  <si>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</si>
  <si>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</si>
  <si>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</si>
  <si>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</si>
  <si>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</si>
  <si>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</si>
  <si>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</si>
  <si>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</si>
  <si>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</si>
  <si>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</si>
  <si>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</si>
  <si>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</si>
  <si>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</si>
  <si>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</si>
  <si>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</si>
  <si>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</si>
  <si>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</si>
  <si>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</si>
  <si>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</si>
  <si>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</si>
  <si>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</si>
  <si>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</si>
  <si>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</si>
  <si>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</si>
  <si>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</si>
  <si>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</si>
  <si>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</si>
  <si>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</si>
  <si>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</si>
  <si>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</si>
  <si>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</si>
  <si>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</si>
  <si>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</si>
  <si>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</si>
  <si>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</si>
  <si>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</si>
  <si>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</si>
  <si>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</si>
  <si>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</si>
  <si>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</si>
  <si>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</si>
  <si>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</si>
  <si>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</si>
  <si>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</si>
  <si>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</si>
  <si>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</si>
  <si>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</si>
  <si>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</si>
  <si>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</si>
  <si>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</si>
  <si>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</si>
  <si>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</si>
  <si>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</si>
  <si>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</si>
  <si>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</si>
  <si>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</si>
  <si>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</si>
  <si>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</si>
  <si>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</si>
  <si>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</si>
  <si>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</si>
  <si>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</si>
  <si>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</si>
  <si>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</si>
  <si>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</si>
  <si>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</si>
  <si>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</si>
  <si>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</si>
  <si>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</si>
  <si>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</si>
  <si>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</si>
  <si>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</si>
  <si>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</si>
  <si>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</si>
  <si>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</si>
  <si>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</si>
  <si>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</si>
  <si>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</si>
  <si>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</si>
  <si>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</si>
  <si>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</si>
  <si>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</si>
  <si>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</si>
  <si>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</si>
  <si>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</si>
  <si>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</si>
  <si>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</si>
  <si>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</si>
  <si>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</si>
  <si>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</si>
  <si>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</si>
  <si>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</si>
  <si>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</si>
  <si>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</si>
  <si>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</si>
  <si>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</si>
  <si>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</si>
  <si>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</si>
  <si>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</si>
  <si>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</si>
  <si>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</si>
  <si>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</si>
  <si>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</si>
  <si>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</si>
  <si>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</si>
  <si>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</si>
  <si>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</si>
  <si>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</si>
  <si>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</si>
  <si>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</si>
  <si>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</si>
  <si>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</si>
  <si>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</si>
  <si>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</si>
  <si>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</si>
  <si>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</si>
  <si>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</si>
  <si>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</si>
  <si>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</si>
  <si>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</si>
  <si>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</si>
  <si>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</si>
  <si>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</si>
  <si>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</si>
  <si>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</si>
  <si>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</si>
  <si>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</si>
  <si>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</si>
  <si>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</si>
  <si>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</si>
  <si>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</si>
  <si>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</si>
  <si>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</si>
  <si>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</si>
  <si>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</si>
  <si>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</si>
  <si>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</si>
  <si>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</si>
  <si>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</si>
  <si>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</si>
  <si>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</si>
  <si>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</si>
  <si>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</si>
  <si>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</si>
  <si>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</si>
  <si>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</si>
  <si>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</si>
  <si>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</si>
  <si>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</si>
  <si>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</si>
  <si>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</si>
  <si>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</si>
  <si>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</si>
  <si>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</si>
  <si>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</si>
  <si>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</si>
  <si>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</si>
  <si>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</si>
  <si>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</si>
  <si>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</si>
  <si>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</si>
  <si>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</si>
  <si>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</si>
  <si>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</si>
  <si>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</si>
  <si>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</si>
  <si>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</si>
  <si>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</si>
  <si>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</si>
  <si>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</si>
  <si>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</si>
  <si>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</si>
  <si>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</si>
  <si>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</si>
  <si>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</si>
  <si>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</si>
  <si>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</si>
  <si>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</si>
  <si>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</si>
  <si>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</si>
  <si>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</si>
  <si>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</si>
  <si>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</si>
  <si>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</si>
  <si>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</si>
  <si>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</si>
  <si>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</si>
  <si>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</si>
  <si>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</si>
  <si>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</si>
  <si>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</si>
  <si>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</si>
  <si>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</si>
  <si>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</si>
  <si>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</si>
  <si>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</si>
  <si>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</si>
  <si>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</si>
  <si>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</si>
  <si>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</si>
  <si>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</si>
  <si>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</si>
  <si>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</si>
  <si>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</si>
  <si>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</si>
  <si>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</si>
  <si>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</si>
  <si>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</si>
  <si>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</si>
  <si>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</si>
  <si>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</si>
  <si>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</si>
  <si>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</si>
  <si>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</si>
  <si>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</si>
  <si>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</si>
  <si>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</si>
  <si>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</si>
  <si>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</si>
  <si>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</si>
  <si>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</si>
  <si>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</si>
  <si>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</si>
  <si>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</si>
  <si>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</si>
  <si>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</si>
  <si>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</si>
  <si>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</si>
  <si>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</si>
  <si>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</si>
  <si>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</si>
  <si>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</si>
  <si>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</si>
  <si>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</si>
  <si>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</si>
  <si>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</si>
  <si>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</si>
  <si>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</si>
  <si>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</si>
  <si>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</si>
  <si>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</si>
  <si>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</si>
  <si>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</si>
  <si>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</si>
  <si>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</si>
  <si>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</si>
  <si>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</si>
  <si>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</si>
  <si>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</si>
  <si>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</si>
  <si>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</si>
  <si>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</si>
  <si>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</si>
  <si>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</si>
  <si>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</si>
  <si>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</si>
  <si>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</si>
  <si>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</si>
  <si>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</si>
  <si>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</si>
  <si>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</si>
  <si>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</si>
  <si>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</si>
  <si>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</si>
  <si>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</si>
  <si>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</si>
  <si>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</si>
  <si>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</si>
  <si>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</si>
  <si>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</si>
  <si>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</si>
  <si>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</si>
  <si>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</si>
  <si>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</si>
  <si>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</si>
  <si>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</si>
  <si>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</si>
  <si>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</si>
  <si>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</si>
  <si>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</si>
  <si>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</si>
  <si>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</si>
  <si>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</si>
  <si>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</si>
  <si>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</si>
  <si>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</si>
  <si>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</si>
  <si>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</si>
  <si>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</si>
  <si>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</si>
  <si>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</si>
  <si>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</si>
  <si>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</si>
  <si>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</si>
  <si>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</si>
  <si>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</si>
  <si>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</si>
  <si>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</si>
  <si>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</si>
  <si>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</si>
  <si>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</si>
  <si>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</si>
  <si>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</si>
  <si>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</si>
  <si>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</si>
  <si>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</si>
  <si>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</si>
  <si>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</si>
  <si>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</si>
  <si>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</si>
  <si>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</si>
  <si>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</si>
  <si>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</si>
  <si>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</si>
  <si>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</si>
  <si>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</si>
  <si>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</si>
  <si>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</si>
  <si>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</si>
  <si>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</si>
  <si>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</si>
  <si>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</si>
  <si>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</si>
  <si>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</si>
  <si>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</si>
  <si>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</si>
  <si>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</si>
  <si>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</si>
  <si>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</si>
  <si>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</si>
  <si>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</si>
  <si>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</si>
  <si>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</si>
  <si>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</si>
  <si>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</si>
  <si>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</si>
  <si>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</si>
  <si>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</si>
  <si>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</si>
  <si>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</si>
  <si>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</si>
  <si>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</si>
  <si>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</si>
  <si>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</si>
  <si>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</si>
  <si>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</si>
  <si>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</si>
  <si>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</si>
  <si>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</si>
  <si>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</si>
  <si>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</si>
  <si>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</si>
  <si>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</si>
  <si>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</si>
  <si>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</si>
  <si>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</si>
  <si>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</si>
  <si>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</si>
  <si>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</si>
  <si>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</si>
  <si>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</si>
  <si>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</si>
  <si>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</si>
  <si>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</si>
  <si>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</si>
  <si>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</si>
  <si>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</si>
  <si>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</si>
  <si>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</si>
  <si>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</si>
  <si>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</si>
  <si>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</si>
  <si>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</si>
  <si>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</si>
  <si>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</si>
  <si>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</si>
  <si>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</si>
  <si>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</si>
  <si>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</si>
  <si>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</si>
  <si>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</si>
  <si>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</si>
  <si>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</si>
  <si>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</si>
  <si>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</si>
  <si>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</si>
  <si>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</si>
  <si>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</si>
  <si>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</si>
  <si>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</si>
  <si>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</si>
  <si>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</si>
  <si>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</si>
  <si>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</si>
  <si>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</si>
  <si>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</si>
  <si>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</si>
  <si>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</si>
  <si>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</si>
  <si>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</si>
  <si>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</si>
  <si>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</si>
  <si>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</si>
  <si>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</si>
  <si>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</si>
  <si>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</si>
  <si>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</si>
  <si>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</si>
  <si>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</si>
  <si>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</si>
  <si>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</si>
  <si>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</si>
  <si>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</si>
  <si>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</si>
  <si>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</si>
  <si>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</si>
  <si>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</si>
  <si>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</si>
  <si>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</si>
  <si>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</si>
  <si>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</si>
  <si>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</si>
  <si>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</si>
  <si>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</si>
  <si>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</si>
  <si>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</si>
  <si>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</si>
  <si>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</si>
  <si>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</si>
  <si>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</si>
  <si>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</si>
  <si>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</si>
  <si>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</si>
  <si>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</si>
  <si>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</si>
  <si>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</si>
  <si>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</si>
  <si>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</si>
  <si>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</si>
  <si>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</si>
  <si>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</si>
  <si>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</si>
  <si>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</si>
  <si>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</si>
  <si>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</si>
  <si>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</si>
  <si>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</si>
  <si>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</si>
  <si>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</si>
  <si>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</si>
  <si>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</si>
  <si>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</si>
  <si>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</si>
  <si>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</si>
  <si>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</si>
  <si>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</si>
  <si>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</si>
  <si>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</si>
  <si>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</si>
  <si>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</si>
  <si>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</si>
  <si>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</si>
  <si>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</si>
  <si>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</si>
  <si>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</si>
  <si>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</si>
  <si>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</si>
  <si>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</si>
  <si>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</si>
  <si>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</si>
  <si>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</si>
  <si>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</si>
  <si>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</si>
  <si>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</si>
  <si>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</si>
  <si>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</si>
  <si>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</si>
  <si>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</si>
  <si>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</si>
  <si>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</si>
  <si>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</si>
  <si>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</si>
  <si>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</si>
  <si>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</si>
  <si>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</si>
  <si>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</si>
  <si>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</si>
  <si>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</si>
  <si>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</si>
  <si>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</si>
  <si>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</si>
  <si>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</si>
  <si>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</si>
  <si>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</si>
  <si>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</si>
  <si>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</si>
  <si>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</si>
  <si>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</si>
  <si>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</si>
  <si>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</si>
  <si>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</si>
  <si>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</si>
  <si>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</si>
  <si>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</si>
  <si>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</si>
  <si>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</si>
  <si>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</si>
  <si>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</si>
  <si>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</si>
  <si>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</si>
  <si>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</si>
  <si>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</si>
  <si>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</si>
  <si>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</si>
  <si>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</si>
  <si>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</si>
  <si>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</si>
  <si>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</si>
  <si>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</si>
  <si>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</si>
  <si>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</si>
  <si>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</si>
  <si>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</si>
  <si>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</si>
  <si>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</si>
  <si>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</si>
  <si>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</si>
  <si>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</si>
  <si>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</si>
  <si>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</si>
  <si>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</si>
  <si>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</si>
  <si>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</si>
  <si>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</si>
  <si>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</si>
  <si>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</si>
  <si>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</si>
  <si>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</si>
  <si>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</si>
  <si>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</si>
  <si>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</si>
  <si>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</si>
  <si>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</si>
  <si>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</si>
  <si>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</si>
  <si>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</si>
  <si>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</si>
  <si>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</si>
  <si>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</si>
  <si>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</si>
  <si>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</si>
  <si>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</si>
  <si>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</si>
  <si>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</si>
  <si>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</si>
  <si>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</si>
  <si>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</si>
  <si>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</si>
  <si>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</si>
  <si>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</si>
  <si>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</si>
  <si>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</si>
  <si>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</si>
  <si>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</si>
  <si>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</si>
  <si>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</si>
  <si>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</si>
  <si>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</si>
  <si>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</si>
  <si>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</si>
  <si>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</si>
  <si>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</si>
  <si>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</si>
  <si>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</si>
  <si>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</si>
  <si>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</si>
  <si>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</si>
  <si>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</si>
  <si>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</si>
  <si>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</si>
  <si>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</si>
  <si>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</si>
  <si>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</si>
  <si>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</si>
  <si>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</si>
  <si>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</si>
  <si>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</si>
  <si>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</si>
  <si>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</si>
  <si>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</si>
  <si>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</si>
  <si>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</si>
  <si>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</si>
  <si>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</si>
  <si>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</si>
  <si>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</si>
  <si>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</si>
  <si>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</si>
  <si>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</si>
  <si>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</si>
  <si>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</si>
  <si>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</si>
  <si>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</si>
  <si>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</si>
  <si>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</si>
  <si>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</si>
  <si>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</si>
  <si>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</si>
  <si>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</si>
  <si>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</si>
  <si>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</si>
  <si>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</si>
  <si>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</si>
  <si>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</si>
  <si>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</si>
  <si>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</si>
  <si>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</si>
  <si>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</si>
  <si>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</si>
  <si>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</si>
  <si>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</si>
  <si>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</si>
  <si>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</si>
  <si>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</si>
  <si>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</si>
  <si>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</si>
  <si>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</si>
  <si>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</si>
  <si>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</si>
  <si>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</si>
  <si>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</si>
  <si>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</si>
  <si>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</si>
  <si>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</si>
  <si>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</si>
  <si>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</si>
  <si>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</si>
  <si>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</si>
  <si>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</si>
  <si>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</si>
  <si>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</si>
  <si>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</si>
  <si>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</si>
  <si>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</si>
  <si>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</si>
  <si>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</si>
  <si>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</si>
  <si>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</si>
  <si>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</si>
  <si>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</si>
  <si>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</si>
  <si>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</si>
  <si>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</si>
  <si>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</si>
  <si>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</si>
  <si>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</si>
  <si>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</si>
  <si>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</si>
  <si>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</si>
  <si>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</si>
  <si>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</si>
  <si>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</si>
  <si>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</si>
  <si>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</si>
  <si>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</si>
  <si>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</si>
  <si>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</si>
  <si>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</si>
  <si>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</si>
  <si>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</si>
  <si>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</si>
  <si>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</si>
  <si>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</si>
  <si>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</si>
  <si>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</si>
  <si>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</si>
  <si>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</si>
  <si>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</si>
  <si>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</si>
  <si>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</si>
  <si>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</si>
  <si>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</si>
  <si>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</si>
  <si>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</si>
  <si>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</si>
  <si>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</si>
  <si>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</si>
  <si>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</si>
  <si>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</si>
  <si>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</si>
  <si>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</si>
  <si>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</si>
  <si>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</si>
  <si>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</si>
  <si>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</si>
  <si>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</si>
  <si>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</si>
  <si>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</si>
  <si>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</si>
  <si>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</si>
  <si>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</si>
  <si>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</si>
  <si>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</si>
  <si>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</si>
  <si>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</si>
  <si>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</si>
  <si>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</si>
  <si>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</si>
  <si>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</si>
  <si>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</si>
  <si>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</si>
  <si>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</si>
  <si>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</si>
  <si>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</si>
  <si>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</si>
  <si>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</si>
  <si>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</si>
  <si>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</si>
  <si>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</si>
  <si>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</si>
  <si>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</si>
  <si>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</si>
  <si>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</si>
  <si>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</si>
  <si>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</si>
  <si>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</si>
  <si>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</si>
  <si>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</si>
  <si>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</si>
  <si>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</si>
  <si>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</si>
  <si>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</si>
  <si>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</si>
  <si>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</si>
  <si>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</si>
  <si>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</si>
  <si>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</si>
  <si>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</si>
  <si>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</si>
  <si>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</si>
  <si>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</si>
  <si>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</si>
  <si>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</si>
  <si>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</si>
  <si>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</si>
  <si>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</si>
  <si>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</si>
  <si>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</si>
  <si>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</si>
  <si>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</si>
  <si>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</si>
  <si>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</si>
  <si>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</si>
  <si>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</si>
  <si>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</si>
  <si>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</si>
  <si>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</si>
  <si>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</si>
  <si>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</si>
  <si>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</si>
  <si>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</si>
  <si>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</si>
  <si>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</si>
  <si>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</si>
  <si>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</si>
  <si>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</si>
  <si>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</si>
  <si>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</si>
  <si>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</si>
  <si>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</si>
  <si>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</si>
  <si>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</si>
  <si>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</si>
  <si>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</si>
  <si>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</si>
  <si>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</si>
  <si>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</si>
  <si>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</si>
  <si>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</si>
  <si>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</si>
  <si>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</si>
  <si>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</si>
  <si>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</si>
  <si>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</si>
  <si>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</si>
  <si>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</si>
  <si>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</si>
  <si>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</si>
  <si>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</si>
  <si>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</si>
  <si>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</si>
  <si>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</si>
  <si>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</si>
  <si>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</si>
  <si>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</si>
  <si>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</si>
  <si>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</si>
  <si>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</si>
  <si>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</si>
  <si>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</si>
  <si>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</si>
  <si>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</si>
  <si>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</si>
  <si>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</si>
  <si>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</si>
  <si>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</si>
  <si>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</si>
  <si>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</si>
  <si>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</si>
  <si>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</si>
  <si>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</si>
  <si>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</si>
  <si>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</si>
  <si>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</si>
  <si>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</si>
  <si>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</si>
  <si>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</si>
  <si>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</si>
  <si>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</si>
  <si>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</si>
  <si>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</si>
  <si>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</si>
  <si>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</si>
  <si>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</si>
  <si>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</si>
  <si>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</si>
  <si>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</si>
  <si>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</si>
  <si>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</si>
  <si>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</si>
  <si>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</si>
  <si>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</si>
  <si>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</si>
  <si>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</si>
  <si>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</si>
  <si>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</si>
  <si>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</si>
  <si>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</si>
  <si>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</si>
  <si>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</si>
  <si>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</si>
  <si>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</si>
  <si>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</si>
  <si>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</si>
  <si>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</si>
  <si>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</si>
  <si>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</si>
  <si>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</si>
  <si>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</si>
  <si>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</si>
  <si>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</si>
  <si>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</si>
  <si>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</si>
  <si>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</si>
  <si>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</si>
  <si>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</si>
  <si>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</si>
  <si>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</si>
  <si>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</si>
  <si>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</si>
  <si>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</si>
  <si>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</si>
  <si>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</si>
  <si>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</si>
  <si>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</si>
  <si>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</si>
  <si>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</si>
  <si>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</si>
  <si>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</si>
  <si>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</si>
  <si>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</si>
  <si>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</si>
  <si>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</si>
  <si>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</si>
  <si>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</si>
  <si>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</si>
  <si>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</si>
  <si>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</si>
  <si>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</si>
  <si>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</si>
  <si>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</si>
  <si>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</si>
  <si>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</si>
  <si>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</si>
  <si>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</si>
  <si>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</si>
  <si>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</si>
  <si>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</si>
  <si>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</si>
  <si>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</si>
  <si>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</si>
  <si>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</si>
  <si>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</si>
  <si>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</si>
  <si>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</si>
  <si>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</si>
  <si>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</si>
  <si>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</si>
  <si>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</si>
  <si>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</si>
  <si>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</si>
  <si>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</si>
  <si>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</si>
  <si>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</si>
  <si>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</si>
  <si>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</si>
  <si>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</si>
  <si>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</si>
  <si>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</si>
  <si>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</si>
  <si>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</si>
  <si>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</si>
  <si>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</si>
  <si>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</si>
  <si>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</si>
  <si>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</si>
  <si>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</si>
  <si>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</si>
  <si>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</si>
  <si>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</si>
  <si>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</si>
  <si>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</si>
  <si>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</si>
  <si>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</si>
  <si>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</si>
  <si>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</si>
  <si>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</si>
  <si>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</si>
  <si>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</si>
  <si>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</si>
  <si>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</si>
  <si>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</si>
  <si>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</si>
  <si>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</si>
  <si>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</si>
  <si>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</si>
  <si>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</si>
  <si>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</si>
  <si>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</si>
  <si>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</si>
  <si>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</si>
  <si>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</si>
  <si>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</si>
  <si>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</si>
  <si>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</si>
  <si>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</si>
  <si>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</si>
  <si>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</si>
  <si>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</si>
  <si>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</si>
  <si>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</si>
  <si>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</si>
  <si>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</si>
  <si>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</si>
  <si>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</si>
  <si>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</si>
  <si>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</si>
  <si>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</si>
  <si>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</si>
  <si>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</si>
  <si>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</si>
  <si>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</si>
  <si>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</si>
  <si>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</si>
  <si>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</si>
  <si>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</si>
  <si>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</si>
  <si>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</si>
  <si>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</si>
  <si>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</si>
  <si>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</si>
  <si>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</si>
  <si>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</si>
  <si>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</si>
  <si>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</si>
  <si>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</si>
  <si>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</si>
  <si>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</si>
  <si>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</si>
  <si>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</si>
  <si>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</si>
  <si>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</si>
  <si>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</si>
  <si>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</si>
  <si>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</si>
  <si>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</si>
  <si>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</si>
  <si>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</si>
  <si>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</si>
  <si>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</si>
  <si>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</si>
  <si>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</si>
  <si>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</si>
  <si>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</si>
  <si>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</si>
  <si>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</si>
  <si>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</si>
  <si>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</si>
  <si>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</si>
  <si>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</si>
  <si>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</si>
  <si>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</si>
  <si>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</si>
  <si>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</si>
  <si>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</si>
  <si>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</si>
  <si>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</si>
  <si>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</si>
  <si>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</si>
  <si>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</si>
  <si>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</si>
  <si>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</si>
  <si>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</si>
  <si>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</si>
  <si>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</si>
  <si>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</si>
  <si>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</si>
  <si>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</si>
  <si>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</si>
  <si>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</si>
  <si>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</si>
  <si>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</si>
  <si>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</si>
  <si>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</si>
  <si>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</si>
  <si>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</si>
  <si>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</si>
  <si>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</si>
  <si>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</si>
  <si>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</si>
  <si>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</si>
  <si>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</si>
  <si>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</si>
  <si>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</si>
  <si>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</si>
  <si>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</si>
  <si>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</si>
  <si>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</si>
  <si>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</si>
  <si>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</si>
  <si>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</si>
  <si>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</si>
  <si>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</si>
  <si>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</si>
  <si>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</si>
  <si>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</si>
  <si>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</si>
  <si>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</si>
  <si>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</si>
  <si>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</si>
  <si>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</si>
  <si>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</si>
  <si>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</si>
  <si>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</si>
  <si>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</si>
  <si>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</si>
  <si>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</si>
  <si>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</si>
  <si>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</si>
  <si>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</si>
  <si>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</si>
  <si>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</si>
  <si>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</si>
  <si>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</si>
  <si>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</si>
  <si>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</si>
  <si>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</si>
  <si>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</si>
  <si>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</si>
  <si>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</si>
  <si>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</si>
  <si>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</si>
  <si>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</si>
  <si>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</si>
  <si>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</si>
  <si>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</si>
  <si>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</si>
  <si>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</si>
  <si>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</si>
  <si>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</si>
  <si>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</si>
  <si>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</si>
  <si>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</si>
  <si>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</si>
  <si>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</si>
  <si>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</si>
  <si>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</si>
  <si>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</si>
  <si>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</si>
  <si>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</si>
  <si>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</si>
  <si>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</si>
  <si>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</si>
  <si>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</si>
  <si>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</si>
  <si>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</si>
  <si>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</si>
  <si>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</si>
  <si>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</si>
  <si>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</si>
  <si>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</si>
  <si>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</si>
  <si>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</si>
  <si>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</si>
  <si>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</si>
  <si>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</si>
  <si>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</si>
  <si>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</si>
  <si>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</si>
  <si>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</si>
  <si>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</si>
  <si>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</si>
  <si>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</si>
  <si>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</si>
  <si>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</si>
  <si>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</si>
  <si>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</si>
  <si>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</si>
  <si>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</si>
  <si>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</si>
  <si>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</si>
  <si>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</si>
  <si>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</si>
  <si>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</si>
  <si>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</si>
  <si>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</si>
  <si>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</si>
  <si>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</si>
  <si>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</si>
  <si>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</si>
  <si>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</si>
  <si>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</si>
  <si>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</si>
  <si>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</si>
  <si>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</si>
  <si>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</si>
  <si>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</si>
  <si>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</si>
  <si>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</si>
  <si>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</si>
  <si>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</si>
  <si>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</si>
  <si>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</si>
  <si>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</si>
  <si>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</si>
  <si>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</si>
  <si>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</si>
  <si>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</si>
  <si>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</si>
  <si>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</si>
  <si>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</si>
  <si>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</si>
  <si>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</si>
  <si>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</si>
  <si>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</si>
  <si>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</si>
  <si>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</si>
  <si>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</si>
  <si>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</si>
  <si>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</si>
  <si>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</si>
  <si>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</si>
  <si>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</si>
  <si>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</si>
  <si>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</si>
  <si>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</si>
  <si>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</si>
  <si>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</si>
  <si>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</si>
  <si>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</si>
  <si>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</si>
  <si>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</si>
  <si>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</si>
  <si>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</si>
  <si>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</si>
  <si>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</si>
  <si>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</si>
  <si>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</si>
  <si>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</si>
  <si>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</si>
  <si>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</si>
  <si>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</si>
  <si>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</si>
  <si>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</si>
  <si>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</si>
  <si>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</si>
  <si>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</si>
  <si>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</si>
  <si>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</si>
  <si>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</si>
  <si>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</si>
  <si>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</si>
  <si>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</si>
  <si>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</si>
  <si>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</si>
  <si>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</si>
  <si>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</si>
  <si>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</si>
  <si>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</si>
  <si>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</si>
  <si>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</si>
  <si>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</si>
  <si>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</si>
  <si>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</si>
  <si>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</si>
  <si>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</si>
  <si>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</si>
  <si>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</si>
  <si>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</si>
  <si>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</si>
  <si>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</si>
  <si>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</si>
  <si>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</si>
  <si>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</si>
  <si>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</si>
  <si>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</si>
  <si>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</si>
  <si>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</si>
  <si>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</si>
  <si>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</si>
  <si>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</si>
  <si>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</si>
  <si>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</si>
  <si>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</si>
  <si>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</si>
  <si>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</si>
  <si>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</si>
  <si>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</si>
  <si>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</si>
  <si>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</si>
  <si>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</si>
  <si>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</si>
  <si>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</si>
  <si>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</si>
  <si>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</si>
  <si>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</si>
  <si>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</si>
  <si>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</si>
  <si>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</si>
  <si>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</si>
  <si>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</si>
  <si>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</si>
  <si>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</si>
  <si>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</si>
  <si>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</si>
  <si>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</si>
  <si>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</si>
  <si>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</si>
  <si>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</si>
  <si>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</si>
  <si>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</si>
  <si>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</si>
  <si>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</si>
  <si>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</si>
  <si>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</si>
  <si>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</si>
  <si>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</si>
  <si>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</si>
  <si>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</si>
  <si>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</si>
  <si>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</si>
  <si>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</si>
  <si>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</si>
  <si>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</si>
  <si>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</si>
  <si>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</si>
  <si>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</si>
  <si>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</si>
  <si>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</si>
  <si>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</si>
  <si>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</si>
  <si>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</si>
  <si>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</si>
  <si>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</si>
  <si>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</si>
  <si>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</si>
  <si>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</si>
  <si>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</si>
  <si>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</si>
  <si>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</si>
  <si>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</si>
  <si>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</si>
  <si>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</si>
  <si>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</si>
  <si>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</si>
  <si>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</si>
  <si>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</si>
  <si>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</si>
  <si>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</si>
  <si>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</si>
  <si>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</si>
  <si>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</si>
  <si>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</si>
  <si>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</si>
  <si>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</si>
  <si>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</si>
  <si>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</si>
  <si>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</si>
  <si>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</si>
  <si>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</si>
  <si>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</si>
  <si>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</si>
  <si>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</si>
  <si>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</si>
  <si>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</si>
  <si>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</si>
  <si>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</si>
  <si>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</si>
  <si>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</si>
  <si>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</si>
  <si>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</si>
  <si>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</si>
  <si>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</si>
  <si>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</si>
  <si>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</si>
  <si>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</si>
  <si>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</si>
  <si>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</si>
  <si>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</si>
  <si>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</si>
  <si>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</si>
  <si>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</si>
  <si>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</si>
  <si>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</si>
  <si>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</si>
  <si>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</si>
  <si>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</si>
  <si>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</si>
  <si>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</si>
  <si>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</si>
  <si>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</si>
  <si>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</si>
  <si>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</si>
  <si>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</si>
  <si>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</si>
  <si>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</si>
  <si>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</si>
  <si>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</si>
  <si>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</si>
  <si>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</si>
  <si>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</si>
  <si>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</si>
  <si>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</si>
  <si>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</si>
  <si>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</si>
  <si>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</si>
  <si>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</si>
  <si>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</si>
  <si>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</si>
  <si>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</si>
  <si>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</si>
  <si>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</si>
  <si>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</si>
  <si>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</si>
  <si>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</si>
  <si>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</si>
  <si>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</si>
  <si>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</si>
  <si>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</si>
  <si>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</si>
  <si>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</si>
  <si>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</si>
  <si>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</si>
  <si>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</si>
  <si>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</si>
  <si>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</si>
  <si>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</si>
  <si>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</si>
  <si>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</si>
  <si>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</si>
  <si>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</si>
  <si>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</si>
  <si>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</si>
  <si>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</si>
  <si>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</si>
  <si>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</si>
  <si>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</si>
  <si>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</si>
  <si>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</si>
  <si>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</si>
  <si>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</si>
  <si>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</si>
  <si>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</si>
  <si>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</si>
  <si>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</si>
  <si>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</si>
  <si>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</si>
  <si>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</si>
  <si>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</si>
  <si>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</si>
  <si>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</si>
  <si>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</si>
  <si>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</si>
  <si>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</si>
  <si>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</si>
  <si>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</si>
  <si>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</si>
  <si>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</si>
  <si>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</si>
  <si>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</si>
  <si>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</si>
  <si>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</si>
  <si>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</si>
  <si>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</si>
  <si>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</si>
  <si>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</si>
  <si>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</si>
  <si>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</si>
  <si>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</si>
  <si>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</si>
  <si>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</si>
  <si>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</si>
  <si>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</si>
  <si>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</si>
  <si>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</si>
  <si>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</si>
  <si>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</si>
  <si>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</si>
  <si>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</si>
  <si>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</si>
  <si>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</si>
  <si>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</si>
  <si>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</si>
  <si>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</si>
  <si>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</si>
  <si>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</si>
  <si>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</si>
  <si>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</si>
  <si>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</si>
  <si>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</si>
  <si>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</si>
  <si>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</si>
  <si>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</si>
  <si>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</si>
  <si>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</si>
  <si>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</si>
  <si>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</si>
  <si>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</si>
  <si>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</si>
  <si>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</si>
  <si>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</si>
  <si>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</si>
  <si>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</si>
  <si>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</si>
  <si>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</si>
  <si>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</si>
  <si>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</si>
  <si>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</si>
  <si>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</si>
  <si>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</si>
  <si>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</si>
  <si>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</si>
  <si>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</si>
  <si>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</si>
  <si>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</si>
  <si>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</si>
  <si>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</si>
  <si>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</si>
  <si>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</si>
  <si>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</si>
  <si>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</si>
  <si>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</si>
  <si>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</si>
  <si>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</si>
  <si>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</si>
  <si>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</si>
  <si>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</si>
  <si>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</si>
  <si>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</si>
  <si>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</si>
  <si>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</si>
  <si>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</si>
  <si>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</si>
  <si>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</si>
  <si>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</si>
  <si>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</si>
  <si>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</si>
  <si>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</si>
  <si>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</si>
  <si>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</si>
  <si>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</si>
  <si>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</si>
  <si>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</si>
  <si>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</si>
  <si>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</si>
  <si>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</si>
  <si>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</si>
  <si>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</si>
  <si>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</si>
  <si>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</si>
  <si>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</si>
  <si>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</si>
  <si>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</si>
  <si>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</si>
  <si>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</si>
  <si>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</si>
  <si>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</si>
  <si>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</si>
  <si>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</si>
  <si>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</si>
  <si>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</si>
  <si>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</si>
  <si>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</si>
  <si>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</si>
  <si>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</si>
  <si>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</si>
  <si>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</si>
  <si>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</si>
  <si>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</si>
  <si>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</si>
  <si>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</si>
  <si>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</si>
  <si>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</si>
  <si>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</si>
  <si>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</si>
  <si>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</si>
  <si>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</si>
  <si>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</si>
  <si>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</si>
  <si>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</si>
  <si>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</si>
  <si>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</si>
  <si>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</si>
  <si>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</si>
  <si>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</si>
  <si>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</si>
  <si>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</si>
  <si>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</si>
  <si>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</si>
  <si>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</si>
  <si>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</si>
  <si>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</si>
  <si>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</si>
  <si>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</si>
  <si>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</si>
  <si>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</si>
  <si>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</si>
  <si>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</si>
  <si>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</si>
  <si>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</si>
  <si>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</si>
  <si>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</si>
  <si>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</si>
  <si>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</si>
  <si>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</si>
  <si>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</si>
  <si>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</si>
  <si>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</si>
  <si>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</si>
  <si>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</si>
  <si>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</si>
  <si>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</si>
  <si>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</si>
  <si>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</si>
  <si>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</si>
  <si>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</si>
  <si>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</si>
  <si>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</si>
  <si>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</si>
  <si>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</si>
  <si>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</si>
  <si>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</si>
  <si>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</si>
  <si>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</si>
  <si>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</si>
  <si>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</si>
  <si>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</si>
  <si>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</si>
  <si>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</si>
  <si>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</si>
  <si>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</si>
  <si>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</si>
  <si>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</si>
  <si>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</si>
  <si>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</si>
  <si>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</si>
  <si>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</si>
  <si>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</si>
  <si>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</si>
  <si>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</si>
  <si>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</si>
  <si>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</si>
  <si>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</si>
  <si>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</si>
  <si>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</si>
  <si>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</si>
  <si>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</si>
  <si>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</si>
  <si>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</si>
  <si>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</si>
  <si>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</si>
  <si>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</si>
  <si>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</si>
  <si>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</si>
  <si>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</si>
  <si>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</si>
  <si>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</si>
  <si>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</si>
  <si>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</si>
  <si>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</si>
  <si>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</si>
  <si>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</si>
  <si>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</si>
  <si>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</si>
  <si>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</si>
  <si>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</si>
  <si>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</si>
  <si>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</si>
  <si>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</si>
  <si>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</si>
  <si>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</si>
  <si>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</si>
  <si>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</si>
  <si>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</si>
  <si>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</si>
  <si>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</si>
  <si>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</si>
  <si>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</si>
  <si>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</si>
  <si>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</si>
  <si>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</si>
  <si>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</si>
  <si>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</si>
  <si>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</si>
  <si>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</si>
  <si>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</si>
  <si>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</si>
  <si>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</si>
  <si>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</si>
  <si>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</si>
  <si>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phoneticPr fontId="24" type="noConversion"/>
  </si>
  <si>
    <t>无</t>
  </si>
  <si>
    <t>1000米以外</t>
  </si>
  <si>
    <t>2003</t>
    <phoneticPr fontId="6" type="noConversion"/>
  </si>
  <si>
    <t>2001</t>
    <phoneticPr fontId="6"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</si>
  <si>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</si>
  <si>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</si>
  <si>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</si>
  <si>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</si>
  <si>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</si>
  <si>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</si>
  <si>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</si>
  <si>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</si>
  <si>
    <t>Ⅵ-01</t>
  </si>
  <si>
    <t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t>
    <phoneticPr fontId="40" type="noConversion"/>
  </si>
  <si>
    <t>周边有专89路、307路、315路、 407路、606路等多条公交线路，交通便捷度一般</t>
    <phoneticPr fontId="40" type="noConversion"/>
  </si>
  <si>
    <t>周边有上林溪、沁春家园、悦秀园等住宅小区项目，居住社区成熟度较好</t>
    <phoneticPr fontId="40" type="noConversion"/>
  </si>
  <si>
    <t>区域自然环境：西小口公园；人文环境；综合评价环境状况较好</t>
    <phoneticPr fontId="40" type="noConversion"/>
  </si>
  <si>
    <t>混合</t>
  </si>
  <si>
    <t>混合</t>
    <phoneticPr fontId="24" type="noConversion"/>
  </si>
  <si>
    <t>未包含在土地购买价格中</t>
  </si>
  <si>
    <t>已包含在土地取得成本中</t>
    <phoneticPr fontId="134" type="noConversion"/>
  </si>
  <si>
    <t>景观</t>
    <phoneticPr fontId="24" type="noConversion"/>
  </si>
  <si>
    <t>是否赠送地下面积</t>
    <phoneticPr fontId="24" type="noConversion"/>
  </si>
  <si>
    <t>是</t>
    <phoneticPr fontId="24" type="noConversion"/>
  </si>
  <si>
    <t>无景观</t>
    <phoneticPr fontId="24" type="noConversion"/>
  </si>
  <si>
    <t>通路</t>
  </si>
  <si>
    <t>与级别开发程度不一致</t>
  </si>
  <si>
    <t>通电</t>
  </si>
  <si>
    <t>通讯</t>
  </si>
  <si>
    <t>通上水</t>
  </si>
  <si>
    <t>通下水</t>
  </si>
  <si>
    <t>燃气</t>
  </si>
  <si>
    <t>平整</t>
  </si>
  <si>
    <t>临园林景观</t>
    <phoneticPr fontId="24" type="noConversion"/>
  </si>
  <si>
    <t>南北东</t>
  </si>
  <si>
    <t>南北东</t>
    <phoneticPr fontId="24" type="noConversion"/>
  </si>
  <si>
    <t>南北西</t>
  </si>
  <si>
    <t>南北西</t>
    <phoneticPr fontId="24" type="noConversion"/>
  </si>
  <si>
    <t>南北</t>
    <phoneticPr fontId="24" type="noConversion"/>
  </si>
  <si>
    <t>朝向</t>
    <phoneticPr fontId="24" type="noConversion"/>
  </si>
  <si>
    <t>南北东</t>
    <phoneticPr fontId="24" type="noConversion"/>
  </si>
  <si>
    <t>六通</t>
  </si>
  <si>
    <t>六通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</si>
</sst>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
      <sz val="10"/>
      <name val="Arial"/>
      <family val="3"/>
      <charset val="134"/>
    </font>
    <font>
      <sz val="9"/>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177" fontId="53" fillId="9" borderId="1" xfId="1" applyNumberFormat="1" applyFont="1" applyFill="1" applyBorder="1" applyAlignment="1" applyProtection="1">
      <alignment horizont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4" fillId="0" borderId="0" xfId="0" applyFont="1" applyAlignment="1" applyProtection="1">
      <alignment vertical="center" wrapText="1"/>
      <protection locked="0"/>
    </xf>
    <xf numFmtId="0" fontId="80" fillId="5" borderId="24" xfId="1" applyFont="1" applyFill="1" applyBorder="1" applyAlignment="1" applyProtection="1">
      <alignment horizontal="lef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275" fillId="0" borderId="180" xfId="0" applyFont="1" applyBorder="1" applyAlignment="1">
      <alignment horizontal="center" vertical="center"/>
    </xf>
    <xf numFmtId="0" fontId="275" fillId="0" borderId="80" xfId="0" applyFont="1" applyBorder="1" applyAlignment="1">
      <alignment horizontal="center" vertical="center"/>
    </xf>
    <xf numFmtId="0" fontId="275" fillId="0" borderId="179" xfId="0" applyFont="1" applyBorder="1" applyAlignment="1">
      <alignment horizontal="center" vertical="center"/>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12</xdr:col>
      <xdr:colOff>513699</xdr:colOff>
      <xdr:row>35</xdr:row>
      <xdr:rowOff>170581</xdr:rowOff>
    </xdr:to>
    <xdr:pic>
      <xdr:nvPicPr>
        <xdr:cNvPr id="3" name="图片 2">
          <a:extLst>
            <a:ext uri="{FF2B5EF4-FFF2-40B4-BE49-F238E27FC236}">
              <a16:creationId xmlns:a16="http://schemas.microsoft.com/office/drawing/2014/main"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0</xdr:colOff>
      <xdr:row>37</xdr:row>
      <xdr:rowOff>121262</xdr:rowOff>
    </xdr:from>
    <xdr:to>
      <xdr:col>7</xdr:col>
      <xdr:colOff>577341</xdr:colOff>
      <xdr:row>64</xdr:row>
      <xdr:rowOff>9525</xdr:rowOff>
    </xdr:to>
    <xdr:pic>
      <xdr:nvPicPr>
        <xdr:cNvPr id="6" name="图片 5">
          <a:extLst>
            <a:ext uri="{FF2B5EF4-FFF2-40B4-BE49-F238E27FC236}">
              <a16:creationId xmlns:a16="http://schemas.microsoft.com/office/drawing/2014/main" id="{FF28EF58-DF6A-4CA3-9377-1F9B6834967F}"/>
            </a:ext>
          </a:extLst>
        </xdr:cNvPr>
        <xdr:cNvPicPr>
          <a:picLocks noChangeAspect="1"/>
        </xdr:cNvPicPr>
      </xdr:nvPicPr>
      <xdr:blipFill>
        <a:blip xmlns:r="http://schemas.openxmlformats.org/officeDocument/2006/relationships" r:embed="rId4"/>
        <a:stretch>
          <a:fillRect/>
        </a:stretch>
      </xdr:blipFill>
      <xdr:spPr>
        <a:xfrm>
          <a:off x="0" y="7036412"/>
          <a:ext cx="6416166" cy="45174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14</xdr:col>
      <xdr:colOff>209550</xdr:colOff>
      <xdr:row>45</xdr:row>
      <xdr:rowOff>134013</xdr:rowOff>
    </xdr:to>
    <xdr:pic>
      <xdr:nvPicPr>
        <xdr:cNvPr id="10" name="图片 9">
          <a:extLst>
            <a:ext uri="{FF2B5EF4-FFF2-40B4-BE49-F238E27FC236}">
              <a16:creationId xmlns:a16="http://schemas.microsoft.com/office/drawing/2014/main"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8210550" cy="5418080"/>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F8" totalsRowShown="0" headerRowDxfId="7" dataDxfId="6">
  <autoFilter ref="A1:F8" xr:uid="{00000000-0009-0000-0100-000001000000}"/>
  <tableColumns count="6">
    <tableColumn id="4" xr3:uid="{00000000-0010-0000-0000-000004000000}" name="委托方" dataDxfId="5"/>
    <tableColumn id="5" xr3:uid="{00000000-0010-0000-0000-000005000000}" name="区县" dataDxfId="4"/>
    <tableColumn id="6" xr3:uid="{00000000-0010-0000-0000-000006000000}" name="房屋坐落" dataDxfId="3"/>
    <tableColumn id="7" xr3:uid="{00000000-0010-0000-0000-000007000000}" name="物业名称" dataDxfId="2"/>
    <tableColumn id="11" xr3:uid="{00000000-0010-0000-0000-00000B000000}" name="建筑面积" dataDxfId="1"/>
    <tableColumn id="12" xr3:uid="{00000000-0010-0000-0000-00000C000000}"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3" t="s">
        <v>385</v>
      </c>
      <c r="C54" s="1550" t="s">
        <v>583</v>
      </c>
    </row>
    <row r="55" spans="1:4">
      <c r="A55" s="3520"/>
      <c r="B55" s="1553" t="s">
        <v>386</v>
      </c>
      <c r="C55" s="1550" t="s">
        <v>584</v>
      </c>
    </row>
    <row r="56" spans="1:4">
      <c r="A56" s="3520"/>
      <c r="B56" s="1553" t="s">
        <v>387</v>
      </c>
      <c r="C56" s="1550" t="s">
        <v>588</v>
      </c>
    </row>
    <row r="57" spans="1:4">
      <c r="A57" s="352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1" t="s">
        <v>2581</v>
      </c>
      <c r="J2" s="3521"/>
      <c r="K2" s="3521"/>
      <c r="L2" s="3521"/>
      <c r="M2" s="3521"/>
      <c r="N2" s="3521"/>
      <c r="O2" s="3521"/>
      <c r="P2" s="3521"/>
      <c r="Q2" s="3521"/>
      <c r="R2" s="3521"/>
    </row>
    <row r="3" spans="1:18">
      <c r="A3" s="3015" t="s">
        <v>2502</v>
      </c>
      <c r="B3" s="3016">
        <f>项目基本情况!D3</f>
        <v>44845</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6" sqref="D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22" t="str">
        <f>IF(B10="北京市","北京市",C10)&amp;F10&amp;IF(结果表!G1="在建","出让国有建设用地使用权及在建建筑物",IF(结果表!G1="土地","出让国有建设用地使用权",))&amp;B9&amp;"预评估"</f>
        <v>北京市房地产市场价值预评估</v>
      </c>
      <c r="C1" s="3523"/>
      <c r="D1" s="3523"/>
      <c r="E1" s="3523"/>
      <c r="F1" s="3523"/>
      <c r="G1" s="3523"/>
      <c r="H1" s="3523"/>
      <c r="I1" s="3524"/>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25"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26"/>
      <c r="E9" s="2390" t="s">
        <v>43</v>
      </c>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65">
        <f>K10+70</f>
        <v>2071</v>
      </c>
      <c r="K10" s="2611" t="s">
        <v>3467</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3466</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3337</v>
      </c>
      <c r="B13" s="2403" t="s">
        <v>2190</v>
      </c>
      <c r="C13" s="856">
        <v>62732</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32"/>
      <c r="C16" s="3533"/>
      <c r="D16" s="3534"/>
      <c r="E16" s="2409" t="s">
        <v>2194</v>
      </c>
      <c r="F16" s="3535"/>
      <c r="G16" s="3536"/>
      <c r="H16" s="3536"/>
      <c r="I16" s="3537"/>
      <c r="J16" s="2435"/>
      <c r="K16" s="2612"/>
      <c r="L16" s="2447"/>
      <c r="M16" s="2447"/>
      <c r="N16" s="2504"/>
      <c r="O16" s="2447"/>
      <c r="P16" s="2504"/>
      <c r="Q16" s="2435"/>
      <c r="R16" s="2435"/>
    </row>
    <row r="17" spans="1:28">
      <c r="A17" s="313" t="s">
        <v>2195</v>
      </c>
      <c r="B17" s="302" t="s">
        <v>2196</v>
      </c>
      <c r="C17" s="8">
        <f>'数据-汇总表'!E3</f>
        <v>217.05</v>
      </c>
      <c r="D17" s="2318" t="s">
        <v>2197</v>
      </c>
      <c r="E17" s="3538" t="s">
        <v>2198</v>
      </c>
      <c r="F17" s="3539"/>
      <c r="G17" s="3539"/>
      <c r="H17" s="3539"/>
      <c r="I17" s="3540"/>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41" t="s">
        <v>2202</v>
      </c>
      <c r="F18" s="3542"/>
      <c r="G18" s="3542"/>
      <c r="H18" s="3542"/>
      <c r="I18" s="3543"/>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28" t="s">
        <v>2206</v>
      </c>
      <c r="C20" s="3529"/>
      <c r="D20" s="3530" t="s">
        <v>2207</v>
      </c>
      <c r="E20" s="3531"/>
      <c r="F20" s="2642" t="s">
        <v>1056</v>
      </c>
      <c r="G20" s="2659"/>
      <c r="H20" s="2659"/>
      <c r="I20" s="2659"/>
      <c r="J20" s="2435"/>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45"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45"/>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45"/>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46"/>
      <c r="B30" s="302" t="s">
        <v>2218</v>
      </c>
      <c r="C30" s="3547"/>
      <c r="D30" s="3548"/>
      <c r="E30" s="2659"/>
      <c r="F30" s="2659"/>
      <c r="G30" s="2659"/>
      <c r="H30" s="2659"/>
      <c r="I30" s="2659"/>
      <c r="J30" s="2435"/>
      <c r="K30" s="2611"/>
      <c r="L30" s="2608"/>
      <c r="M30" s="2608"/>
      <c r="N30" s="2435"/>
      <c r="O30" s="2446"/>
      <c r="P30" s="2435"/>
      <c r="Q30" s="2435"/>
      <c r="R30" s="2435"/>
      <c r="S30" s="2435"/>
      <c r="T30" s="2435"/>
      <c r="U30" s="2435"/>
      <c r="V30" s="2435"/>
    </row>
    <row r="31" spans="1:28">
      <c r="A31" s="3549"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50"/>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50"/>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44" t="s">
        <v>2228</v>
      </c>
      <c r="T34" s="2424" t="str">
        <f>NUMBERSTRING(7-K34,1)&amp;"通"</f>
        <v>七通</v>
      </c>
      <c r="U34" s="2435"/>
      <c r="V34" s="2435"/>
    </row>
    <row r="35" spans="1:30">
      <c r="A35" s="2425"/>
      <c r="B35" s="3551" t="s">
        <v>2229</v>
      </c>
      <c r="C35" s="3551"/>
      <c r="D35" s="3551"/>
      <c r="E35" s="3551"/>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29</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3476</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3437</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3435</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K10" sqref="K1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8" t="s">
        <v>1108</v>
      </c>
      <c r="F2" s="2654"/>
      <c r="G2" s="2645"/>
      <c r="H2" s="2646"/>
      <c r="I2" s="2321" t="s">
        <v>1132</v>
      </c>
      <c r="J2" s="2654"/>
      <c r="K2" s="2654"/>
      <c r="L2" s="2654"/>
      <c r="M2" s="2654"/>
      <c r="N2" s="2656"/>
      <c r="O2" s="2654"/>
      <c r="P2" s="2654"/>
    </row>
    <row r="3" spans="1:16" ht="15.75" thickBot="1">
      <c r="A3" s="3562" t="s">
        <v>1105</v>
      </c>
      <c r="B3" s="3562"/>
      <c r="C3" s="3562"/>
      <c r="D3" s="43">
        <f>'数据-基础表'!AY6</f>
        <v>0</v>
      </c>
      <c r="E3" s="43">
        <f>'数据-基础表'!AZ5</f>
        <v>217.05</v>
      </c>
      <c r="F3" s="2654"/>
      <c r="G3" s="1145"/>
      <c r="H3" s="1026" t="s">
        <v>1106</v>
      </c>
      <c r="I3" s="855" t="e">
        <f>ROUND('数据-基础表'!B3/'数据-基础表'!A3,2)</f>
        <v>#DIV/0!</v>
      </c>
      <c r="J3" s="2654"/>
      <c r="K3" s="2654"/>
      <c r="L3" s="2654"/>
      <c r="M3" s="2654"/>
      <c r="N3" s="2656"/>
      <c r="O3" s="2654"/>
      <c r="P3" s="2654"/>
    </row>
    <row r="4" spans="1:16" ht="15">
      <c r="A4" s="3563"/>
      <c r="B4" s="3564"/>
      <c r="C4" s="3565"/>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66" t="s">
        <v>1110</v>
      </c>
      <c r="C5" s="3566"/>
      <c r="D5" s="45">
        <f>ROUND($D$3*E5/$E$3,2)</f>
        <v>0</v>
      </c>
      <c r="E5" s="46">
        <f>SUMIF('数据-基础表'!$11:$11,"住宅",'数据-基础表'!$5:$5)</f>
        <v>217.05</v>
      </c>
      <c r="F5" s="2654"/>
      <c r="G5" s="1145"/>
      <c r="H5" s="1026" t="s">
        <v>1106</v>
      </c>
      <c r="I5" s="855" t="e">
        <f>ROUND(E31/D31,2)</f>
        <v>#DIV/0!</v>
      </c>
      <c r="J5" s="2654"/>
      <c r="K5" s="2654"/>
      <c r="L5" s="2654"/>
      <c r="M5" s="2654"/>
      <c r="N5" s="2654"/>
      <c r="O5" s="2654"/>
      <c r="P5" s="2654"/>
    </row>
    <row r="6" spans="1:16" ht="15" thickBot="1">
      <c r="A6" s="1643"/>
      <c r="B6" s="3566" t="s">
        <v>1111</v>
      </c>
      <c r="C6" s="3566"/>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58"/>
      <c r="B7" s="3559"/>
      <c r="C7" s="3560"/>
      <c r="D7" s="1640" t="s">
        <v>1107</v>
      </c>
      <c r="E7" s="1644" t="s">
        <v>1114</v>
      </c>
      <c r="F7" s="2654"/>
      <c r="G7" s="2650" t="s">
        <v>1115</v>
      </c>
      <c r="H7" s="2651"/>
      <c r="I7" s="2652">
        <f>K9</f>
        <v>1.28</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217.05</v>
      </c>
      <c r="F8" s="2654"/>
      <c r="G8" s="2655"/>
      <c r="H8" s="2655"/>
      <c r="I8" s="2654">
        <v>0.47</v>
      </c>
      <c r="J8" s="2654"/>
      <c r="K8" s="2654"/>
      <c r="L8" s="2654"/>
      <c r="M8" s="2654"/>
      <c r="N8" s="2654"/>
      <c r="O8" s="2654"/>
      <c r="P8" s="2654"/>
    </row>
    <row r="9" spans="1:16">
      <c r="A9" s="1645"/>
      <c r="B9" s="1646"/>
      <c r="C9" s="45" t="s">
        <v>1119</v>
      </c>
      <c r="D9" s="45">
        <f t="shared" si="0"/>
        <v>0</v>
      </c>
      <c r="E9" s="49">
        <v>0</v>
      </c>
      <c r="F9" s="2654"/>
      <c r="G9" s="2655"/>
      <c r="H9" s="2655"/>
      <c r="I9" s="2654">
        <v>169.44</v>
      </c>
      <c r="J9" s="2654"/>
      <c r="K9" s="2654">
        <f>ROUND(F19/169.44,2)</f>
        <v>1.28</v>
      </c>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217.05</v>
      </c>
      <c r="F16" s="2654"/>
      <c r="G16" s="2655"/>
      <c r="H16" s="1647" t="s">
        <v>1135</v>
      </c>
      <c r="I16" s="1648"/>
      <c r="J16" s="1139"/>
      <c r="K16" s="3555" t="s">
        <v>1135</v>
      </c>
      <c r="L16" s="3556"/>
      <c r="M16" s="3556"/>
      <c r="N16" s="3556"/>
      <c r="O16" s="3556"/>
      <c r="P16" s="3557"/>
    </row>
    <row r="17" spans="1:19" ht="15">
      <c r="A17" s="1649" t="s">
        <v>1136</v>
      </c>
      <c r="B17" s="1650" t="s">
        <v>1137</v>
      </c>
      <c r="C17" s="1651" t="s">
        <v>1138</v>
      </c>
      <c r="D17" s="1652" t="s">
        <v>1126</v>
      </c>
      <c r="E17" s="1653" t="s">
        <v>1127</v>
      </c>
      <c r="F17" s="1654"/>
      <c r="G17" s="1655"/>
      <c r="H17" s="1656" t="s">
        <v>1139</v>
      </c>
      <c r="I17" s="1657" t="s">
        <v>1124</v>
      </c>
      <c r="J17" s="1139"/>
      <c r="K17" s="3552" t="s">
        <v>1140</v>
      </c>
      <c r="L17" s="3553"/>
      <c r="M17" s="3554"/>
      <c r="N17" s="3552" t="s">
        <v>1141</v>
      </c>
      <c r="O17" s="3553"/>
      <c r="P17" s="355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3434</v>
      </c>
      <c r="D19" s="45">
        <f>ROUND($D$3*E19/$E$3,2)</f>
        <v>0</v>
      </c>
      <c r="E19" s="53">
        <f t="shared" ref="E19:E26" si="1">SUM(F19:G19)</f>
        <v>217.05</v>
      </c>
      <c r="F19" s="2790">
        <f>'数据-基础表'!I13</f>
        <v>217.05</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217.05</v>
      </c>
      <c r="F31" s="677">
        <f>F27+F30</f>
        <v>217.05</v>
      </c>
      <c r="G31" s="678">
        <f>G27+G30</f>
        <v>0</v>
      </c>
      <c r="H31" s="2654"/>
      <c r="I31" s="2654"/>
      <c r="J31" s="2654"/>
      <c r="K31" s="2654"/>
      <c r="L31" s="2654"/>
      <c r="M31" s="2654"/>
      <c r="N31" s="2654"/>
      <c r="O31" s="2654"/>
      <c r="P31" s="2654"/>
    </row>
    <row r="32" spans="1:19">
      <c r="A32" s="1642"/>
      <c r="B32" s="1642" t="s">
        <v>1159</v>
      </c>
      <c r="C32" s="1642"/>
      <c r="D32" s="1642"/>
      <c r="E32" s="1053">
        <f>SUMIF(C19:C26,"*住宅*",E19:E26)</f>
        <v>217.05</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0" activePane="bottomRight" state="frozen"/>
      <selection activeCell="C50" sqref="C50"/>
      <selection pane="topRight" activeCell="C50" sqref="C50"/>
      <selection pane="bottomLeft" activeCell="C50" sqref="C50"/>
      <selection pane="bottomRight" activeCell="F35" sqref="F3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3394</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v>5000</v>
      </c>
      <c r="M6" s="67">
        <f t="shared" ref="M6:M14" si="0">ROUND(K6*L6/10000,0)</f>
        <v>109</v>
      </c>
      <c r="N6" s="731">
        <v>0.72</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f>案例库!M82</f>
        <v>153.80000000000001</v>
      </c>
      <c r="V6" s="70">
        <v>0.02</v>
      </c>
      <c r="W6" s="70">
        <v>0.1</v>
      </c>
      <c r="X6" s="1040"/>
      <c r="Y6" s="71">
        <f>N6</f>
        <v>0.72</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3432</v>
      </c>
      <c r="AO6" s="52">
        <f ca="1">SUMIF(INDIRECT("'"&amp;AN6&amp;"'"&amp;"!A:A"),"总价",INDIRECT("'"&amp;AN6&amp;"'"&amp;"!B:B"))</f>
        <v>802.80340000000001</v>
      </c>
      <c r="AP6" s="1715">
        <f>IF(C6="住宅",K6*L6,0)</f>
        <v>1085250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5022</v>
      </c>
      <c r="M16" s="93">
        <f>SUM(M6:M14)</f>
        <v>109</v>
      </c>
      <c r="N16" s="94">
        <f>ROUND(SUMPRODUCT(M6:M14,N6:N14)/M16,3)</f>
        <v>0.72</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c r="M20" s="2666"/>
      <c r="N20" s="2666">
        <f>ROUND(1-(1-2%)*(2022-2003)/50,2)</f>
        <v>0.63</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300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160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160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350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0.03</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3433</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67" t="s">
        <v>2284</v>
      </c>
      <c r="B1" s="3568"/>
      <c r="C1" s="3568"/>
      <c r="D1" s="3568"/>
      <c r="E1" s="3568"/>
      <c r="F1" s="3568"/>
      <c r="G1" s="356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36">
      <c r="A3" s="2437" t="s">
        <v>2282</v>
      </c>
      <c r="B3" s="2459" t="s">
        <v>2252</v>
      </c>
      <c r="C3" s="3471" t="s">
        <v>3479</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36">
      <c r="A6" s="2438"/>
      <c r="B6" s="323" t="s">
        <v>2262</v>
      </c>
      <c r="C6" s="3470" t="s">
        <v>3478</v>
      </c>
      <c r="D6" s="2460"/>
      <c r="E6" s="2464"/>
      <c r="F6" s="323" t="s">
        <v>2263</v>
      </c>
      <c r="G6" s="2465" t="s">
        <v>2264</v>
      </c>
      <c r="H6" s="799"/>
      <c r="I6" s="799"/>
      <c r="J6" s="799"/>
      <c r="K6" s="799"/>
      <c r="L6" s="799"/>
      <c r="M6" s="799"/>
      <c r="N6" s="799"/>
      <c r="O6" s="799"/>
      <c r="P6" s="799"/>
      <c r="Q6" s="799"/>
      <c r="R6" s="799"/>
    </row>
    <row r="7" spans="1:29" ht="144.75" thickBot="1">
      <c r="A7" s="2438"/>
      <c r="B7" s="323" t="s">
        <v>2260</v>
      </c>
      <c r="C7" s="3470" t="s">
        <v>3477</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24">
      <c r="A9" s="2438"/>
      <c r="B9" s="323" t="s">
        <v>2267</v>
      </c>
      <c r="C9" s="3472" t="s">
        <v>3480</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38.25">
      <c r="A15" s="2440" t="s">
        <v>2271</v>
      </c>
      <c r="B15" s="2492" t="s">
        <v>2252</v>
      </c>
      <c r="C15" s="2493" t="str">
        <f>C3</f>
        <v>周边有上林溪、沁春家园、悦秀园等住宅小区项目，居住社区成熟度较好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38.25">
      <c r="A18" s="2442"/>
      <c r="B18" s="2497" t="s">
        <v>2262</v>
      </c>
      <c r="C18" s="2498" t="str">
        <f>C6</f>
        <v>周边有专89路、307路、315路、 407路、606路等多条公交线路，交通便捷度一般</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25.5">
      <c r="A20" s="2442"/>
      <c r="B20" s="2497" t="s">
        <v>2276</v>
      </c>
      <c r="C20" s="2496" t="str">
        <f>C9</f>
        <v>区域自然环境：西小口公园；人文环境；综合评价环境状况较好</v>
      </c>
      <c r="D20" s="2466"/>
      <c r="E20" s="2443"/>
      <c r="F20" s="323" t="s">
        <v>2263</v>
      </c>
      <c r="G20" s="2498" t="str">
        <f>G6</f>
        <v>估价对象所在区域基础设施水平</v>
      </c>
    </row>
    <row r="21" spans="1:18" ht="153">
      <c r="A21" s="2442"/>
      <c r="B21" s="323" t="s">
        <v>2260</v>
      </c>
      <c r="C21" s="2498" t="str">
        <f>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 sqref="F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217.05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2078.5792999999999</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36"/>
      <c r="F10" s="3440" t="s">
        <v>3363</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217.05</v>
      </c>
      <c r="C14" s="2513"/>
      <c r="D14" s="2513">
        <f ca="1">ROUND(E14*B14/10000,4)</f>
        <v>2078.5792999999999</v>
      </c>
      <c r="E14" s="2513">
        <f ca="1">结果表!G20</f>
        <v>95765</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G13" sqref="G1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3" t="s">
        <v>1265</v>
      </c>
      <c r="B4" s="1754" t="s">
        <v>1266</v>
      </c>
      <c r="C4" s="1755" t="s">
        <v>3461</v>
      </c>
      <c r="D4" s="1755" t="s">
        <v>3462</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584" t="s">
        <v>1268</v>
      </c>
      <c r="B5" s="3641">
        <v>25</v>
      </c>
      <c r="C5" s="3631">
        <v>25</v>
      </c>
      <c r="D5" s="3631">
        <v>3</v>
      </c>
      <c r="E5" s="131" t="s">
        <v>1269</v>
      </c>
      <c r="F5" s="1756"/>
      <c r="G5" s="1756"/>
      <c r="H5" s="1756"/>
      <c r="I5" s="1372"/>
    </row>
    <row r="6" spans="1:12" ht="12.75" customHeight="1">
      <c r="A6" s="3584"/>
      <c r="B6" s="3641"/>
      <c r="C6" s="3631"/>
      <c r="D6" s="3631"/>
      <c r="E6" s="131" t="s">
        <v>1270</v>
      </c>
      <c r="F6" s="1756"/>
      <c r="G6" s="1756"/>
      <c r="H6" s="1756"/>
      <c r="I6" s="1372"/>
    </row>
    <row r="7" spans="1:12" ht="12.75" customHeight="1" thickBot="1">
      <c r="A7" s="3584"/>
      <c r="B7" s="3641"/>
      <c r="C7" s="3632"/>
      <c r="D7" s="3632"/>
      <c r="E7" s="131" t="s">
        <v>1271</v>
      </c>
      <c r="F7" s="1756"/>
      <c r="G7" s="1756"/>
      <c r="H7" s="1756"/>
      <c r="I7" s="1372"/>
    </row>
    <row r="8" spans="1:12" ht="12.75" customHeight="1">
      <c r="A8" s="3584" t="s">
        <v>1272</v>
      </c>
      <c r="B8" s="3641">
        <v>15</v>
      </c>
      <c r="C8" s="3630">
        <v>15</v>
      </c>
      <c r="D8" s="3630">
        <v>5</v>
      </c>
      <c r="E8" s="131" t="s">
        <v>1273</v>
      </c>
      <c r="F8" s="1756"/>
      <c r="G8" s="1756"/>
      <c r="H8" s="1756"/>
      <c r="I8" s="1372"/>
    </row>
    <row r="9" spans="1:12" ht="12.75" customHeight="1" thickBot="1">
      <c r="A9" s="3584"/>
      <c r="B9" s="3641"/>
      <c r="C9" s="3632"/>
      <c r="D9" s="3632"/>
      <c r="E9" s="131" t="s">
        <v>1274</v>
      </c>
      <c r="F9" s="1756"/>
      <c r="G9" s="1756"/>
      <c r="H9" s="1756"/>
      <c r="I9" s="1372"/>
    </row>
    <row r="10" spans="1:12" ht="12.75" customHeight="1">
      <c r="A10" s="3584" t="s">
        <v>1275</v>
      </c>
      <c r="B10" s="3641">
        <v>15</v>
      </c>
      <c r="C10" s="3630">
        <v>15</v>
      </c>
      <c r="D10" s="3630">
        <v>5</v>
      </c>
      <c r="E10" s="131" t="s">
        <v>1276</v>
      </c>
      <c r="F10" s="1756"/>
      <c r="G10" s="1756"/>
      <c r="H10" s="1756"/>
      <c r="I10" s="1372"/>
    </row>
    <row r="11" spans="1:12" ht="12.75" customHeight="1" thickBot="1">
      <c r="A11" s="3584"/>
      <c r="B11" s="3641"/>
      <c r="C11" s="3632"/>
      <c r="D11" s="3632"/>
      <c r="E11" s="131" t="s">
        <v>1277</v>
      </c>
      <c r="F11" s="1756"/>
      <c r="G11" s="1756"/>
      <c r="H11" s="1756"/>
      <c r="I11" s="1372"/>
    </row>
    <row r="12" spans="1:12" ht="12.75" customHeight="1">
      <c r="A12" s="3584" t="s">
        <v>1278</v>
      </c>
      <c r="B12" s="3641">
        <v>15</v>
      </c>
      <c r="C12" s="3630">
        <v>9</v>
      </c>
      <c r="D12" s="3630">
        <v>5</v>
      </c>
      <c r="E12" s="131" t="s">
        <v>1279</v>
      </c>
      <c r="F12" s="1756"/>
      <c r="G12" s="1756"/>
      <c r="H12" s="1756"/>
      <c r="I12" s="1372"/>
    </row>
    <row r="13" spans="1:12" ht="12.75" customHeight="1" thickBot="1">
      <c r="A13" s="3584"/>
      <c r="B13" s="3641"/>
      <c r="C13" s="3632"/>
      <c r="D13" s="3632"/>
      <c r="E13" s="131" t="s">
        <v>1280</v>
      </c>
      <c r="F13" s="1756"/>
      <c r="G13" s="1756"/>
      <c r="H13" s="1756"/>
      <c r="I13" s="1372"/>
    </row>
    <row r="14" spans="1:12" ht="12.75" customHeight="1">
      <c r="A14" s="3584" t="s">
        <v>1281</v>
      </c>
      <c r="B14" s="3641">
        <v>30</v>
      </c>
      <c r="C14" s="3630">
        <v>20</v>
      </c>
      <c r="D14" s="3630">
        <v>3</v>
      </c>
      <c r="E14" s="131" t="s">
        <v>1282</v>
      </c>
      <c r="F14" s="1756"/>
      <c r="G14" s="1756"/>
      <c r="H14" s="1756"/>
      <c r="I14" s="1372"/>
    </row>
    <row r="15" spans="1:12" ht="12.75" customHeight="1">
      <c r="A15" s="3584"/>
      <c r="B15" s="3641"/>
      <c r="C15" s="3631"/>
      <c r="D15" s="3631"/>
      <c r="E15" s="131" t="s">
        <v>1283</v>
      </c>
      <c r="F15" s="1756"/>
      <c r="G15" s="1756"/>
      <c r="H15" s="1756"/>
      <c r="I15" s="1372"/>
    </row>
    <row r="16" spans="1:12" ht="12.75" customHeight="1" thickBot="1">
      <c r="A16" s="3584"/>
      <c r="B16" s="3641"/>
      <c r="C16" s="3632"/>
      <c r="D16" s="3632"/>
      <c r="E16" s="131" t="s">
        <v>1284</v>
      </c>
      <c r="F16" s="1756"/>
      <c r="G16" s="1756"/>
      <c r="H16" s="1756"/>
      <c r="I16" s="1372"/>
    </row>
    <row r="17" spans="1:36" ht="15">
      <c r="A17" s="1757" t="s">
        <v>1285</v>
      </c>
      <c r="B17" s="56"/>
      <c r="C17" s="132">
        <f>SUM(C5:C16)</f>
        <v>84</v>
      </c>
      <c r="D17" s="132">
        <f>SUM(D5:D16)</f>
        <v>21</v>
      </c>
      <c r="E17" s="129"/>
      <c r="F17" s="129"/>
      <c r="G17" s="129"/>
      <c r="H17" s="129"/>
      <c r="I17" s="129">
        <v>7</v>
      </c>
      <c r="K17" s="302"/>
      <c r="L17" s="302" t="s">
        <v>1286</v>
      </c>
      <c r="M17" s="302" t="s">
        <v>1287</v>
      </c>
    </row>
    <row r="18" spans="1:36" ht="31.9" customHeight="1" thickBot="1">
      <c r="A18" s="1758" t="s">
        <v>1288</v>
      </c>
      <c r="B18" s="1759"/>
      <c r="C18" s="133">
        <f>ROUND(C17/SUM(C17:D17),2)</f>
        <v>0.8</v>
      </c>
      <c r="D18" s="133">
        <f>1-C18</f>
        <v>0.19999999999999996</v>
      </c>
      <c r="E18" s="3660" t="s">
        <v>2131</v>
      </c>
      <c r="F18" s="3661"/>
      <c r="G18" s="3661"/>
      <c r="H18" s="3661"/>
      <c r="I18" s="3661"/>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2390.0677999999998</v>
      </c>
      <c r="D19" s="135">
        <f ca="1">SUMIF(INDIRECT("'"&amp;D4&amp;"'"&amp;"!A:A"),结果表!B19,INDIRECT("'"&amp;D4&amp;"'"&amp;"!B:B"))</f>
        <v>832.61419999999998</v>
      </c>
      <c r="E19" s="1760" t="s">
        <v>1292</v>
      </c>
      <c r="F19" s="1761" t="s">
        <v>1291</v>
      </c>
      <c r="G19" s="136">
        <f ca="1">ROUND(C19*$C$18+D19*$D$18,0)</f>
        <v>2079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110116</v>
      </c>
      <c r="D20" s="138">
        <f ca="1">SUMIF(INDIRECT("'"&amp;D4&amp;"'"&amp;"!A:A"),结果表!B20,INDIRECT("'"&amp;D4&amp;"'"&amp;"!B:B"))</f>
        <v>38360</v>
      </c>
      <c r="E20" s="1763"/>
      <c r="F20" s="1026" t="s">
        <v>1295</v>
      </c>
      <c r="G20" s="139">
        <f ca="1">ROUND(C20*$C$18+D20*$D$18,0)</f>
        <v>95765</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1.870558537195258</v>
      </c>
      <c r="E22" s="129"/>
      <c r="F22" s="129"/>
      <c r="G22" s="129">
        <f ca="1">系统读取表!D14</f>
        <v>2078.5792999999999</v>
      </c>
      <c r="H22" s="129"/>
      <c r="I22" s="129"/>
    </row>
    <row r="23" spans="1:36" ht="13.5" thickBot="1">
      <c r="A23" s="1746"/>
      <c r="B23" s="1746"/>
      <c r="C23" s="1746"/>
      <c r="D23" s="1746"/>
      <c r="E23" s="129"/>
      <c r="F23" s="129"/>
      <c r="G23" s="129"/>
      <c r="H23" s="129"/>
      <c r="I23" s="129"/>
    </row>
    <row r="24" spans="1:36" ht="14.25">
      <c r="A24" s="3653" t="s">
        <v>1299</v>
      </c>
      <c r="B24" s="1761" t="s">
        <v>1291</v>
      </c>
      <c r="C24" s="136">
        <f>IF(B30=0,0,D30)</f>
        <v>0</v>
      </c>
      <c r="D24" s="1768"/>
      <c r="E24" s="129"/>
      <c r="F24" s="129"/>
      <c r="G24" s="129"/>
      <c r="H24" s="129"/>
      <c r="I24" s="129"/>
    </row>
    <row r="25" spans="1:36" ht="14.25">
      <c r="A25" s="365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95765</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3" t="s">
        <v>1312</v>
      </c>
      <c r="B36" s="1786" t="s">
        <v>1313</v>
      </c>
      <c r="C36" s="145"/>
      <c r="D36" s="1787"/>
      <c r="E36" s="1788"/>
      <c r="F36" s="1789"/>
      <c r="G36" s="129"/>
      <c r="H36" s="129"/>
      <c r="I36" s="129"/>
    </row>
    <row r="37" spans="1:15" ht="15.75" thickBot="1">
      <c r="A37" s="3634"/>
      <c r="B37" s="1673" t="s">
        <v>1314</v>
      </c>
      <c r="C37" s="147"/>
      <c r="D37" s="1139"/>
      <c r="E37" s="1139"/>
      <c r="F37" s="1789"/>
      <c r="G37" s="129"/>
      <c r="H37" s="129"/>
      <c r="I37" s="129"/>
    </row>
    <row r="38" spans="1:15" ht="15.75" thickBot="1">
      <c r="A38" s="363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0" t="s">
        <v>1326</v>
      </c>
      <c r="B45" s="3651"/>
      <c r="C45" s="3652"/>
      <c r="D45" s="155" t="e">
        <f ca="1">ROUND(H101*F45,0)</f>
        <v>#REF!</v>
      </c>
      <c r="E45" s="156" t="s">
        <v>1327</v>
      </c>
      <c r="F45" s="157">
        <v>1</v>
      </c>
      <c r="G45" s="158" t="s">
        <v>1328</v>
      </c>
      <c r="H45" s="129"/>
      <c r="I45" s="129"/>
      <c r="J45" s="3571" t="s">
        <v>1329</v>
      </c>
      <c r="K45" s="3571"/>
      <c r="L45" s="3571"/>
      <c r="M45" s="3571"/>
      <c r="N45" s="3571"/>
      <c r="O45" s="3571"/>
    </row>
    <row r="46" spans="1:15" ht="14.25" customHeight="1">
      <c r="A46" s="3647" t="s">
        <v>1330</v>
      </c>
      <c r="B46" s="3648"/>
      <c r="C46" s="3648"/>
      <c r="D46" s="3648"/>
      <c r="E46" s="3648"/>
      <c r="F46" s="3648"/>
      <c r="G46" s="3649"/>
      <c r="H46" s="1805"/>
      <c r="I46" s="159"/>
      <c r="J46" s="2518">
        <v>1</v>
      </c>
      <c r="K46" s="3572" t="s">
        <v>1331</v>
      </c>
      <c r="L46" s="3572"/>
      <c r="M46" s="3573"/>
      <c r="N46" s="3573"/>
      <c r="O46" s="3573"/>
    </row>
    <row r="47" spans="1:15" ht="12" customHeight="1">
      <c r="A47" s="160" t="s">
        <v>1332</v>
      </c>
      <c r="B47" s="161"/>
      <c r="C47" s="162"/>
      <c r="D47" s="1087" t="s">
        <v>1333</v>
      </c>
      <c r="E47" s="302" t="s">
        <v>1334</v>
      </c>
      <c r="F47" s="163" t="s">
        <v>1335</v>
      </c>
      <c r="G47" s="2541" t="s">
        <v>1336</v>
      </c>
      <c r="H47" s="2542"/>
      <c r="I47" s="159"/>
      <c r="J47" s="2518">
        <v>2</v>
      </c>
      <c r="K47" s="3572" t="s">
        <v>1337</v>
      </c>
      <c r="L47" s="3572"/>
      <c r="M47" s="3574">
        <f>'数据-取费表'!B2</f>
        <v>44845</v>
      </c>
      <c r="N47" s="3574"/>
      <c r="O47" s="3574"/>
    </row>
    <row r="48" spans="1:15" ht="25.5">
      <c r="A48" s="3636" t="s">
        <v>1338</v>
      </c>
      <c r="B48" s="3637"/>
      <c r="C48" s="3637"/>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72" t="s">
        <v>1340</v>
      </c>
      <c r="L48" s="3572"/>
      <c r="M48" s="3575" t="e">
        <f ca="1">H101</f>
        <v>#REF!</v>
      </c>
      <c r="N48" s="3575"/>
      <c r="O48" s="3575"/>
    </row>
    <row r="49" spans="1:35" ht="25.5" customHeight="1">
      <c r="A49" s="2329" t="s">
        <v>1341</v>
      </c>
      <c r="B49" s="3620" t="s">
        <v>1342</v>
      </c>
      <c r="C49" s="3620"/>
      <c r="D49" s="1589">
        <v>0</v>
      </c>
      <c r="E49" s="324" t="s">
        <v>1343</v>
      </c>
      <c r="F49" s="2420" t="s">
        <v>28</v>
      </c>
      <c r="G49" s="3603"/>
      <c r="H49" s="2306" t="s">
        <v>2134</v>
      </c>
      <c r="I49" s="2307"/>
      <c r="J49" s="2518">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46"/>
      <c r="B50" s="3620" t="s">
        <v>1344</v>
      </c>
      <c r="C50" s="3620"/>
      <c r="D50" s="2547"/>
      <c r="E50" s="332"/>
      <c r="F50" s="2420"/>
      <c r="G50" s="3604"/>
      <c r="H50" s="2308" t="s">
        <v>2135</v>
      </c>
      <c r="I50" s="2307"/>
      <c r="J50" s="3571" t="s">
        <v>1345</v>
      </c>
      <c r="K50" s="3571"/>
      <c r="L50" s="3571"/>
      <c r="M50" s="3571"/>
      <c r="N50" s="3571"/>
      <c r="O50" s="3571"/>
    </row>
    <row r="51" spans="1:35" ht="20.45" customHeight="1">
      <c r="A51" s="2548"/>
      <c r="B51" s="3620" t="s">
        <v>1346</v>
      </c>
      <c r="C51" s="3620"/>
      <c r="D51" s="1087"/>
      <c r="E51" s="327"/>
      <c r="F51" s="2420"/>
      <c r="G51" s="3605"/>
      <c r="H51" s="2308" t="s">
        <v>2136</v>
      </c>
      <c r="I51" s="2307"/>
      <c r="J51" s="2519" t="s">
        <v>1347</v>
      </c>
      <c r="K51" s="3572" t="s">
        <v>1348</v>
      </c>
      <c r="L51" s="3572"/>
      <c r="M51" s="2519" t="s">
        <v>1349</v>
      </c>
      <c r="N51" s="2519" t="s">
        <v>1350</v>
      </c>
      <c r="O51" s="2519" t="s">
        <v>1351</v>
      </c>
    </row>
    <row r="52" spans="1:35" ht="24" customHeight="1">
      <c r="A52" s="2331" t="s">
        <v>1352</v>
      </c>
      <c r="B52" s="3620" t="s">
        <v>1353</v>
      </c>
      <c r="C52" s="3620"/>
      <c r="D52" s="1087" t="e">
        <f ca="1">ROUND(D45*'数据-取费表'!B41/(1+'数据-取费表'!C42),0)</f>
        <v>#REF!</v>
      </c>
      <c r="E52" s="2330" t="s">
        <v>1354</v>
      </c>
      <c r="F52" s="2549">
        <f>'数据-取费表'!B41</f>
        <v>5.6000000000000001E-2</v>
      </c>
      <c r="G52" s="2550"/>
      <c r="H52" s="2539"/>
      <c r="I52" s="1806"/>
      <c r="J52" s="2518">
        <v>1</v>
      </c>
      <c r="K52" s="3597" t="s">
        <v>1355</v>
      </c>
      <c r="L52" s="3597"/>
      <c r="M52" s="2520" t="b">
        <f>D48</f>
        <v>0</v>
      </c>
      <c r="N52" s="2518" t="str">
        <f>E48</f>
        <v>销售额×税（费）率</v>
      </c>
      <c r="O52" s="2521">
        <f>F48</f>
        <v>5.6000000000000001E-2</v>
      </c>
    </row>
    <row r="53" spans="1:35" ht="12" customHeight="1">
      <c r="A53" s="2331" t="s">
        <v>1356</v>
      </c>
      <c r="B53" s="3621" t="s">
        <v>2289</v>
      </c>
      <c r="C53" s="3622"/>
      <c r="D53" s="1087" t="e">
        <f ca="1">ROUND(D45*'数据-取费表'!B41/(1+'数据-取费表'!C42),0)</f>
        <v>#REF!</v>
      </c>
      <c r="E53" s="2330" t="s">
        <v>1354</v>
      </c>
      <c r="F53" s="2549">
        <f>'数据-取费表'!B41</f>
        <v>5.6000000000000001E-2</v>
      </c>
      <c r="G53" s="2550"/>
      <c r="H53" s="2539"/>
      <c r="I53" s="1806"/>
      <c r="J53" s="2518">
        <v>2</v>
      </c>
      <c r="K53" s="3597" t="s">
        <v>1357</v>
      </c>
      <c r="L53" s="3597"/>
      <c r="M53" s="2520" t="e">
        <f t="shared" ref="M53:O54" ca="1" si="0">D55</f>
        <v>#REF!</v>
      </c>
      <c r="N53" s="2518" t="str">
        <f t="shared" si="0"/>
        <v>销售额×税（费）率</v>
      </c>
      <c r="O53" s="2521" t="str">
        <f t="shared" si="0"/>
        <v>免征</v>
      </c>
    </row>
    <row r="54" spans="1:35" ht="12" customHeight="1">
      <c r="A54" s="2331" t="s">
        <v>1358</v>
      </c>
      <c r="B54" s="3621" t="s">
        <v>2290</v>
      </c>
      <c r="C54" s="3622"/>
      <c r="D54" s="1087" t="e">
        <f ca="1">C68</f>
        <v>#REF!</v>
      </c>
      <c r="E54" s="327" t="s">
        <v>1359</v>
      </c>
      <c r="F54" s="2549">
        <f>'数据-取费表'!B41</f>
        <v>5.6000000000000001E-2</v>
      </c>
      <c r="G54" s="2550"/>
      <c r="H54" s="2551"/>
      <c r="I54" s="1806"/>
      <c r="J54" s="2518">
        <v>3</v>
      </c>
      <c r="K54" s="3597" t="s">
        <v>1360</v>
      </c>
      <c r="L54" s="3597"/>
      <c r="M54" s="2520" t="e">
        <f t="shared" ca="1" si="0"/>
        <v>#REF!</v>
      </c>
      <c r="N54" s="2518" t="str">
        <f t="shared" si="0"/>
        <v>增值额×税（费）率</v>
      </c>
      <c r="O54" s="2522" t="str">
        <f t="shared" si="0"/>
        <v>免征</v>
      </c>
    </row>
    <row r="55" spans="1:35" ht="24" customHeight="1">
      <c r="A55" s="3656" t="s">
        <v>1361</v>
      </c>
      <c r="B55" s="3637"/>
      <c r="C55" s="3637"/>
      <c r="D55" s="2320" t="e">
        <f ca="1">IF(H55="个人住宅",0,ROUND(D45*I55,0))</f>
        <v>#REF!</v>
      </c>
      <c r="E55" s="2330" t="s">
        <v>1362</v>
      </c>
      <c r="F55" s="2549" t="str">
        <f>IF(H55="正常",I55,"免征")</f>
        <v>免征</v>
      </c>
      <c r="G55" s="2550"/>
      <c r="H55" s="2545"/>
      <c r="I55" s="165">
        <f>'数据-取费表'!B49</f>
        <v>5.0000000000000001E-4</v>
      </c>
      <c r="J55" s="2518">
        <f>IF(H59="非个人房产","",4)</f>
        <v>4</v>
      </c>
      <c r="K55" s="3597" t="str">
        <f>IF(H59="非个人房产","——","个人所得税")</f>
        <v>个人所得税</v>
      </c>
      <c r="L55" s="3597"/>
      <c r="M55" s="2523" t="e">
        <f ca="1">D59</f>
        <v>#REF!</v>
      </c>
      <c r="N55" s="2036" t="str">
        <f>E59</f>
        <v>差额计税</v>
      </c>
      <c r="O55" s="2524">
        <f>F59</f>
        <v>0.01</v>
      </c>
    </row>
    <row r="56" spans="1:35" ht="24.75">
      <c r="A56" s="3656" t="s">
        <v>1363</v>
      </c>
      <c r="B56" s="3637"/>
      <c r="C56" s="3637"/>
      <c r="D56" s="2320" t="e">
        <f ca="1">IF(H56="个人住宅",D57,D58)</f>
        <v>#REF!</v>
      </c>
      <c r="E56" s="2330" t="s">
        <v>1364</v>
      </c>
      <c r="F56" s="2549" t="str">
        <f>IF(H56="正常",F58,"免征")</f>
        <v>免征</v>
      </c>
      <c r="G56" s="2552" t="s">
        <v>1365</v>
      </c>
      <c r="H56" s="2553"/>
      <c r="I56" s="1807"/>
      <c r="J56" s="2518" t="str">
        <f>IF(项目基本情况!K6="上海银行",IF(J55="",4,J55+1),"")</f>
        <v/>
      </c>
      <c r="K56" s="3578" t="str">
        <f>IF(项目基本情况!K6="上海银行","其他处置费用","")</f>
        <v/>
      </c>
      <c r="L56" s="3579"/>
      <c r="M56" s="2520" t="str">
        <f>IF(项目基本情况!K6="上海银行",M69,"")</f>
        <v/>
      </c>
      <c r="N56" s="3578" t="str">
        <f>IF(项目基本情况!K6="上海银行","包含处置中涉及的律师、诉讼、拍卖、评估等费用","")</f>
        <v/>
      </c>
      <c r="O56" s="3581"/>
    </row>
    <row r="57" spans="1:35" ht="12.75">
      <c r="A57" s="2331" t="s">
        <v>1341</v>
      </c>
      <c r="B57" s="3621" t="s">
        <v>1366</v>
      </c>
      <c r="C57" s="3622"/>
      <c r="D57" s="1589">
        <v>0</v>
      </c>
      <c r="E57" s="324" t="s">
        <v>1343</v>
      </c>
      <c r="F57" s="302"/>
      <c r="G57" s="2550"/>
      <c r="H57" s="2554"/>
      <c r="I57" s="1807"/>
      <c r="J57" s="3597">
        <f>IF(AND(J55="",J56=""),4,IF(项目基本情况!K6="上海银行",结果表!J56+1,结果表!J55+1))</f>
        <v>5</v>
      </c>
      <c r="K57" s="3597" t="s">
        <v>1367</v>
      </c>
      <c r="L57" s="2525" t="s">
        <v>1368</v>
      </c>
      <c r="M57" s="2526"/>
      <c r="N57" s="2527">
        <f ca="1">SUMIF(M52:M56,"&lt;9e307")</f>
        <v>0</v>
      </c>
      <c r="O57" s="2528"/>
      <c r="P57" s="2685" t="e">
        <f ca="1">N57/M49</f>
        <v>#VALUE!</v>
      </c>
    </row>
    <row r="58" spans="1:35" ht="24.75">
      <c r="A58" s="2331" t="s">
        <v>1352</v>
      </c>
      <c r="B58" s="3621" t="s">
        <v>1369</v>
      </c>
      <c r="C58" s="3620"/>
      <c r="D58" s="2320" t="e">
        <f ca="1">IF(H58="转让取得",C81,C97)</f>
        <v>#REF!</v>
      </c>
      <c r="E58" s="2330" t="s">
        <v>1364</v>
      </c>
      <c r="F58" s="302" t="s">
        <v>28</v>
      </c>
      <c r="G58" s="2550"/>
      <c r="H58" s="2553"/>
      <c r="I58" s="1807"/>
      <c r="J58" s="3597"/>
      <c r="K58" s="3597"/>
      <c r="L58" s="2525" t="s">
        <v>1370</v>
      </c>
      <c r="M58" s="2529"/>
      <c r="N58" s="2530" t="str">
        <f ca="1">NUMBERSTRING(INT(N57*10000),2)&amp;"元整"</f>
        <v>零元整</v>
      </c>
      <c r="O58" s="2531"/>
    </row>
    <row r="59" spans="1:35" ht="24.75" thickBot="1">
      <c r="A59" s="3601" t="s">
        <v>1371</v>
      </c>
      <c r="B59" s="3602"/>
      <c r="C59" s="3602"/>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99">
        <f>J57+1</f>
        <v>6</v>
      </c>
      <c r="K59" s="3597" t="s">
        <v>1372</v>
      </c>
      <c r="L59" s="2518" t="s">
        <v>1368</v>
      </c>
      <c r="M59" s="2532"/>
      <c r="N59" s="2533" t="e">
        <f ca="1">M49-N57</f>
        <v>#VALUE!</v>
      </c>
      <c r="O59" s="2534"/>
    </row>
    <row r="60" spans="1:35" ht="12" customHeight="1">
      <c r="A60" s="1808"/>
      <c r="B60" s="1746"/>
      <c r="C60" s="1746"/>
      <c r="D60" s="1746"/>
      <c r="E60" s="1577"/>
      <c r="F60" s="1807"/>
      <c r="G60" s="1807"/>
      <c r="H60" s="1809"/>
      <c r="I60" s="129"/>
      <c r="J60" s="3600"/>
      <c r="K60" s="3597"/>
      <c r="L60" s="2525" t="s">
        <v>1370</v>
      </c>
      <c r="M60" s="2529"/>
      <c r="N60" s="2530" t="e">
        <f ca="1">NUMBERSTRING(INT(N59*10000),2)&amp;"元整"</f>
        <v>#VALUE!</v>
      </c>
      <c r="O60" s="2531"/>
    </row>
    <row r="61" spans="1:35" ht="13.5" thickBot="1">
      <c r="A61" s="3655" t="s">
        <v>1373</v>
      </c>
      <c r="B61" s="3655"/>
      <c r="C61" s="3655"/>
      <c r="D61" s="3655"/>
      <c r="E61" s="3655"/>
      <c r="F61" s="1807"/>
      <c r="G61" s="1807"/>
      <c r="H61" s="1809"/>
      <c r="I61" s="129"/>
      <c r="J61" s="2518">
        <f>J59+1</f>
        <v>7</v>
      </c>
      <c r="K61" s="3597" t="s">
        <v>1374</v>
      </c>
      <c r="L61" s="3597"/>
      <c r="M61" s="2535"/>
      <c r="N61" s="2536" t="e">
        <f ca="1">ROUND(N59*10000/'数据-汇总表'!E3,0)</f>
        <v>#VALUE!</v>
      </c>
      <c r="O61" s="2537"/>
    </row>
    <row r="62" spans="1:35" ht="12.75">
      <c r="A62" s="3616" t="s">
        <v>1375</v>
      </c>
      <c r="B62" s="3617"/>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80"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8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80"/>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80"/>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8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80"/>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80"/>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4" t="s">
        <v>1394</v>
      </c>
      <c r="B70" s="3625"/>
      <c r="C70" s="3625"/>
      <c r="D70" s="3625"/>
      <c r="E70" s="3625"/>
      <c r="F70" s="3625"/>
      <c r="G70" s="3625"/>
      <c r="H70" s="3625"/>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1375</v>
      </c>
      <c r="B71" s="3617"/>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21" t="s">
        <v>1402</v>
      </c>
      <c r="F76" s="3620"/>
      <c r="G76" s="3620"/>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13" t="s">
        <v>1406</v>
      </c>
      <c r="F78" s="3614"/>
      <c r="G78" s="3614"/>
      <c r="H78" s="361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4" t="s">
        <v>1410</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1375</v>
      </c>
      <c r="B84" s="3617"/>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82" t="s">
        <v>2129</v>
      </c>
      <c r="H90" s="3583"/>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13" t="s">
        <v>1419</v>
      </c>
      <c r="F91" s="3614"/>
      <c r="G91" s="361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13" t="s">
        <v>1422</v>
      </c>
      <c r="F92" s="3614"/>
      <c r="G92" s="3614"/>
      <c r="H92" s="3615"/>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13" t="s">
        <v>1406</v>
      </c>
      <c r="F93" s="3614"/>
      <c r="G93" s="3614"/>
      <c r="H93" s="361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57" t="s">
        <v>1426</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0" t="str">
        <f>C4</f>
        <v>比较法-住宅</v>
      </c>
      <c r="D101" s="2581" t="str">
        <f>D4</f>
        <v>成本法 (元)</v>
      </c>
      <c r="E101" s="3576" t="s">
        <v>1431</v>
      </c>
      <c r="F101" s="3577"/>
      <c r="G101" s="1826" t="s">
        <v>1432</v>
      </c>
      <c r="H101" s="2590" t="e">
        <f ca="1">H118</f>
        <v>#REF!</v>
      </c>
      <c r="I101" s="129"/>
    </row>
    <row r="102" spans="1:35" ht="18.75" customHeight="1">
      <c r="A102" s="3608" t="s">
        <v>1433</v>
      </c>
      <c r="B102" s="2579" t="s">
        <v>1432</v>
      </c>
      <c r="C102" s="2580">
        <f ca="1">IF(D32="楼面单价",ROUND(C19,0),C19)</f>
        <v>2390.0677999999998</v>
      </c>
      <c r="D102" s="2581">
        <f ca="1">IF(D32="楼面单价",ROUND(D19,0),D19)</f>
        <v>832.61419999999998</v>
      </c>
      <c r="E102" s="3576"/>
      <c r="F102" s="3577"/>
      <c r="G102" s="1826" t="s">
        <v>1434</v>
      </c>
      <c r="H102" s="2550" t="e">
        <f ca="1">I118</f>
        <v>#REF!</v>
      </c>
      <c r="I102" s="129"/>
    </row>
    <row r="103" spans="1:35" ht="42.75" customHeight="1">
      <c r="A103" s="3608"/>
      <c r="B103" s="2579" t="s">
        <v>1434</v>
      </c>
      <c r="C103" s="2582">
        <f ca="1">C20</f>
        <v>110116</v>
      </c>
      <c r="D103" s="2583">
        <f ca="1">D20</f>
        <v>38360</v>
      </c>
      <c r="E103" s="3569" t="s">
        <v>1435</v>
      </c>
      <c r="F103" s="3570"/>
      <c r="G103" s="1827" t="s">
        <v>1436</v>
      </c>
      <c r="H103" s="2590">
        <f>IF(D36="正常操作",H104+H105+H106,H105+H106)</f>
        <v>0</v>
      </c>
      <c r="I103" s="129"/>
    </row>
    <row r="104" spans="1:35" ht="18.75" customHeight="1">
      <c r="A104" s="3608"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18"/>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09" t="str">
        <f>IF(项目基本情况!E8="已注销","——","3.房地产抵押价值")</f>
        <v>3.房地产抵押价值</v>
      </c>
      <c r="F107" s="3577"/>
      <c r="G107" s="1826" t="s">
        <v>1432</v>
      </c>
      <c r="H107" s="2590" t="e">
        <f ca="1">IF(E107="——","——",H101-H103)</f>
        <v>#REF!</v>
      </c>
      <c r="I107" s="129"/>
    </row>
    <row r="108" spans="1:35" ht="18.75" customHeight="1">
      <c r="A108" s="129"/>
      <c r="B108" s="129"/>
      <c r="C108" s="129"/>
      <c r="D108" s="129"/>
      <c r="E108" s="3609"/>
      <c r="F108" s="3577"/>
      <c r="G108" s="1826" t="s">
        <v>1434</v>
      </c>
      <c r="H108" s="2550">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6" t="s">
        <v>1432</v>
      </c>
      <c r="H109" s="2593" t="str">
        <f>IF(E109="——","——",H101-H105-H106)</f>
        <v>——</v>
      </c>
      <c r="I109" s="129"/>
    </row>
    <row r="110" spans="1:35" ht="18.75" customHeight="1">
      <c r="A110" s="129"/>
      <c r="B110" s="129"/>
      <c r="C110" s="129"/>
      <c r="D110" s="129"/>
      <c r="E110" s="3609"/>
      <c r="F110" s="3577"/>
      <c r="G110" s="1826" t="s">
        <v>1434</v>
      </c>
      <c r="H110" s="2550"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6" t="s">
        <v>1432</v>
      </c>
      <c r="H111" s="2590" t="str">
        <f>IF(E111="——","——",N59)</f>
        <v>——</v>
      </c>
      <c r="I111" s="129"/>
    </row>
    <row r="112" spans="1:35" ht="18.75" customHeight="1" thickBot="1">
      <c r="A112" s="129"/>
      <c r="B112" s="129"/>
      <c r="C112" s="129"/>
      <c r="D112" s="129"/>
      <c r="E112" s="3611"/>
      <c r="F112" s="3612"/>
      <c r="G112" s="1829" t="s">
        <v>1434</v>
      </c>
      <c r="H112" s="2594" t="str">
        <f>IF(E111="——","——",N61)</f>
        <v>——</v>
      </c>
      <c r="I112" s="129"/>
    </row>
    <row r="113" spans="1:27" ht="18.75" customHeight="1">
      <c r="A113" s="129"/>
      <c r="B113" s="129"/>
      <c r="C113" s="129"/>
      <c r="D113" s="129"/>
      <c r="E113" s="3619" t="s">
        <v>1440</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
      </c>
      <c r="B120" s="3586"/>
      <c r="C120" s="3587"/>
      <c r="D120" s="3585">
        <f>H103</f>
        <v>0</v>
      </c>
      <c r="E120" s="3586"/>
      <c r="F120" s="3586"/>
      <c r="G120" s="3586"/>
      <c r="H120" s="3586"/>
      <c r="I120" s="358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53173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2449804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300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160</v>
      </c>
      <c r="F19" s="231"/>
      <c r="G19" s="1855"/>
    </row>
    <row r="20" spans="1:7" s="214" customFormat="1" ht="13.5" customHeight="1">
      <c r="A20" s="255" t="s">
        <v>1493</v>
      </c>
      <c r="B20" s="210" t="s">
        <v>1494</v>
      </c>
      <c r="C20" s="232">
        <f ca="1">ROUND((C5+C19)*F20,0)</f>
        <v>1042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3427</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49</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8943</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8943</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8</v>
      </c>
      <c r="D37" s="217">
        <f ca="1">D19</f>
        <v>217.05</v>
      </c>
      <c r="E37" s="249">
        <f>'数据-取费表'!B35</f>
        <v>350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6</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62" t="s">
        <v>1544</v>
      </c>
    </row>
    <row r="43" spans="1:7" ht="13.5" customHeight="1">
      <c r="A43" s="780" t="s">
        <v>347</v>
      </c>
      <c r="B43" s="215" t="s">
        <v>1545</v>
      </c>
      <c r="C43" s="238">
        <f ca="1">ROUND(IF('数据-取费表'!B22&lt;=1,C39*F22*'数据-取费表'!B21/2,C39*(POWER((1+F22),'数据-取费表'!B21/2)-1)),0)</f>
        <v>0</v>
      </c>
      <c r="D43" s="238"/>
      <c r="E43" s="238"/>
      <c r="F43" s="239"/>
      <c r="G43" s="3663"/>
    </row>
    <row r="44" spans="1:7" ht="13.5" customHeight="1">
      <c r="A44" s="780" t="s">
        <v>348</v>
      </c>
      <c r="B44" s="215" t="s">
        <v>1546</v>
      </c>
      <c r="C44" s="238">
        <f ca="1">ROUND(IF('数据-取费表'!B22&lt;=1,C40*F22*'数据-取费表'!B21/2,C40*(POWER((1+F22),'数据-取费表'!B21/2)-1)),4)</f>
        <v>1.4E-3</v>
      </c>
      <c r="D44" s="238"/>
      <c r="E44" s="238"/>
      <c r="F44" s="239"/>
      <c r="G44" s="3664"/>
    </row>
    <row r="45" spans="1:7" s="214" customFormat="1" ht="13.5" customHeight="1">
      <c r="A45" s="255" t="s">
        <v>1547</v>
      </c>
      <c r="B45" s="244" t="s">
        <v>1513</v>
      </c>
      <c r="C45" s="245">
        <f ca="1">C46</f>
        <v>34</v>
      </c>
      <c r="D45" s="235">
        <f ca="1">C47</f>
        <v>7.4999999999999997E-3</v>
      </c>
      <c r="E45" s="236" t="s">
        <v>1539</v>
      </c>
      <c r="F45" s="246">
        <f ca="1">F27</f>
        <v>0.25</v>
      </c>
      <c r="G45" s="247" t="s">
        <v>1548</v>
      </c>
    </row>
    <row r="46" spans="1:7" s="214" customFormat="1" ht="13.5" customHeight="1">
      <c r="A46" s="780" t="s">
        <v>346</v>
      </c>
      <c r="B46" s="248" t="s">
        <v>1549</v>
      </c>
      <c r="C46" s="249">
        <f ca="1">ROUND((C33+C39)*F27,0)</f>
        <v>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195</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140</v>
      </c>
      <c r="D51" s="232"/>
      <c r="E51" s="232"/>
      <c r="F51" s="264"/>
      <c r="G51" s="234" t="s">
        <v>1560</v>
      </c>
    </row>
    <row r="52" spans="1:7" s="208" customFormat="1" ht="16.5" thickBot="1">
      <c r="A52" s="265" t="s">
        <v>1561</v>
      </c>
      <c r="B52" s="266"/>
      <c r="C52" s="267">
        <f ca="1">C31+C51</f>
        <v>53173</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北京市房地产市场价值预评估</v>
      </c>
      <c r="C37" s="3480"/>
      <c r="D37" s="3480"/>
      <c r="E37" s="3480"/>
      <c r="F37" s="3480"/>
      <c r="G37" s="3480"/>
      <c r="H37" s="3480"/>
      <c r="I37" s="348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43449</v>
      </c>
      <c r="C2" s="276" t="s">
        <v>1595</v>
      </c>
      <c r="D2" s="276"/>
      <c r="E2" s="2801"/>
      <c r="F2" s="2801"/>
      <c r="G2" s="2801"/>
      <c r="H2" s="2801"/>
      <c r="I2" s="2801"/>
      <c r="J2" s="2801"/>
      <c r="K2" s="2801"/>
    </row>
    <row r="3" spans="1:33" ht="18" customHeight="1" thickBot="1">
      <c r="A3" s="203" t="s">
        <v>1464</v>
      </c>
      <c r="B3" s="204">
        <f ca="1">ROUND(B2*10000/IF(C1="",'数据-汇总表'!E3,INDIRECT("'数据-取费表'!K"&amp;$K$1)),0)</f>
        <v>2001797</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350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300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-1042</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-8942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-8942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43449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67" t="s">
        <v>694</v>
      </c>
      <c r="C6" s="1074">
        <f ca="1">ROUND(F6*F8*F7*(1-F9)/10000,0)</f>
        <v>0</v>
      </c>
      <c r="D6" s="155" t="s">
        <v>2109</v>
      </c>
      <c r="E6" s="302" t="s">
        <v>696</v>
      </c>
      <c r="F6" s="303">
        <f ca="1">INDIRECT("'数据-取费表'!u"&amp;$G$1)</f>
        <v>0</v>
      </c>
      <c r="G6" s="1383"/>
      <c r="H6" s="1069" t="s">
        <v>398</v>
      </c>
      <c r="I6" s="3667" t="s">
        <v>694</v>
      </c>
      <c r="J6" s="301">
        <f ca="1">ROUND(M6*M8*M7*(1-M9)/10000,0)</f>
        <v>0</v>
      </c>
      <c r="K6" s="155" t="s">
        <v>2108</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350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3394</v>
      </c>
      <c r="D1" s="1361" t="s">
        <v>43</v>
      </c>
      <c r="E1" s="1362" t="s">
        <v>678</v>
      </c>
      <c r="F1" s="1062">
        <f ca="1">J53</f>
        <v>49</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802.80340000000001</v>
      </c>
      <c r="C2" s="1386" t="s">
        <v>879</v>
      </c>
      <c r="D2" s="1470">
        <f ca="1">C40+J29+L46</f>
        <v>8028034</v>
      </c>
      <c r="E2" s="1387" t="s">
        <v>880</v>
      </c>
      <c r="F2" s="1388"/>
      <c r="G2" s="2701"/>
      <c r="H2" s="2690"/>
      <c r="I2" s="2690"/>
      <c r="J2" s="2690"/>
      <c r="K2" s="2691"/>
      <c r="L2" s="2690"/>
      <c r="M2" s="2690"/>
    </row>
    <row r="3" spans="1:37" ht="18" customHeight="1" thickBot="1">
      <c r="A3" s="1389" t="s">
        <v>881</v>
      </c>
      <c r="B3" s="1390">
        <f ca="1">IF(ISERROR(D2/F43),0,ROUND(D2/F43,0))</f>
        <v>36987</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67" t="s">
        <v>694</v>
      </c>
      <c r="C6" s="1074">
        <f ca="1">ROUND(F6*F8*F7*(1-F9),0)</f>
        <v>360529</v>
      </c>
      <c r="D6" s="155" t="s">
        <v>2106</v>
      </c>
      <c r="E6" s="302" t="s">
        <v>696</v>
      </c>
      <c r="F6" s="303">
        <f ca="1">INDIRECT("'数据-取费表'!u"&amp;$G$1)</f>
        <v>153.80000000000001</v>
      </c>
      <c r="G6" s="1383"/>
      <c r="H6" s="1069" t="s">
        <v>398</v>
      </c>
      <c r="I6" s="3667" t="s">
        <v>694</v>
      </c>
      <c r="J6" s="301">
        <f ca="1">ROUND(M6*M8*M7*(1-M9),0)</f>
        <v>0</v>
      </c>
      <c r="K6" s="1375"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217.05</v>
      </c>
      <c r="G7" s="1383"/>
      <c r="H7" s="304"/>
      <c r="I7" s="3668"/>
      <c r="J7" s="306"/>
      <c r="K7" s="307"/>
      <c r="L7" s="302" t="s">
        <v>697</v>
      </c>
      <c r="M7" s="303">
        <f ca="1">F7</f>
        <v>217.05</v>
      </c>
    </row>
    <row r="8" spans="1:37" ht="18" customHeight="1">
      <c r="A8" s="304"/>
      <c r="B8" s="3668"/>
      <c r="C8" s="306"/>
      <c r="D8" s="307"/>
      <c r="E8" s="302" t="s">
        <v>698</v>
      </c>
      <c r="F8" s="303">
        <f ca="1">INDIRECT("'数据-取费表'!ai"&amp;$G$1)</f>
        <v>12</v>
      </c>
      <c r="G8" s="1383"/>
      <c r="H8" s="304"/>
      <c r="I8" s="3668"/>
      <c r="J8" s="306"/>
      <c r="K8" s="307"/>
      <c r="L8" s="302" t="s">
        <v>698</v>
      </c>
      <c r="M8" s="303">
        <f ca="1">INDIRECT("'数据-取费表'!ai"&amp;$G$1)</f>
        <v>12</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3438</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1397634</v>
      </c>
      <c r="D13" s="1081" t="s">
        <v>705</v>
      </c>
      <c r="E13" s="1081" t="s">
        <v>706</v>
      </c>
      <c r="F13" s="1082">
        <f ca="1">INDIRECT("'数据-取费表'!y"&amp;$G$1)</f>
        <v>0.72</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1085250</v>
      </c>
      <c r="D14" s="1344" t="s">
        <v>708</v>
      </c>
      <c r="E14" s="1341"/>
      <c r="F14" s="319"/>
      <c r="G14" s="1383"/>
      <c r="H14" s="982" t="s">
        <v>398</v>
      </c>
      <c r="I14" s="302" t="s">
        <v>709</v>
      </c>
      <c r="J14" s="21">
        <f ca="1">C29</f>
        <v>1941158</v>
      </c>
      <c r="K14" s="12"/>
      <c r="L14" s="807"/>
      <c r="M14" s="808"/>
    </row>
    <row r="15" spans="1:37" s="1396" customFormat="1" ht="18" customHeight="1" thickBot="1">
      <c r="A15" s="982" t="s">
        <v>399</v>
      </c>
      <c r="B15" s="302" t="s">
        <v>710</v>
      </c>
      <c r="C15" s="21">
        <f ca="1">ROUND(C14*F15,0)</f>
        <v>32558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108525</v>
      </c>
      <c r="D16" s="302" t="s">
        <v>711</v>
      </c>
      <c r="E16" s="302" t="s">
        <v>712</v>
      </c>
      <c r="F16" s="322">
        <f ca="1">IF(INDIRECT("'数据-取费表'!c"&amp;$G$1)="住宅",'数据-取费表'!B34,0)</f>
        <v>0.1</v>
      </c>
      <c r="G16" s="1383"/>
      <c r="H16" s="1079" t="s">
        <v>393</v>
      </c>
      <c r="I16" s="1080" t="s">
        <v>714</v>
      </c>
      <c r="J16" s="310">
        <f ca="1">ROUND(J17+J22+J23+J24,0)</f>
        <v>29117</v>
      </c>
      <c r="K16" s="1087" t="s">
        <v>715</v>
      </c>
      <c r="L16" s="1088"/>
      <c r="M16" s="1072"/>
    </row>
    <row r="17" spans="1:37" s="1396" customFormat="1" ht="18" customHeight="1">
      <c r="A17" s="982" t="s">
        <v>681</v>
      </c>
      <c r="B17" s="302" t="s">
        <v>716</v>
      </c>
      <c r="C17" s="21">
        <f ca="1">ROUND(F17*(F43+INDIRECT("'数据-取费表'!S"&amp;$G$1)),0)</f>
        <v>75968</v>
      </c>
      <c r="D17" s="302" t="s">
        <v>717</v>
      </c>
      <c r="E17" s="302" t="s">
        <v>718</v>
      </c>
      <c r="F17" s="23">
        <f>'数据-取费表'!B35</f>
        <v>350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16279</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1318580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39557</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29117</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64512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-29117</v>
      </c>
      <c r="K25" s="1095" t="s">
        <v>753</v>
      </c>
      <c r="L25" s="1096"/>
      <c r="M25" s="1097"/>
    </row>
    <row r="26" spans="1:37" ht="18" customHeight="1">
      <c r="A26" s="982" t="s">
        <v>397</v>
      </c>
      <c r="B26" s="302" t="s">
        <v>754</v>
      </c>
      <c r="C26" s="21">
        <f ca="1">ROUND((C19+C20)*F26,0)</f>
        <v>339534</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1941158</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43407</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29117</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2096</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3610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317573</v>
      </c>
      <c r="D39" s="1095" t="s">
        <v>773</v>
      </c>
      <c r="E39" s="1096"/>
      <c r="F39" s="1097"/>
      <c r="G39" s="1383"/>
      <c r="H39" s="2695"/>
      <c r="I39" s="1397"/>
      <c r="J39" s="1398"/>
      <c r="K39" s="2699"/>
      <c r="L39" s="2695"/>
      <c r="M39" s="2695"/>
    </row>
    <row r="40" spans="1:18" ht="18" customHeight="1">
      <c r="A40" s="299" t="s">
        <v>395</v>
      </c>
      <c r="B40" s="300" t="s">
        <v>774</v>
      </c>
      <c r="C40" s="301">
        <f ca="1">ROUND(C39*(1-((1+F42)/(1+F40))^F41)/(F40-F42),0)</f>
        <v>8028034</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39"/>
      <c r="L41" s="1190"/>
      <c r="M41" s="1190"/>
    </row>
    <row r="42" spans="1:18" ht="18" customHeight="1">
      <c r="A42" s="308"/>
      <c r="B42" s="309"/>
      <c r="C42" s="310"/>
      <c r="D42" s="327"/>
      <c r="E42" s="302" t="s">
        <v>766</v>
      </c>
      <c r="F42" s="312">
        <f ca="1">INDIRECT("'数据-取费表'!v"&amp;$G$1)</f>
        <v>0.02</v>
      </c>
      <c r="G42" s="1383"/>
      <c r="H42" s="1190"/>
      <c r="I42" s="1397"/>
      <c r="J42" s="1398"/>
      <c r="K42" s="2539"/>
      <c r="L42" s="1190"/>
      <c r="M42" s="1190"/>
    </row>
    <row r="43" spans="1:18" ht="18" customHeight="1" thickBot="1">
      <c r="A43" s="334" t="s">
        <v>396</v>
      </c>
      <c r="B43" s="335" t="s">
        <v>776</v>
      </c>
      <c r="C43" s="336">
        <f ca="1">ROUND(C40/F43,0)</f>
        <v>36987</v>
      </c>
      <c r="D43" s="337" t="s">
        <v>777</v>
      </c>
      <c r="E43" s="338" t="s">
        <v>778</v>
      </c>
      <c r="F43" s="339">
        <f ca="1">INDIRECT("'数据-取费表'!k"&amp;$G$1)</f>
        <v>217.05</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3357</v>
      </c>
      <c r="B45" s="1399"/>
      <c r="C45" s="1471">
        <f ca="1">ROUND((C68-C40)/10000,4)</f>
        <v>-859.51340000000005</v>
      </c>
      <c r="D45" s="3427" t="s">
        <v>3358</v>
      </c>
      <c r="E45" s="1399"/>
      <c r="F45" s="1399"/>
      <c r="O45" s="1402" t="s">
        <v>808</v>
      </c>
      <c r="P45" s="1460"/>
      <c r="Q45" s="1460"/>
      <c r="R45" s="1460"/>
    </row>
    <row r="46" spans="1:18" s="1383" customFormat="1" ht="13.5" thickBot="1">
      <c r="A46" s="1403" t="s">
        <v>809</v>
      </c>
      <c r="C46" s="1404">
        <f ca="1">ROUND(C45,0)</f>
        <v>-860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3439</v>
      </c>
      <c r="K47" s="1415" t="s">
        <v>816</v>
      </c>
      <c r="L47" s="1416">
        <f ca="1">INDIRECT("'数据-取费表'!d"&amp;$G$1)</f>
        <v>70</v>
      </c>
      <c r="M47" s="1379" t="str">
        <f>IF(ISNUMBER(FIND("住宅",C1)),"住宅","非住宅")</f>
        <v>住宅</v>
      </c>
      <c r="O47" s="1417" t="s">
        <v>403</v>
      </c>
      <c r="P47" s="1418" t="s">
        <v>817</v>
      </c>
      <c r="Q47" s="1419">
        <f ca="1">C40+J29</f>
        <v>8028034</v>
      </c>
      <c r="R47" s="1419" t="s">
        <v>818</v>
      </c>
    </row>
    <row r="48" spans="1:18" s="1383" customFormat="1" ht="28.5" thickBot="1">
      <c r="A48" s="1110" t="s">
        <v>438</v>
      </c>
      <c r="B48" s="300" t="s">
        <v>692</v>
      </c>
      <c r="C48" s="1358">
        <f ca="1">C49+C53+C55</f>
        <v>0</v>
      </c>
      <c r="D48" s="1112"/>
      <c r="E48" s="1113"/>
      <c r="F48" s="962"/>
      <c r="G48" s="722"/>
      <c r="H48" s="723"/>
      <c r="I48" s="1420" t="s">
        <v>819</v>
      </c>
      <c r="J48" s="1421" t="s">
        <v>3440</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1941158</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4468921</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65" t="s">
        <v>837</v>
      </c>
      <c r="L53" s="3666"/>
      <c r="O53" s="1417" t="s">
        <v>409</v>
      </c>
      <c r="P53" s="1418" t="s">
        <v>838</v>
      </c>
      <c r="Q53" s="1419">
        <f ca="1">Q47+Q48</f>
        <v>8028034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1397634</v>
      </c>
      <c r="D56" s="1446"/>
      <c r="E56" s="1447"/>
      <c r="F56" s="1439"/>
      <c r="I56" s="1448" t="s">
        <v>842</v>
      </c>
      <c r="J56" s="1449"/>
      <c r="K56" s="1420" t="s">
        <v>843</v>
      </c>
      <c r="L56" s="1423">
        <f ca="1">IF(L48&lt;J51,"——",L48-J51)</f>
        <v>8</v>
      </c>
      <c r="O56" s="1417" t="s">
        <v>403</v>
      </c>
      <c r="P56" s="1418" t="s">
        <v>817</v>
      </c>
      <c r="Q56" s="1419">
        <f ca="1">C40+J29</f>
        <v>8028034</v>
      </c>
      <c r="R56" s="1419" t="s">
        <v>818</v>
      </c>
    </row>
    <row r="57" spans="1:18" s="1383" customFormat="1" ht="24.75" thickBot="1">
      <c r="A57" s="1450"/>
      <c r="B57" s="950" t="s">
        <v>767</v>
      </c>
      <c r="C57" s="238">
        <f ca="1">C29</f>
        <v>1941158</v>
      </c>
      <c r="D57" s="1451"/>
      <c r="E57" s="1452"/>
      <c r="F57" s="1453"/>
      <c r="I57" s="1454" t="s">
        <v>844</v>
      </c>
      <c r="J57" s="1455" t="str">
        <f ca="1">IF(OR(M47="住宅",J51&lt;L48,J56="是"),"——",J51-L48)</f>
        <v>——</v>
      </c>
      <c r="K57" s="1420" t="s">
        <v>892</v>
      </c>
      <c r="L57" s="1423">
        <f ca="1">IF(L48&lt;J51,"——",IF(L55="比较法",L49,IF(L55="基准地价",L50,L51)))</f>
        <v>4468921</v>
      </c>
      <c r="O57" s="1417" t="s">
        <v>404</v>
      </c>
      <c r="P57" s="1418" t="s">
        <v>893</v>
      </c>
      <c r="Q57" s="1419">
        <f ca="1">L60</f>
        <v>0</v>
      </c>
      <c r="R57" s="1419" t="s">
        <v>894</v>
      </c>
    </row>
    <row r="58" spans="1:18" s="1383" customFormat="1" ht="24.75" thickBot="1">
      <c r="A58" s="315" t="s">
        <v>393</v>
      </c>
      <c r="B58" s="958" t="s">
        <v>714</v>
      </c>
      <c r="C58" s="316">
        <f ca="1">ROUND(C59+C64+C65+C66,0)</f>
        <v>31213</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8028034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29117</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2096</v>
      </c>
      <c r="D65" s="964" t="s">
        <v>743</v>
      </c>
      <c r="E65" s="950" t="s">
        <v>744</v>
      </c>
      <c r="F65" s="330">
        <f t="shared" ca="1" si="0"/>
        <v>1.5E-3</v>
      </c>
      <c r="I65" s="1461" t="s">
        <v>867</v>
      </c>
      <c r="J65" s="1462">
        <v>40</v>
      </c>
      <c r="K65" s="1462">
        <v>30</v>
      </c>
      <c r="L65" s="1462">
        <v>50</v>
      </c>
      <c r="M65" s="1464">
        <v>0.02</v>
      </c>
      <c r="O65" s="1417" t="s">
        <v>403</v>
      </c>
      <c r="P65" s="1418" t="s">
        <v>868</v>
      </c>
      <c r="Q65" s="1419">
        <f ca="1">C40+J29</f>
        <v>8028034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-31213</v>
      </c>
      <c r="D67" s="963" t="s">
        <v>753</v>
      </c>
      <c r="E67" s="968"/>
      <c r="F67" s="969"/>
      <c r="O67" s="1427" t="s">
        <v>405</v>
      </c>
      <c r="P67" s="1418" t="s">
        <v>850</v>
      </c>
      <c r="Q67" s="1465">
        <f ca="1">L51</f>
        <v>4468921</v>
      </c>
      <c r="R67" s="1419" t="s">
        <v>870</v>
      </c>
    </row>
    <row r="68" spans="1:18" s="1383" customFormat="1" ht="16.5" thickBot="1">
      <c r="A68" s="947" t="s">
        <v>395</v>
      </c>
      <c r="B68" s="948" t="s">
        <v>774</v>
      </c>
      <c r="C68" s="301">
        <f ca="1">ROUND(C67*(1-((1+F70)/(1+F68))^F69)/(F68-F70),0)</f>
        <v>-567100</v>
      </c>
      <c r="D68" s="965" t="s">
        <v>758</v>
      </c>
      <c r="E68" s="950" t="s">
        <v>759</v>
      </c>
      <c r="F68" s="312">
        <f ca="1">F40</f>
        <v>0.05</v>
      </c>
      <c r="O68" s="1427" t="s">
        <v>406</v>
      </c>
      <c r="P68" s="1466" t="s">
        <v>871</v>
      </c>
      <c r="Q68" s="1419">
        <f ca="1">ROUND(Q69-Q70*Q71,0)</f>
        <v>240703</v>
      </c>
      <c r="R68" s="1419" t="s">
        <v>414</v>
      </c>
    </row>
    <row r="69" spans="1:18" s="1383" customFormat="1" ht="13.5" thickBot="1">
      <c r="A69" s="951"/>
      <c r="B69" s="952"/>
      <c r="C69" s="306"/>
      <c r="D69" s="970" t="s">
        <v>762</v>
      </c>
      <c r="E69" s="950" t="s">
        <v>763</v>
      </c>
      <c r="F69" s="333">
        <f ca="1">F41</f>
        <v>49</v>
      </c>
      <c r="O69" s="1427" t="s">
        <v>411</v>
      </c>
      <c r="P69" s="1466" t="s">
        <v>872</v>
      </c>
      <c r="Q69" s="1419">
        <f ca="1">C39</f>
        <v>317573</v>
      </c>
      <c r="R69" s="1419" t="s">
        <v>818</v>
      </c>
    </row>
    <row r="70" spans="1:18" s="1383" customFormat="1" ht="13.5" thickBot="1">
      <c r="A70" s="954"/>
      <c r="B70" s="955"/>
      <c r="C70" s="310"/>
      <c r="D70" s="966"/>
      <c r="E70" s="950" t="s">
        <v>766</v>
      </c>
      <c r="F70" s="1054"/>
      <c r="O70" s="1427" t="s">
        <v>412</v>
      </c>
      <c r="P70" s="1466" t="s">
        <v>873</v>
      </c>
      <c r="Q70" s="1419">
        <f ca="1">C13</f>
        <v>1397634</v>
      </c>
      <c r="R70" s="1419" t="s">
        <v>818</v>
      </c>
    </row>
    <row r="71" spans="1:18" s="1383" customFormat="1" ht="13.5" thickBot="1">
      <c r="A71" s="971" t="s">
        <v>396</v>
      </c>
      <c r="B71" s="972" t="s">
        <v>776</v>
      </c>
      <c r="C71" s="336">
        <f ca="1">ROUND(C68/F71,0)</f>
        <v>-2613</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76870</v>
      </c>
      <c r="D75" s="1383"/>
      <c r="E75" s="1383"/>
      <c r="F75" s="1383"/>
      <c r="K75" s="1401"/>
      <c r="L75" s="1383"/>
      <c r="O75" s="1417" t="s">
        <v>409</v>
      </c>
      <c r="P75" s="1418" t="s">
        <v>838</v>
      </c>
      <c r="Q75" s="1419">
        <f ca="1">Q65+Q66</f>
        <v>8028034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0.75800000000000001</v>
      </c>
    </row>
    <row r="80" spans="1:18">
      <c r="B80" s="340" t="s">
        <v>800</v>
      </c>
      <c r="C80" s="274">
        <f ca="1">ROUND(C75/C39,3)</f>
        <v>0.24199999999999999</v>
      </c>
    </row>
    <row r="81" spans="2:3">
      <c r="B81" s="270" t="s">
        <v>801</v>
      </c>
      <c r="C81" s="238"/>
    </row>
    <row r="82" spans="2:3">
      <c r="B82" s="273" t="s">
        <v>802</v>
      </c>
      <c r="C82" s="275">
        <f ca="1">1-C83</f>
        <v>0.82600000000000007</v>
      </c>
    </row>
    <row r="83" spans="2:3">
      <c r="B83" s="273" t="s">
        <v>803</v>
      </c>
      <c r="C83" s="274">
        <f ca="1">ROUND(C13/C40,3)</f>
        <v>0.17399999999999999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3364</v>
      </c>
      <c r="E2" s="3439"/>
      <c r="F2" s="2841"/>
      <c r="G2" s="2842"/>
      <c r="H2" s="2843"/>
      <c r="I2" s="2844"/>
      <c r="J2" s="3670" t="s">
        <v>2318</v>
      </c>
      <c r="K2" s="3671"/>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72" t="s">
        <v>2328</v>
      </c>
      <c r="K3" s="3673"/>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72" t="s">
        <v>2330</v>
      </c>
      <c r="K4" s="3673"/>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74" t="s">
        <v>2334</v>
      </c>
      <c r="B6" s="3675"/>
      <c r="C6" s="3676"/>
      <c r="D6" s="2865"/>
      <c r="E6" s="2866"/>
      <c r="F6" s="2867"/>
      <c r="G6" s="2868"/>
      <c r="H6" s="2843"/>
      <c r="I6" s="2844"/>
      <c r="J6" s="3677">
        <v>1</v>
      </c>
      <c r="K6" s="3678"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77"/>
      <c r="K7" s="3679"/>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81" t="s">
        <v>2348</v>
      </c>
      <c r="C8" s="3682"/>
      <c r="D8" s="2884" t="s">
        <v>2349</v>
      </c>
      <c r="E8" s="2885" t="s">
        <v>2350</v>
      </c>
      <c r="F8" s="2886" t="s">
        <v>2351</v>
      </c>
      <c r="G8" s="2887"/>
      <c r="H8" s="2843"/>
      <c r="I8" s="2844"/>
      <c r="J8" s="3677"/>
      <c r="K8" s="3679"/>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81" t="s">
        <v>2354</v>
      </c>
      <c r="C9" s="3682"/>
      <c r="D9" s="2884">
        <f>ROUND(D6*E9,0)</f>
        <v>0</v>
      </c>
      <c r="E9" s="2888"/>
      <c r="F9" s="2889" t="s">
        <v>2355</v>
      </c>
      <c r="G9" s="2868"/>
      <c r="H9" s="2843"/>
      <c r="I9" s="2844"/>
      <c r="J9" s="3677"/>
      <c r="K9" s="3679"/>
      <c r="L9" s="2878" t="s">
        <v>2356</v>
      </c>
      <c r="M9" s="2879"/>
      <c r="N9" s="2855"/>
      <c r="O9" s="2880"/>
      <c r="P9" s="2880"/>
      <c r="Q9" s="2881">
        <v>365</v>
      </c>
      <c r="R9" s="2882">
        <f t="shared" si="0"/>
        <v>0</v>
      </c>
      <c r="S9" s="2836"/>
      <c r="T9" s="2836"/>
      <c r="U9" s="2836"/>
      <c r="V9" s="2844"/>
    </row>
    <row r="10" spans="1:22" s="2848" customFormat="1" ht="13.15" customHeight="1">
      <c r="A10" s="2883">
        <v>2</v>
      </c>
      <c r="B10" s="3681" t="s">
        <v>2357</v>
      </c>
      <c r="C10" s="3682"/>
      <c r="D10" s="2884">
        <f>ROUND(D6*E10,0)</f>
        <v>0</v>
      </c>
      <c r="E10" s="2888"/>
      <c r="F10" s="2889" t="s">
        <v>2358</v>
      </c>
      <c r="G10" s="2868"/>
      <c r="H10" s="2843"/>
      <c r="I10" s="2844"/>
      <c r="J10" s="3677"/>
      <c r="K10" s="3679"/>
      <c r="L10" s="2878" t="s">
        <v>2359</v>
      </c>
      <c r="M10" s="2879"/>
      <c r="N10" s="2855"/>
      <c r="O10" s="2880"/>
      <c r="P10" s="2880"/>
      <c r="Q10" s="2881">
        <v>365</v>
      </c>
      <c r="R10" s="2882">
        <f t="shared" si="0"/>
        <v>0</v>
      </c>
      <c r="S10" s="2836"/>
      <c r="T10" s="2836"/>
      <c r="U10" s="2836"/>
      <c r="V10" s="2844"/>
    </row>
    <row r="11" spans="1:22" s="2848" customFormat="1" ht="13.15" customHeight="1">
      <c r="A11" s="2883">
        <v>3</v>
      </c>
      <c r="B11" s="3681" t="s">
        <v>2360</v>
      </c>
      <c r="C11" s="3682"/>
      <c r="D11" s="2884">
        <f>D12+D14+D15+D16</f>
        <v>0</v>
      </c>
      <c r="E11" s="2890" t="e">
        <f>D11/D6</f>
        <v>#DIV/0!</v>
      </c>
      <c r="F11" s="2886"/>
      <c r="G11" s="2887"/>
      <c r="H11" s="2843"/>
      <c r="I11" s="2844"/>
      <c r="J11" s="3677"/>
      <c r="K11" s="3679"/>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3" t="s">
        <v>2363</v>
      </c>
      <c r="C12" s="3684"/>
      <c r="D12" s="2892">
        <f>ROUND(D13*1.2%*(1-30%),0)</f>
        <v>0</v>
      </c>
      <c r="E12" s="2893">
        <v>1.2E-2</v>
      </c>
      <c r="F12" s="2886" t="s">
        <v>2364</v>
      </c>
      <c r="G12" s="2887"/>
      <c r="H12" s="2843"/>
      <c r="I12" s="2844"/>
      <c r="J12" s="3677"/>
      <c r="K12" s="3679"/>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77"/>
      <c r="K13" s="3679"/>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3" t="s">
        <v>2369</v>
      </c>
      <c r="C14" s="3684"/>
      <c r="D14" s="2892">
        <f>ROUND(E14*B5/10000,0)</f>
        <v>0</v>
      </c>
      <c r="E14" s="2881"/>
      <c r="F14" s="2886" t="s">
        <v>2370</v>
      </c>
      <c r="G14" s="2887"/>
      <c r="H14" s="2843"/>
      <c r="I14" s="2844"/>
      <c r="J14" s="3677"/>
      <c r="K14" s="3680"/>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3" t="s">
        <v>2373</v>
      </c>
      <c r="C15" s="3684"/>
      <c r="D15" s="2892">
        <f>ROUND(D6*E15,0)</f>
        <v>0</v>
      </c>
      <c r="E15" s="2893">
        <v>5.5E-2</v>
      </c>
      <c r="F15" s="2886" t="s">
        <v>2374</v>
      </c>
      <c r="G15" s="2868"/>
      <c r="H15" s="2843"/>
      <c r="I15" s="2844"/>
      <c r="J15" s="3677">
        <v>2</v>
      </c>
      <c r="K15" s="3678"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3" t="s">
        <v>2382</v>
      </c>
      <c r="C16" s="3684"/>
      <c r="D16" s="2903">
        <f>D6*E16</f>
        <v>0</v>
      </c>
      <c r="E16" s="2904"/>
      <c r="F16" s="2889" t="s">
        <v>2383</v>
      </c>
      <c r="G16" s="2868"/>
      <c r="H16" s="2843"/>
      <c r="I16" s="2844"/>
      <c r="J16" s="3677"/>
      <c r="K16" s="3679"/>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85" t="s">
        <v>2385</v>
      </c>
      <c r="C17" s="3686"/>
      <c r="D17" s="2906">
        <f>ROUND(D6*E17,0)</f>
        <v>0</v>
      </c>
      <c r="E17" s="2907"/>
      <c r="F17" s="2908" t="s">
        <v>2386</v>
      </c>
      <c r="G17" s="2868"/>
      <c r="H17" s="2843"/>
      <c r="I17" s="2844"/>
      <c r="J17" s="3677"/>
      <c r="K17" s="3679"/>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77"/>
      <c r="K18" s="3679"/>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77"/>
      <c r="K19" s="3680"/>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77">
        <v>3</v>
      </c>
      <c r="K20" s="3678"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77"/>
      <c r="K21" s="3679"/>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77"/>
      <c r="K22" s="3679"/>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77"/>
      <c r="K23" s="3679"/>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77"/>
      <c r="K24" s="3680"/>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87">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70" t="s">
        <v>2318</v>
      </c>
      <c r="K32" s="3671"/>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72" t="s">
        <v>2328</v>
      </c>
      <c r="K33" s="3673"/>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72" t="s">
        <v>2330</v>
      </c>
      <c r="K34" s="367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77">
        <v>1</v>
      </c>
      <c r="K36" s="3678"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77"/>
      <c r="K37" s="3679"/>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77"/>
      <c r="K38" s="3679"/>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77"/>
      <c r="K39" s="3679"/>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77"/>
      <c r="K40" s="3680"/>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7">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802.80340000000001</v>
      </c>
      <c r="C2" s="1871" t="s">
        <v>1651</v>
      </c>
      <c r="D2" s="1872" t="s">
        <v>1652</v>
      </c>
      <c r="E2" s="2602">
        <f>SUM(E6:E13)</f>
        <v>217.05</v>
      </c>
      <c r="F2" s="2702"/>
      <c r="G2" s="1488"/>
      <c r="H2" s="1488"/>
      <c r="I2" s="1488"/>
      <c r="J2" s="1488"/>
      <c r="K2" s="1488"/>
      <c r="L2" s="1488"/>
      <c r="M2" s="1488"/>
      <c r="N2" s="1488"/>
      <c r="O2" s="1488"/>
      <c r="P2" s="1488"/>
      <c r="Q2" s="1488"/>
      <c r="R2" s="1488"/>
      <c r="S2" s="1488"/>
    </row>
    <row r="3" spans="1:22" ht="15.75">
      <c r="A3" s="1869" t="s">
        <v>686</v>
      </c>
      <c r="B3" s="2596">
        <f ca="1">ROUND(B2*10000/E2,0)</f>
        <v>36987</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89" t="s">
        <v>1654</v>
      </c>
      <c r="C5" s="3690"/>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802.80340000000001</v>
      </c>
      <c r="C6" s="1871" t="s">
        <v>1651</v>
      </c>
      <c r="D6" s="2704"/>
      <c r="E6" s="2601">
        <f>IF(OR(A6=0,F6="否"),0,'数据-取费表'!K6+'数据-取费表'!S6)</f>
        <v>217.05</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C22" zoomScale="80" zoomScaleNormal="60" zoomScaleSheetLayoutView="80" workbookViewId="0">
      <selection activeCell="Y60" sqref="Y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3394</v>
      </c>
      <c r="E1" s="3421" t="s">
        <v>3457</v>
      </c>
      <c r="F1" s="1878" t="s">
        <v>3458</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2390.0677999999998</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110116</v>
      </c>
      <c r="C3" s="354" t="s">
        <v>1665</v>
      </c>
      <c r="D3" s="353">
        <f>IF(D1="",'数据-汇总表'!E3,SUMIF('数据-汇总表'!$C19:$C33,D1,'数据-汇总表'!$E19:$E33))</f>
        <v>217.05</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0" t="s">
        <v>1667</v>
      </c>
      <c r="D4" s="3711"/>
      <c r="E4" s="3712" t="s">
        <v>1668</v>
      </c>
      <c r="F4" s="3713"/>
      <c r="G4" s="3710" t="s">
        <v>1669</v>
      </c>
      <c r="H4" s="3711"/>
      <c r="I4" s="3710" t="s">
        <v>1670</v>
      </c>
      <c r="J4" s="3711"/>
      <c r="K4" s="1888" t="s">
        <v>1671</v>
      </c>
      <c r="L4" s="2710"/>
      <c r="M4" s="2711"/>
      <c r="N4" s="2711"/>
      <c r="O4" s="2711"/>
      <c r="P4" s="3714" t="s">
        <v>1672</v>
      </c>
      <c r="Q4" s="3715"/>
      <c r="R4" s="3696" t="s">
        <v>1668</v>
      </c>
      <c r="S4" s="3697"/>
      <c r="T4" s="3696" t="s">
        <v>1669</v>
      </c>
      <c r="U4" s="3697"/>
      <c r="V4" s="3722" t="s">
        <v>1670</v>
      </c>
      <c r="W4" s="3722"/>
      <c r="X4" s="1354"/>
      <c r="Y4" s="3696" t="s">
        <v>1672</v>
      </c>
      <c r="Z4" s="3697"/>
      <c r="AA4" s="3691" t="s">
        <v>1668</v>
      </c>
      <c r="AB4" s="3691" t="s">
        <v>1669</v>
      </c>
      <c r="AC4" s="3691" t="s">
        <v>1670</v>
      </c>
    </row>
    <row r="5" spans="1:29" ht="15">
      <c r="A5" s="358"/>
      <c r="B5" s="359"/>
      <c r="C5" s="3702" t="s">
        <v>3445</v>
      </c>
      <c r="D5" s="3703"/>
      <c r="E5" s="3700" t="str">
        <f>案例!B2</f>
        <v>雪梨澳乡B区</v>
      </c>
      <c r="F5" s="3701"/>
      <c r="G5" s="3706" t="str">
        <f>案例!B3</f>
        <v>雪梨澳乡A区</v>
      </c>
      <c r="H5" s="3703"/>
      <c r="I5" s="3706" t="str">
        <f>案例!B4</f>
        <v>雪梨澳乡E区</v>
      </c>
      <c r="J5" s="3703"/>
      <c r="K5" s="1889"/>
      <c r="L5" s="2710"/>
      <c r="M5" s="2711"/>
      <c r="N5" s="2711"/>
      <c r="O5" s="2711"/>
      <c r="P5" s="3716"/>
      <c r="Q5" s="3717"/>
      <c r="R5" s="3698"/>
      <c r="S5" s="3699"/>
      <c r="T5" s="3698"/>
      <c r="U5" s="3699"/>
      <c r="V5" s="3722"/>
      <c r="W5" s="3722"/>
      <c r="X5" s="1354"/>
      <c r="Y5" s="3698"/>
      <c r="Z5" s="3699"/>
      <c r="AA5" s="3692"/>
      <c r="AB5" s="3692"/>
      <c r="AC5" s="3692"/>
    </row>
    <row r="6" spans="1:29" ht="15.75" thickBot="1">
      <c r="A6" s="360"/>
      <c r="B6" s="361"/>
      <c r="C6" s="3704" t="s">
        <v>1677</v>
      </c>
      <c r="D6" s="3705"/>
      <c r="E6" s="3707" t="s">
        <v>1677</v>
      </c>
      <c r="F6" s="3708"/>
      <c r="G6" s="3704" t="s">
        <v>1677</v>
      </c>
      <c r="H6" s="3705"/>
      <c r="I6" s="3704" t="s">
        <v>1677</v>
      </c>
      <c r="J6" s="3705"/>
      <c r="K6" s="1889" t="s">
        <v>1678</v>
      </c>
      <c r="L6" s="2710"/>
      <c r="M6" s="2711"/>
      <c r="N6" s="2711"/>
      <c r="O6" s="2711"/>
      <c r="P6" s="3718"/>
      <c r="Q6" s="3719"/>
      <c r="R6" s="3698"/>
      <c r="S6" s="3699"/>
      <c r="T6" s="3720"/>
      <c r="U6" s="3721"/>
      <c r="V6" s="3722"/>
      <c r="W6" s="3722"/>
      <c r="X6" s="1354"/>
      <c r="Y6" s="3720"/>
      <c r="Z6" s="3721"/>
      <c r="AA6" s="3693"/>
      <c r="AB6" s="3693"/>
      <c r="AC6" s="3693"/>
    </row>
    <row r="7" spans="1:29" s="108" customFormat="1" ht="15.75" thickBot="1">
      <c r="A7" s="362" t="s">
        <v>1679</v>
      </c>
      <c r="B7" s="363"/>
      <c r="C7" s="364">
        <f>'数据-取费表'!B2</f>
        <v>44845</v>
      </c>
      <c r="D7" s="365">
        <v>100</v>
      </c>
      <c r="E7" s="366">
        <f>案例!$J$2</f>
        <v>44197</v>
      </c>
      <c r="F7" s="367">
        <f>SUMIF(58:58,YEAR(E7)&amp;"-"&amp;MONTH(E7),59:59)</f>
        <v>98.8</v>
      </c>
      <c r="G7" s="366">
        <f>案例!J3</f>
        <v>44652</v>
      </c>
      <c r="H7" s="365">
        <f>SUMIF(58:58,YEAR(G7)&amp;"-"&amp;MONTH(G7),59:59)</f>
        <v>99.8</v>
      </c>
      <c r="I7" s="366">
        <f>案例!J4</f>
        <v>44268</v>
      </c>
      <c r="J7" s="365">
        <f>SUMIF(58:58,YEAR(I7)&amp;"-"&amp;MONTH(I7),59:59)</f>
        <v>98.8</v>
      </c>
      <c r="K7" s="1890"/>
      <c r="L7" s="2712"/>
      <c r="M7" s="2713"/>
      <c r="N7" s="2713"/>
      <c r="O7" s="2713"/>
      <c r="P7" s="3694" t="s">
        <v>1680</v>
      </c>
      <c r="Q7" s="3723"/>
      <c r="R7" s="701" t="s">
        <v>20</v>
      </c>
      <c r="S7" s="702">
        <f t="shared" ref="S7:S15" si="0">F7</f>
        <v>98.8</v>
      </c>
      <c r="T7" s="701" t="s">
        <v>20</v>
      </c>
      <c r="U7" s="702">
        <f t="shared" ref="U7:U15" si="1">H7</f>
        <v>99.8</v>
      </c>
      <c r="V7" s="701" t="s">
        <v>20</v>
      </c>
      <c r="W7" s="702">
        <f t="shared" ref="W7:W15" si="2">J7</f>
        <v>98.8</v>
      </c>
      <c r="X7" s="703"/>
      <c r="Y7" s="3694" t="s">
        <v>1680</v>
      </c>
      <c r="Z7" s="3695"/>
      <c r="AA7" s="704">
        <f>D7/F7</f>
        <v>1.0121457489878543</v>
      </c>
      <c r="AB7" s="704">
        <f>D7/H7</f>
        <v>1.0020040080160322</v>
      </c>
      <c r="AC7" s="704">
        <f>D7/J7</f>
        <v>1.0121457489878543</v>
      </c>
    </row>
    <row r="8" spans="1:29" s="108" customFormat="1" ht="15.75" thickBot="1">
      <c r="A8" s="362" t="s">
        <v>1681</v>
      </c>
      <c r="B8" s="363"/>
      <c r="C8" s="368" t="s">
        <v>3446</v>
      </c>
      <c r="D8" s="365">
        <v>100</v>
      </c>
      <c r="E8" s="368" t="s">
        <v>3446</v>
      </c>
      <c r="F8" s="367">
        <f>SUMIF(61:61,E8,62:62)-SUMIF(61:61,C8,62:62)+100</f>
        <v>100</v>
      </c>
      <c r="G8" s="368" t="s">
        <v>3446</v>
      </c>
      <c r="H8" s="365">
        <f>SUMIF(61:61,G8,62:62)-SUMIF(61:61,C8,62:62)+100</f>
        <v>100</v>
      </c>
      <c r="I8" s="368" t="s">
        <v>3446</v>
      </c>
      <c r="J8" s="365">
        <f>SUMIF(61:61,I8,62:62)-SUMIF(61:61,C8,62:62)+100</f>
        <v>100</v>
      </c>
      <c r="K8" s="1890"/>
      <c r="L8" s="2712"/>
      <c r="M8" s="2713"/>
      <c r="N8" s="2713"/>
      <c r="O8" s="2713"/>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467" t="s">
        <v>3468</v>
      </c>
      <c r="D9" s="126">
        <v>100</v>
      </c>
      <c r="E9" s="371" t="s">
        <v>3394</v>
      </c>
      <c r="F9" s="372">
        <f>SUMIF(63:63,E9,64:64)-SUMIF(63:63,C9,64:64)+100</f>
        <v>100</v>
      </c>
      <c r="G9" s="373" t="s">
        <v>3394</v>
      </c>
      <c r="H9" s="126">
        <f>SUMIF(63:63,G9,64:64)-SUMIF(63:63,C9,64:64)+100</f>
        <v>100</v>
      </c>
      <c r="I9" s="373" t="s">
        <v>3394</v>
      </c>
      <c r="J9" s="126">
        <f>SUMIF(63:63,I9,64:64)-SUMIF(63:63,C9,64:64)+100</f>
        <v>100</v>
      </c>
      <c r="K9" s="1890"/>
      <c r="L9" s="2712"/>
      <c r="M9" s="2713"/>
      <c r="N9" s="2713"/>
      <c r="O9" s="2713"/>
      <c r="P9" s="3709"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hidden="1">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09"/>
      <c r="Q11" s="1342"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3475" t="s">
        <v>3486</v>
      </c>
      <c r="C12" s="3476" t="s">
        <v>3487</v>
      </c>
      <c r="D12" s="384">
        <v>100</v>
      </c>
      <c r="E12" s="3476" t="s">
        <v>3487</v>
      </c>
      <c r="F12" s="376">
        <f>SUMIF(70:70,E12,71:71)-SUMIF(70:70,C12,71:71)+100</f>
        <v>100</v>
      </c>
      <c r="G12" s="3476" t="s">
        <v>3487</v>
      </c>
      <c r="H12" s="127">
        <f>SUMIF(70:70,G12,71:71)-SUMIF(70:70,C12,71:71)+100</f>
        <v>100</v>
      </c>
      <c r="I12" s="3476" t="s">
        <v>3487</v>
      </c>
      <c r="J12" s="127">
        <f>SUMIF(70:70,I12,71:71)-SUMIF(70:70,C12,71:71)+100</f>
        <v>100</v>
      </c>
      <c r="K12" s="1892"/>
      <c r="L12" s="2712"/>
      <c r="M12" s="2713"/>
      <c r="N12" s="2713"/>
      <c r="O12" s="2713"/>
      <c r="P12" s="3709"/>
      <c r="Q12" s="1342" t="str">
        <f t="shared" si="6"/>
        <v>是否赠送地下面积</v>
      </c>
      <c r="R12" s="701" t="s">
        <v>18</v>
      </c>
      <c r="S12" s="702">
        <f t="shared" si="0"/>
        <v>100</v>
      </c>
      <c r="T12" s="701" t="s">
        <v>18</v>
      </c>
      <c r="U12" s="702">
        <f t="shared" si="1"/>
        <v>100</v>
      </c>
      <c r="V12" s="701" t="s">
        <v>18</v>
      </c>
      <c r="W12" s="702">
        <f t="shared" si="2"/>
        <v>100</v>
      </c>
      <c r="X12" s="703"/>
      <c r="Y12" s="3641"/>
      <c r="Z12" s="52" t="str">
        <f t="shared" si="7"/>
        <v>是否赠送地下面积</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09"/>
      <c r="Q13" s="1342">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09"/>
      <c r="Q14" s="1342">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57">
      <c r="A15" s="391" t="s">
        <v>1690</v>
      </c>
      <c r="B15" s="61" t="s">
        <v>1257</v>
      </c>
      <c r="C15" s="1894" t="str">
        <f>估价对象房地状况!C3</f>
        <v>周边有上林溪、沁春家园、悦秀园等住宅小区项目，居住社区成熟度较好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36" t="s">
        <v>1691</v>
      </c>
      <c r="Q15" s="1351" t="str">
        <f t="shared" si="6"/>
        <v>居住社区成熟度</v>
      </c>
      <c r="R15" s="705" t="s">
        <v>18</v>
      </c>
      <c r="S15" s="706">
        <f t="shared" si="0"/>
        <v>100</v>
      </c>
      <c r="T15" s="705" t="s">
        <v>18</v>
      </c>
      <c r="U15" s="706">
        <f t="shared" si="1"/>
        <v>100</v>
      </c>
      <c r="V15" s="705" t="s">
        <v>18</v>
      </c>
      <c r="W15" s="706">
        <f t="shared" si="2"/>
        <v>100</v>
      </c>
      <c r="X15" s="1354"/>
      <c r="Y15" s="3729"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37"/>
      <c r="Q16" s="1351"/>
      <c r="R16" s="705"/>
      <c r="S16" s="706"/>
      <c r="T16" s="705"/>
      <c r="U16" s="706"/>
      <c r="V16" s="705"/>
      <c r="W16" s="706"/>
      <c r="X16" s="1354"/>
      <c r="Y16" s="3730"/>
      <c r="Z16" s="1355"/>
      <c r="AA16" s="1352">
        <v>1</v>
      </c>
      <c r="AB16" s="1352">
        <v>1</v>
      </c>
      <c r="AC16" s="1352">
        <v>1</v>
      </c>
    </row>
    <row r="17" spans="1:29" ht="71.25">
      <c r="A17" s="379"/>
      <c r="B17" s="402" t="s">
        <v>1259</v>
      </c>
      <c r="C17" s="1898" t="str">
        <f>估价对象房地状况!C6</f>
        <v>周边有专89路、307路、315路、 407路、606路等多条公交线路，交通便捷度一般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37"/>
      <c r="Q17" s="1351" t="str">
        <f>B17</f>
        <v>交通便捷度</v>
      </c>
      <c r="R17" s="705" t="s">
        <v>18</v>
      </c>
      <c r="S17" s="706">
        <f>F17</f>
        <v>100</v>
      </c>
      <c r="T17" s="705" t="s">
        <v>18</v>
      </c>
      <c r="U17" s="706">
        <f>H17</f>
        <v>100</v>
      </c>
      <c r="V17" s="705" t="s">
        <v>18</v>
      </c>
      <c r="W17" s="706">
        <f>J17</f>
        <v>100</v>
      </c>
      <c r="X17" s="1354"/>
      <c r="Y17" s="3730"/>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37"/>
      <c r="Q18" s="1351"/>
      <c r="R18" s="705"/>
      <c r="S18" s="706"/>
      <c r="T18" s="705"/>
      <c r="U18" s="706"/>
      <c r="V18" s="705"/>
      <c r="W18" s="706"/>
      <c r="X18" s="1354"/>
      <c r="Y18" s="3730"/>
      <c r="Z18" s="1355"/>
      <c r="AA18" s="1352">
        <v>1</v>
      </c>
      <c r="AB18" s="1352">
        <v>1</v>
      </c>
      <c r="AC18" s="1352">
        <v>1</v>
      </c>
    </row>
    <row r="19" spans="1:29" ht="117" customHeight="1">
      <c r="A19" s="379"/>
      <c r="B19" s="402" t="s">
        <v>1258</v>
      </c>
      <c r="C19" s="1898"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37"/>
      <c r="Q19" s="1351" t="str">
        <f>B19</f>
        <v>公共配套设施</v>
      </c>
      <c r="R19" s="705" t="s">
        <v>18</v>
      </c>
      <c r="S19" s="706">
        <f>F19</f>
        <v>100</v>
      </c>
      <c r="T19" s="705" t="s">
        <v>18</v>
      </c>
      <c r="U19" s="706">
        <f>H19</f>
        <v>100</v>
      </c>
      <c r="V19" s="705" t="s">
        <v>18</v>
      </c>
      <c r="W19" s="706">
        <f>J19</f>
        <v>100</v>
      </c>
      <c r="X19" s="1354"/>
      <c r="Y19" s="3730"/>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37"/>
      <c r="Q20" s="1351"/>
      <c r="R20" s="705"/>
      <c r="S20" s="706"/>
      <c r="T20" s="705"/>
      <c r="U20" s="706"/>
      <c r="V20" s="705"/>
      <c r="W20" s="706"/>
      <c r="X20" s="1354"/>
      <c r="Y20" s="3730"/>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37"/>
      <c r="Q21" s="1351" t="str">
        <f>B21</f>
        <v>基础设施水平</v>
      </c>
      <c r="R21" s="705" t="s">
        <v>14</v>
      </c>
      <c r="S21" s="706">
        <f>F21</f>
        <v>100</v>
      </c>
      <c r="T21" s="705" t="s">
        <v>14</v>
      </c>
      <c r="U21" s="706">
        <f>H21</f>
        <v>100</v>
      </c>
      <c r="V21" s="705" t="s">
        <v>14</v>
      </c>
      <c r="W21" s="706">
        <f>J21</f>
        <v>100</v>
      </c>
      <c r="X21" s="1354"/>
      <c r="Y21" s="3730"/>
      <c r="Z21" s="1355" t="str">
        <f>Q21</f>
        <v>基础设施水平</v>
      </c>
      <c r="AA21" s="1352">
        <f t="shared" ref="AA21" si="8">D21/F21</f>
        <v>1</v>
      </c>
      <c r="AB21" s="1352">
        <f t="shared" ref="AB21" si="9">D21/H21</f>
        <v>1</v>
      </c>
      <c r="AC21" s="1352">
        <f t="shared" ref="AC21" si="10">D21/J21</f>
        <v>1</v>
      </c>
    </row>
    <row r="22" spans="1:29" ht="15">
      <c r="A22" s="379"/>
      <c r="B22" s="1131"/>
      <c r="C22" s="1899" t="s">
        <v>3455</v>
      </c>
      <c r="D22" s="399"/>
      <c r="E22" s="398" t="str">
        <f>C22</f>
        <v>七通</v>
      </c>
      <c r="F22" s="399"/>
      <c r="G22" s="1902" t="str">
        <f>C22</f>
        <v>七通</v>
      </c>
      <c r="H22" s="399"/>
      <c r="I22" s="398" t="str">
        <f>C22</f>
        <v>七通</v>
      </c>
      <c r="J22" s="399"/>
      <c r="K22" s="1903"/>
      <c r="L22" s="2717"/>
      <c r="M22" s="2711"/>
      <c r="N22" s="2711"/>
      <c r="O22" s="2711"/>
      <c r="P22" s="3737"/>
      <c r="Q22" s="1351"/>
      <c r="R22" s="705"/>
      <c r="S22" s="706"/>
      <c r="T22" s="705"/>
      <c r="U22" s="706"/>
      <c r="V22" s="705"/>
      <c r="W22" s="706"/>
      <c r="X22" s="1354"/>
      <c r="Y22" s="3730"/>
      <c r="Z22" s="1355"/>
      <c r="AA22" s="1352">
        <v>1</v>
      </c>
      <c r="AB22" s="1352">
        <v>1</v>
      </c>
      <c r="AC22" s="1352">
        <v>1</v>
      </c>
    </row>
    <row r="23" spans="1:29" ht="57">
      <c r="A23" s="379"/>
      <c r="B23" s="402" t="s">
        <v>1261</v>
      </c>
      <c r="C23" s="1898" t="str">
        <f>估价对象房地状况!C9</f>
        <v>区域自然环境：西小口公园；人文环境；综合评价环境状况较好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37"/>
      <c r="Q23" s="1351" t="str">
        <f>B23</f>
        <v>自然及人文环境</v>
      </c>
      <c r="R23" s="705" t="s">
        <v>18</v>
      </c>
      <c r="S23" s="706">
        <f>F23</f>
        <v>100</v>
      </c>
      <c r="T23" s="705" t="s">
        <v>18</v>
      </c>
      <c r="U23" s="706">
        <f>H23</f>
        <v>100</v>
      </c>
      <c r="V23" s="705" t="s">
        <v>18</v>
      </c>
      <c r="W23" s="706">
        <f>J23</f>
        <v>100</v>
      </c>
      <c r="X23" s="1354"/>
      <c r="Y23" s="3730"/>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37"/>
      <c r="Q24" s="1351"/>
      <c r="R24" s="705"/>
      <c r="S24" s="706"/>
      <c r="T24" s="705"/>
      <c r="U24" s="706"/>
      <c r="V24" s="705"/>
      <c r="W24" s="706"/>
      <c r="X24" s="1354"/>
      <c r="Y24" s="3730"/>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3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0"/>
      <c r="Z25" s="1355" t="str">
        <f>Q25</f>
        <v>楼层-1</v>
      </c>
      <c r="AA25" s="1352">
        <f t="shared" ref="AA25:AA46" si="15">D25/F25</f>
        <v>1</v>
      </c>
      <c r="AB25" s="1352">
        <f t="shared" ref="AB25:AB46" si="16">D25/H25</f>
        <v>1</v>
      </c>
      <c r="AC25" s="1352">
        <f t="shared" ref="AC25:AC46" si="17">D25/J25</f>
        <v>1</v>
      </c>
    </row>
    <row r="26" spans="1:29" ht="15" hidden="1">
      <c r="A26" s="379"/>
      <c r="B26" s="375" t="s">
        <v>1693</v>
      </c>
      <c r="C26" s="411" t="s">
        <v>3498</v>
      </c>
      <c r="D26" s="386">
        <v>100</v>
      </c>
      <c r="E26" s="411" t="s">
        <v>3500</v>
      </c>
      <c r="F26" s="386">
        <f>SUMIF(88:88,E26,89:89)-SUMIF(88:88,C26,89:89)+100</f>
        <v>100</v>
      </c>
      <c r="G26" s="411" t="s">
        <v>3474</v>
      </c>
      <c r="H26" s="386">
        <f>SUMIF(88:88,G26,89:89)-SUMIF(88:88,C26,89:89)+100</f>
        <v>100</v>
      </c>
      <c r="I26" s="411" t="s">
        <v>3498</v>
      </c>
      <c r="J26" s="386">
        <f>SUMIF(88:88,I26,89:89)-SUMIF(88:88,C26,89:89)+100</f>
        <v>100</v>
      </c>
      <c r="K26" s="377">
        <v>0</v>
      </c>
      <c r="L26" s="2717"/>
      <c r="M26" s="2711"/>
      <c r="N26" s="2711"/>
      <c r="O26" s="2711"/>
      <c r="P26" s="3737"/>
      <c r="Q26" s="1351" t="str">
        <f t="shared" si="11"/>
        <v>朝向</v>
      </c>
      <c r="R26" s="705" t="s">
        <v>18</v>
      </c>
      <c r="S26" s="706">
        <f t="shared" si="12"/>
        <v>100</v>
      </c>
      <c r="T26" s="705" t="s">
        <v>18</v>
      </c>
      <c r="U26" s="706">
        <f t="shared" si="13"/>
        <v>100</v>
      </c>
      <c r="V26" s="705" t="s">
        <v>18</v>
      </c>
      <c r="W26" s="706">
        <f t="shared" si="14"/>
        <v>100</v>
      </c>
      <c r="X26" s="1354"/>
      <c r="Y26" s="3730"/>
      <c r="Z26" s="1355" t="str">
        <f>Q26</f>
        <v>朝向</v>
      </c>
      <c r="AA26" s="1352">
        <f t="shared" si="15"/>
        <v>1</v>
      </c>
      <c r="AB26" s="1352">
        <f t="shared" si="16"/>
        <v>1</v>
      </c>
      <c r="AC26" s="1352">
        <f t="shared" si="17"/>
        <v>1</v>
      </c>
    </row>
    <row r="27" spans="1:29" s="108" customFormat="1" ht="15">
      <c r="A27" s="382"/>
      <c r="B27" s="3466" t="s">
        <v>3485</v>
      </c>
      <c r="C27" s="3476" t="s">
        <v>3497</v>
      </c>
      <c r="D27" s="413">
        <v>100</v>
      </c>
      <c r="E27" s="3477" t="s">
        <v>3488</v>
      </c>
      <c r="F27" s="413">
        <f>SUMIF(90:90,E27,91:91)-SUMIF(90:90,C27,91:91)+100</f>
        <v>85</v>
      </c>
      <c r="G27" s="3477" t="s">
        <v>3488</v>
      </c>
      <c r="H27" s="413">
        <f>SUMIF(90:90,G27,91:91)-SUMIF(90:90,C27,91:91)+100</f>
        <v>85</v>
      </c>
      <c r="I27" s="3477" t="s">
        <v>3488</v>
      </c>
      <c r="J27" s="413">
        <f>SUMIF(90:90,I27,91:91)-SUMIF(90:90,C27,91:91)+100</f>
        <v>85</v>
      </c>
      <c r="K27" s="1892"/>
      <c r="L27" s="2712"/>
      <c r="M27" s="2713"/>
      <c r="N27" s="2713"/>
      <c r="O27" s="2713"/>
      <c r="P27" s="3737"/>
      <c r="Q27" s="1342" t="str">
        <f t="shared" si="11"/>
        <v>景观</v>
      </c>
      <c r="R27" s="701" t="s">
        <v>18</v>
      </c>
      <c r="S27" s="702">
        <f t="shared" si="12"/>
        <v>85</v>
      </c>
      <c r="T27" s="701" t="s">
        <v>18</v>
      </c>
      <c r="U27" s="702">
        <f t="shared" si="13"/>
        <v>85</v>
      </c>
      <c r="V27" s="701" t="s">
        <v>18</v>
      </c>
      <c r="W27" s="702">
        <f t="shared" si="14"/>
        <v>85</v>
      </c>
      <c r="X27" s="703"/>
      <c r="Y27" s="3730"/>
      <c r="Z27" s="52" t="str">
        <f>Q27</f>
        <v>景观</v>
      </c>
      <c r="AA27" s="1352">
        <f t="shared" si="15"/>
        <v>1.1764705882352942</v>
      </c>
      <c r="AB27" s="1352">
        <f t="shared" si="16"/>
        <v>1.1764705882352942</v>
      </c>
      <c r="AC27" s="1352">
        <f t="shared" si="17"/>
        <v>1.1764705882352942</v>
      </c>
    </row>
    <row r="28" spans="1:29" ht="15.75" thickBot="1">
      <c r="A28" s="379"/>
      <c r="B28" s="3466" t="s">
        <v>3503</v>
      </c>
      <c r="C28" s="3478" t="s">
        <v>3504</v>
      </c>
      <c r="D28" s="386">
        <v>100</v>
      </c>
      <c r="E28" s="3478" t="s">
        <v>3501</v>
      </c>
      <c r="F28" s="386">
        <f>SUMIF(92:92,E28,93:93)-SUMIF(92:92,C28,93:93)+100</f>
        <v>99.5</v>
      </c>
      <c r="G28" s="3479" t="s">
        <v>3502</v>
      </c>
      <c r="H28" s="386">
        <f>SUMIF(92:92,G28,93:93)-SUMIF(92:92,C28,93:93)+100</f>
        <v>99</v>
      </c>
      <c r="I28" s="3478" t="s">
        <v>3504</v>
      </c>
      <c r="J28" s="386">
        <f>SUMIF(92:92,I28,93:93)-SUMIF(92:92,C28,93:93)+100</f>
        <v>100</v>
      </c>
      <c r="K28" s="1892"/>
      <c r="L28" s="2717"/>
      <c r="M28" s="2711"/>
      <c r="N28" s="2711"/>
      <c r="O28" s="2711"/>
      <c r="P28" s="3737"/>
      <c r="Q28" s="1351" t="str">
        <f t="shared" si="11"/>
        <v>朝向</v>
      </c>
      <c r="R28" s="705" t="s">
        <v>18</v>
      </c>
      <c r="S28" s="706">
        <f t="shared" si="12"/>
        <v>99.5</v>
      </c>
      <c r="T28" s="705" t="s">
        <v>18</v>
      </c>
      <c r="U28" s="706">
        <f t="shared" si="13"/>
        <v>99</v>
      </c>
      <c r="V28" s="705" t="s">
        <v>18</v>
      </c>
      <c r="W28" s="706">
        <f t="shared" si="14"/>
        <v>100</v>
      </c>
      <c r="X28" s="1354"/>
      <c r="Y28" s="3730"/>
      <c r="Z28" s="1355" t="str">
        <f t="shared" ref="Z28:Z46" si="18">Q28</f>
        <v>朝向</v>
      </c>
      <c r="AA28" s="1352">
        <f t="shared" si="15"/>
        <v>1.0050251256281406</v>
      </c>
      <c r="AB28" s="1352">
        <f t="shared" si="16"/>
        <v>1.0101010101010102</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37"/>
      <c r="Q29" s="1351">
        <f t="shared" si="11"/>
        <v>111</v>
      </c>
      <c r="R29" s="705" t="s">
        <v>18</v>
      </c>
      <c r="S29" s="706">
        <f t="shared" si="12"/>
        <v>100</v>
      </c>
      <c r="T29" s="705" t="s">
        <v>18</v>
      </c>
      <c r="U29" s="706">
        <f t="shared" si="13"/>
        <v>100</v>
      </c>
      <c r="V29" s="705" t="s">
        <v>18</v>
      </c>
      <c r="W29" s="706">
        <f t="shared" si="14"/>
        <v>100</v>
      </c>
      <c r="X29" s="1354"/>
      <c r="Y29" s="3730"/>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37"/>
      <c r="Q30" s="1351">
        <f t="shared" si="11"/>
        <v>111</v>
      </c>
      <c r="R30" s="705" t="s">
        <v>18</v>
      </c>
      <c r="S30" s="706">
        <f t="shared" si="12"/>
        <v>100</v>
      </c>
      <c r="T30" s="705" t="s">
        <v>18</v>
      </c>
      <c r="U30" s="706">
        <f t="shared" si="13"/>
        <v>100</v>
      </c>
      <c r="V30" s="705" t="s">
        <v>18</v>
      </c>
      <c r="W30" s="706">
        <f t="shared" si="14"/>
        <v>100</v>
      </c>
      <c r="X30" s="1354"/>
      <c r="Y30" s="3730"/>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37"/>
      <c r="Q31" s="1351">
        <f t="shared" si="11"/>
        <v>111</v>
      </c>
      <c r="R31" s="705" t="s">
        <v>18</v>
      </c>
      <c r="S31" s="706">
        <f t="shared" si="12"/>
        <v>100</v>
      </c>
      <c r="T31" s="705" t="s">
        <v>18</v>
      </c>
      <c r="U31" s="706">
        <f t="shared" si="13"/>
        <v>100</v>
      </c>
      <c r="V31" s="705" t="s">
        <v>18</v>
      </c>
      <c r="W31" s="706">
        <f t="shared" si="14"/>
        <v>100</v>
      </c>
      <c r="X31" s="1354"/>
      <c r="Y31" s="3730"/>
      <c r="Z31" s="1355">
        <f t="shared" si="18"/>
        <v>111</v>
      </c>
      <c r="AA31" s="1352">
        <f t="shared" si="15"/>
        <v>1</v>
      </c>
      <c r="AB31" s="1352">
        <f t="shared" si="16"/>
        <v>1</v>
      </c>
      <c r="AC31" s="1352">
        <f t="shared" si="17"/>
        <v>1</v>
      </c>
    </row>
    <row r="32" spans="1:29" ht="15">
      <c r="A32" s="391" t="s">
        <v>1694</v>
      </c>
      <c r="B32" s="63" t="s">
        <v>1695</v>
      </c>
      <c r="C32" s="1908" t="s">
        <v>3437</v>
      </c>
      <c r="D32" s="418">
        <v>100</v>
      </c>
      <c r="E32" s="1908" t="s">
        <v>3437</v>
      </c>
      <c r="F32" s="412">
        <f>SUMIF(100:100,E32,101:101)-SUMIF(100:100,C32,101:101)+100</f>
        <v>100</v>
      </c>
      <c r="G32" s="1908" t="s">
        <v>3472</v>
      </c>
      <c r="H32" s="418">
        <f>SUMIF(100:100,G32,101:101)-SUMIF(100:100,C32,101:101)+100</f>
        <v>95</v>
      </c>
      <c r="I32" s="1908" t="s">
        <v>3437</v>
      </c>
      <c r="J32" s="386">
        <f>SUMIF(100:100,I32,101:101)-SUMIF(100:100,C32,101:101)+100</f>
        <v>100</v>
      </c>
      <c r="K32" s="377">
        <v>5</v>
      </c>
      <c r="L32" s="2717"/>
      <c r="M32" s="2711"/>
      <c r="N32" s="2711"/>
      <c r="O32" s="2711"/>
      <c r="P32" s="3731" t="s">
        <v>1696</v>
      </c>
      <c r="Q32" s="1351" t="str">
        <f t="shared" si="11"/>
        <v>建筑类型</v>
      </c>
      <c r="R32" s="705" t="s">
        <v>18</v>
      </c>
      <c r="S32" s="706">
        <f t="shared" si="12"/>
        <v>100</v>
      </c>
      <c r="T32" s="705" t="s">
        <v>18</v>
      </c>
      <c r="U32" s="706">
        <f t="shared" si="13"/>
        <v>95</v>
      </c>
      <c r="V32" s="705" t="s">
        <v>18</v>
      </c>
      <c r="W32" s="706">
        <f t="shared" si="14"/>
        <v>100</v>
      </c>
      <c r="X32" s="1354"/>
      <c r="Y32" s="3734" t="s">
        <v>1696</v>
      </c>
      <c r="Z32" s="1355" t="str">
        <f t="shared" si="18"/>
        <v>建筑类型</v>
      </c>
      <c r="AA32" s="1352">
        <f t="shared" si="15"/>
        <v>1</v>
      </c>
      <c r="AB32" s="1352">
        <f t="shared" si="16"/>
        <v>1.0526315789473684</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6"/>
      <c r="M33" s="2718"/>
      <c r="N33" s="2718"/>
      <c r="O33" s="2718"/>
      <c r="P33" s="3732"/>
      <c r="Q33" s="707" t="str">
        <f t="shared" si="11"/>
        <v>项目建筑规模</v>
      </c>
      <c r="R33" s="708" t="s">
        <v>18</v>
      </c>
      <c r="S33" s="709">
        <f t="shared" si="12"/>
        <v>100</v>
      </c>
      <c r="T33" s="708" t="s">
        <v>18</v>
      </c>
      <c r="U33" s="709">
        <f t="shared" si="13"/>
        <v>100</v>
      </c>
      <c r="V33" s="708" t="s">
        <v>18</v>
      </c>
      <c r="W33" s="709">
        <f t="shared" si="14"/>
        <v>100</v>
      </c>
      <c r="X33" s="710"/>
      <c r="Y33" s="3734"/>
      <c r="Z33" s="711" t="str">
        <f t="shared" si="18"/>
        <v>项目建筑规模</v>
      </c>
      <c r="AA33" s="1352">
        <f t="shared" si="15"/>
        <v>1</v>
      </c>
      <c r="AB33" s="1352">
        <f t="shared" si="16"/>
        <v>1</v>
      </c>
      <c r="AC33" s="1352">
        <f t="shared" si="17"/>
        <v>1</v>
      </c>
    </row>
    <row r="34" spans="1:29" ht="15">
      <c r="A34" s="423"/>
      <c r="B34" s="375" t="s">
        <v>1698</v>
      </c>
      <c r="C34" s="1909" t="s">
        <v>3481</v>
      </c>
      <c r="D34" s="386">
        <v>100</v>
      </c>
      <c r="E34" s="1909" t="s">
        <v>3481</v>
      </c>
      <c r="F34" s="412">
        <f>SUMIF(105:105,E34,106:106)-SUMIF(105:105,C34,106:106)+100</f>
        <v>100</v>
      </c>
      <c r="G34" s="1909" t="s">
        <v>3481</v>
      </c>
      <c r="H34" s="386">
        <f>SUMIF(105:105,G34,106:106)-SUMIF(105:105,C34,106:106)+100</f>
        <v>100</v>
      </c>
      <c r="I34" s="1909" t="s">
        <v>3481</v>
      </c>
      <c r="J34" s="386">
        <f>SUMIF(105:105,I34,106:106)-SUMIF(105:105,C34,106:106)+100</f>
        <v>100</v>
      </c>
      <c r="K34" s="377"/>
      <c r="L34" s="2717"/>
      <c r="M34" s="2711"/>
      <c r="N34" s="2711"/>
      <c r="O34" s="2711"/>
      <c r="P34" s="3732"/>
      <c r="Q34" s="1351" t="str">
        <f t="shared" si="11"/>
        <v>建筑结构</v>
      </c>
      <c r="R34" s="705" t="s">
        <v>18</v>
      </c>
      <c r="S34" s="706">
        <f t="shared" si="12"/>
        <v>100</v>
      </c>
      <c r="T34" s="705" t="s">
        <v>18</v>
      </c>
      <c r="U34" s="706">
        <f t="shared" si="13"/>
        <v>100</v>
      </c>
      <c r="V34" s="705" t="s">
        <v>18</v>
      </c>
      <c r="W34" s="706">
        <f t="shared" si="14"/>
        <v>100</v>
      </c>
      <c r="X34" s="1354"/>
      <c r="Y34" s="3734"/>
      <c r="Z34" s="1355" t="str">
        <f t="shared" si="18"/>
        <v>建筑结构</v>
      </c>
      <c r="AA34" s="1352">
        <f t="shared" si="15"/>
        <v>1</v>
      </c>
      <c r="AB34" s="1352">
        <f t="shared" si="16"/>
        <v>1</v>
      </c>
      <c r="AC34" s="1352">
        <f t="shared" si="17"/>
        <v>1</v>
      </c>
    </row>
    <row r="35" spans="1:29" ht="15" hidden="1">
      <c r="A35" s="423"/>
      <c r="B35" s="375" t="s">
        <v>1699</v>
      </c>
      <c r="C35" s="1904" t="s">
        <v>3449</v>
      </c>
      <c r="D35" s="386">
        <v>100</v>
      </c>
      <c r="E35" s="1904" t="s">
        <v>3449</v>
      </c>
      <c r="F35" s="412">
        <f>SUMIF(107:107,E35,108:108)-SUMIF(107:107,C35,108:108)+100</f>
        <v>100</v>
      </c>
      <c r="G35" s="1904" t="s">
        <v>3449</v>
      </c>
      <c r="H35" s="386">
        <f>SUMIF(107:107,G35,108:108)-SUMIF(107:107,C35,108:108)+100</f>
        <v>100</v>
      </c>
      <c r="I35" s="1904" t="s">
        <v>3449</v>
      </c>
      <c r="J35" s="386">
        <f>SUMIF(107:107,I35,108:108)-SUMIF(107:107,C35,108:108)+100</f>
        <v>100</v>
      </c>
      <c r="K35" s="377"/>
      <c r="L35" s="2717"/>
      <c r="M35" s="2711"/>
      <c r="N35" s="2711"/>
      <c r="O35" s="2711"/>
      <c r="P35" s="3732"/>
      <c r="Q35" s="1351" t="str">
        <f t="shared" si="11"/>
        <v>建筑品质</v>
      </c>
      <c r="R35" s="705" t="s">
        <v>18</v>
      </c>
      <c r="S35" s="706">
        <f t="shared" si="12"/>
        <v>100</v>
      </c>
      <c r="T35" s="705" t="s">
        <v>18</v>
      </c>
      <c r="U35" s="706">
        <f t="shared" si="13"/>
        <v>100</v>
      </c>
      <c r="V35" s="705" t="s">
        <v>18</v>
      </c>
      <c r="W35" s="706">
        <f t="shared" si="14"/>
        <v>100</v>
      </c>
      <c r="X35" s="1354"/>
      <c r="Y35" s="3734"/>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32"/>
      <c r="Q36" s="1351" t="str">
        <f t="shared" si="11"/>
        <v>公共部分装修</v>
      </c>
      <c r="R36" s="705" t="s">
        <v>18</v>
      </c>
      <c r="S36" s="706">
        <f t="shared" si="12"/>
        <v>100</v>
      </c>
      <c r="T36" s="705" t="s">
        <v>18</v>
      </c>
      <c r="U36" s="706">
        <f t="shared" si="13"/>
        <v>100</v>
      </c>
      <c r="V36" s="705" t="s">
        <v>18</v>
      </c>
      <c r="W36" s="706">
        <f t="shared" si="14"/>
        <v>100</v>
      </c>
      <c r="X36" s="1354"/>
      <c r="Y36" s="3734"/>
      <c r="Z36" s="1355" t="str">
        <f t="shared" si="18"/>
        <v>公共部分装修</v>
      </c>
      <c r="AA36" s="1352">
        <f t="shared" si="15"/>
        <v>1</v>
      </c>
      <c r="AB36" s="1352">
        <f t="shared" si="16"/>
        <v>1</v>
      </c>
      <c r="AC36" s="1352">
        <f t="shared" si="17"/>
        <v>1</v>
      </c>
    </row>
    <row r="37" spans="1:29" s="108" customFormat="1" ht="15" hidden="1">
      <c r="A37" s="424"/>
      <c r="B37" s="375" t="s">
        <v>1701</v>
      </c>
      <c r="C37" s="3468">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732"/>
      <c r="Q37" s="1342" t="str">
        <f t="shared" si="11"/>
        <v>成新度</v>
      </c>
      <c r="R37" s="701" t="s">
        <v>18</v>
      </c>
      <c r="S37" s="702">
        <f t="shared" si="12"/>
        <v>100</v>
      </c>
      <c r="T37" s="701" t="s">
        <v>18</v>
      </c>
      <c r="U37" s="702">
        <f t="shared" si="13"/>
        <v>100</v>
      </c>
      <c r="V37" s="701" t="s">
        <v>18</v>
      </c>
      <c r="W37" s="702">
        <f t="shared" si="14"/>
        <v>100</v>
      </c>
      <c r="X37" s="703"/>
      <c r="Y37" s="3734"/>
      <c r="Z37" s="52" t="str">
        <f t="shared" si="18"/>
        <v>成新度</v>
      </c>
      <c r="AA37" s="704">
        <f t="shared" si="15"/>
        <v>1</v>
      </c>
      <c r="AB37" s="704">
        <f t="shared" si="16"/>
        <v>1</v>
      </c>
      <c r="AC37" s="704">
        <f t="shared" si="17"/>
        <v>1</v>
      </c>
    </row>
    <row r="38" spans="1:29" ht="15">
      <c r="A38" s="423"/>
      <c r="B38" s="375" t="s">
        <v>1702</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377"/>
      <c r="L38" s="2717"/>
      <c r="M38" s="2711"/>
      <c r="N38" s="2711"/>
      <c r="O38" s="2711"/>
      <c r="P38" s="3732" t="s">
        <v>1696</v>
      </c>
      <c r="Q38" s="1351" t="str">
        <f t="shared" si="11"/>
        <v>物业管理</v>
      </c>
      <c r="R38" s="705" t="s">
        <v>18</v>
      </c>
      <c r="S38" s="706">
        <f t="shared" si="12"/>
        <v>100</v>
      </c>
      <c r="T38" s="705" t="s">
        <v>18</v>
      </c>
      <c r="U38" s="706">
        <f t="shared" si="13"/>
        <v>100</v>
      </c>
      <c r="V38" s="705" t="s">
        <v>18</v>
      </c>
      <c r="W38" s="706">
        <f t="shared" si="14"/>
        <v>100</v>
      </c>
      <c r="X38" s="1354"/>
      <c r="Y38" s="3734" t="s">
        <v>1696</v>
      </c>
      <c r="Z38" s="1355" t="str">
        <f t="shared" si="18"/>
        <v>物业管理</v>
      </c>
      <c r="AA38" s="1352">
        <f t="shared" si="15"/>
        <v>1</v>
      </c>
      <c r="AB38" s="1352">
        <f t="shared" si="16"/>
        <v>1</v>
      </c>
      <c r="AC38" s="1352">
        <f t="shared" si="17"/>
        <v>1</v>
      </c>
    </row>
    <row r="39" spans="1:29" ht="15">
      <c r="A39" s="423"/>
      <c r="B39" s="375" t="s">
        <v>1703</v>
      </c>
      <c r="C39" s="1904" t="s">
        <v>3505</v>
      </c>
      <c r="D39" s="386">
        <v>100</v>
      </c>
      <c r="E39" s="1904" t="s">
        <v>3505</v>
      </c>
      <c r="F39" s="412">
        <f>SUMIF(116:116,E39,117:117)-SUMIF(116:116,C39,117:117)+100</f>
        <v>100</v>
      </c>
      <c r="G39" s="1904" t="s">
        <v>3505</v>
      </c>
      <c r="H39" s="386">
        <f>SUMIF(116:116,G39,117:117)-SUMIF(116:116,C39,117:117)+100</f>
        <v>100</v>
      </c>
      <c r="I39" s="1904" t="s">
        <v>3505</v>
      </c>
      <c r="J39" s="386">
        <f>SUMIF(116:116,I39,117:117)-SUMIF(116:116,C39,117:117)+100</f>
        <v>100</v>
      </c>
      <c r="K39" s="377"/>
      <c r="L39" s="2717"/>
      <c r="M39" s="2711"/>
      <c r="N39" s="2711"/>
      <c r="O39" s="2711"/>
      <c r="P39" s="3732"/>
      <c r="Q39" s="1351" t="str">
        <f t="shared" si="11"/>
        <v>市政基础设施</v>
      </c>
      <c r="R39" s="705" t="s">
        <v>18</v>
      </c>
      <c r="S39" s="706">
        <f t="shared" si="12"/>
        <v>100</v>
      </c>
      <c r="T39" s="705" t="s">
        <v>18</v>
      </c>
      <c r="U39" s="706">
        <f t="shared" si="13"/>
        <v>100</v>
      </c>
      <c r="V39" s="705" t="s">
        <v>18</v>
      </c>
      <c r="W39" s="706">
        <f t="shared" si="14"/>
        <v>100</v>
      </c>
      <c r="X39" s="1354"/>
      <c r="Y39" s="3734"/>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32"/>
      <c r="Q40" s="1351" t="str">
        <f t="shared" si="11"/>
        <v>房型</v>
      </c>
      <c r="R40" s="705" t="s">
        <v>18</v>
      </c>
      <c r="S40" s="706">
        <f t="shared" si="12"/>
        <v>100</v>
      </c>
      <c r="T40" s="705" t="s">
        <v>18</v>
      </c>
      <c r="U40" s="706">
        <f t="shared" si="13"/>
        <v>100</v>
      </c>
      <c r="V40" s="705" t="s">
        <v>18</v>
      </c>
      <c r="W40" s="706">
        <f t="shared" si="14"/>
        <v>100</v>
      </c>
      <c r="X40" s="1354"/>
      <c r="Y40" s="3734"/>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2">
        <f t="shared" si="15"/>
        <v>1</v>
      </c>
      <c r="AB41" s="1352">
        <f t="shared" si="16"/>
        <v>1</v>
      </c>
      <c r="AC41" s="1352">
        <f t="shared" si="17"/>
        <v>1</v>
      </c>
    </row>
    <row r="42" spans="1:29" ht="15">
      <c r="A42" s="423"/>
      <c r="B42" s="375" t="s">
        <v>1706</v>
      </c>
      <c r="C42" s="1904" t="s">
        <v>3451</v>
      </c>
      <c r="D42" s="386">
        <v>100</v>
      </c>
      <c r="E42" s="1904" t="s">
        <v>3451</v>
      </c>
      <c r="F42" s="412">
        <f>SUMIF(122:122,E42,123:123)-SUMIF(122:122,C42,123:123)+100</f>
        <v>100</v>
      </c>
      <c r="G42" s="1904" t="s">
        <v>3451</v>
      </c>
      <c r="H42" s="386">
        <f>SUMIF(122:122,G42,123:123)-SUMIF(122:122,C42,123:123)+100</f>
        <v>100</v>
      </c>
      <c r="I42" s="1904" t="s">
        <v>3451</v>
      </c>
      <c r="J42" s="386">
        <f>SUMIF(122:122,I42,123:123)-SUMIF(122:122,C42,123:123)+100</f>
        <v>100</v>
      </c>
      <c r="K42" s="377">
        <v>5</v>
      </c>
      <c r="L42" s="2717"/>
      <c r="M42" s="2711"/>
      <c r="N42" s="2711"/>
      <c r="O42" s="2711"/>
      <c r="P42" s="3732"/>
      <c r="Q42" s="1351" t="str">
        <f t="shared" si="11"/>
        <v>内部装修</v>
      </c>
      <c r="R42" s="705" t="s">
        <v>18</v>
      </c>
      <c r="S42" s="706">
        <f t="shared" si="12"/>
        <v>100</v>
      </c>
      <c r="T42" s="705" t="s">
        <v>18</v>
      </c>
      <c r="U42" s="706">
        <f t="shared" si="13"/>
        <v>100</v>
      </c>
      <c r="V42" s="705" t="s">
        <v>18</v>
      </c>
      <c r="W42" s="706">
        <f t="shared" si="14"/>
        <v>100</v>
      </c>
      <c r="X42" s="1354"/>
      <c r="Y42" s="3734"/>
      <c r="Z42" s="1355" t="str">
        <f t="shared" si="18"/>
        <v>内部装修</v>
      </c>
      <c r="AA42" s="1352">
        <f t="shared" si="15"/>
        <v>1</v>
      </c>
      <c r="AB42" s="1352">
        <f t="shared" si="16"/>
        <v>1</v>
      </c>
      <c r="AC42" s="1352">
        <f t="shared" si="17"/>
        <v>1</v>
      </c>
    </row>
    <row r="43" spans="1:29" ht="15">
      <c r="A43" s="423"/>
      <c r="B43" s="375" t="s">
        <v>1707</v>
      </c>
      <c r="C43" s="1904" t="s">
        <v>3441</v>
      </c>
      <c r="D43" s="386">
        <v>100</v>
      </c>
      <c r="E43" s="1904" t="s">
        <v>3441</v>
      </c>
      <c r="F43" s="412">
        <f>SUMIF(124:124,E43,125:125)-SUMIF(124:124,C43,125:125)+100</f>
        <v>100</v>
      </c>
      <c r="G43" s="1904" t="s">
        <v>3441</v>
      </c>
      <c r="H43" s="386">
        <f>SUMIF(124:124,G43,125:125)-SUMIF(124:124,C43,125:125)+100</f>
        <v>100</v>
      </c>
      <c r="I43" s="1904" t="s">
        <v>3441</v>
      </c>
      <c r="J43" s="386">
        <f>SUMIF(124:124,I43,125:125)-SUMIF(124:124,C43,125:125)+100</f>
        <v>100</v>
      </c>
      <c r="K43" s="377"/>
      <c r="L43" s="2717"/>
      <c r="M43" s="2711"/>
      <c r="N43" s="2711"/>
      <c r="O43" s="2711"/>
      <c r="P43" s="3732"/>
      <c r="Q43" s="1351" t="str">
        <f t="shared" si="11"/>
        <v>内部装修维护情况</v>
      </c>
      <c r="R43" s="705" t="s">
        <v>18</v>
      </c>
      <c r="S43" s="706">
        <f t="shared" si="12"/>
        <v>100</v>
      </c>
      <c r="T43" s="705" t="s">
        <v>18</v>
      </c>
      <c r="U43" s="706">
        <f t="shared" si="13"/>
        <v>100</v>
      </c>
      <c r="V43" s="705" t="s">
        <v>18</v>
      </c>
      <c r="W43" s="706">
        <f t="shared" si="14"/>
        <v>100</v>
      </c>
      <c r="X43" s="1354"/>
      <c r="Y43" s="3734"/>
      <c r="Z43" s="1355" t="str">
        <f t="shared" si="18"/>
        <v>内部装修维护情况</v>
      </c>
      <c r="AA43" s="1352">
        <f t="shared" si="15"/>
        <v>1</v>
      </c>
      <c r="AB43" s="1352">
        <f t="shared" si="16"/>
        <v>1</v>
      </c>
      <c r="AC43" s="1352">
        <f t="shared" si="17"/>
        <v>1</v>
      </c>
    </row>
    <row r="44" spans="1:29" s="108" customFormat="1" ht="15">
      <c r="A44" s="424"/>
      <c r="B44" s="3466"/>
      <c r="C44" s="3464"/>
      <c r="D44" s="127">
        <v>100</v>
      </c>
      <c r="E44" s="3464"/>
      <c r="F44" s="376">
        <f>SUMIF(126:126,E44,127:127)-SUMIF(126:126,C44,127:127)+100</f>
        <v>100</v>
      </c>
      <c r="G44" s="3464"/>
      <c r="H44" s="127">
        <f>SUMIF(126:126,G44,127:127)-SUMIF(126:126,C44,127:127)+100</f>
        <v>100</v>
      </c>
      <c r="I44" s="3464"/>
      <c r="J44" s="127">
        <f>SUMIF(126:126,I44,127:127)-SUMIF(126:126,C44,127:127)+100</f>
        <v>100</v>
      </c>
      <c r="K44" s="1892"/>
      <c r="L44" s="2712"/>
      <c r="M44" s="2713"/>
      <c r="N44" s="2713"/>
      <c r="O44" s="2713"/>
      <c r="P44" s="3732"/>
      <c r="Q44" s="1342">
        <f t="shared" si="11"/>
        <v>0</v>
      </c>
      <c r="R44" s="701" t="s">
        <v>18</v>
      </c>
      <c r="S44" s="702">
        <f t="shared" si="12"/>
        <v>100</v>
      </c>
      <c r="T44" s="701" t="s">
        <v>18</v>
      </c>
      <c r="U44" s="702">
        <f t="shared" si="13"/>
        <v>100</v>
      </c>
      <c r="V44" s="701" t="s">
        <v>18</v>
      </c>
      <c r="W44" s="702">
        <f t="shared" si="14"/>
        <v>100</v>
      </c>
      <c r="X44" s="703"/>
      <c r="Y44" s="3734"/>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32"/>
      <c r="Q45" s="1351">
        <f t="shared" si="11"/>
        <v>111</v>
      </c>
      <c r="R45" s="705" t="s">
        <v>18</v>
      </c>
      <c r="S45" s="706">
        <f t="shared" si="12"/>
        <v>100</v>
      </c>
      <c r="T45" s="705" t="s">
        <v>18</v>
      </c>
      <c r="U45" s="706">
        <f t="shared" si="13"/>
        <v>100</v>
      </c>
      <c r="V45" s="705" t="s">
        <v>18</v>
      </c>
      <c r="W45" s="706">
        <f t="shared" si="14"/>
        <v>100</v>
      </c>
      <c r="X45" s="1354"/>
      <c r="Y45" s="3734"/>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33"/>
      <c r="Q46" s="1351">
        <f t="shared" si="11"/>
        <v>111</v>
      </c>
      <c r="R46" s="705" t="s">
        <v>17</v>
      </c>
      <c r="S46" s="706">
        <f t="shared" si="12"/>
        <v>100</v>
      </c>
      <c r="T46" s="705" t="s">
        <v>17</v>
      </c>
      <c r="U46" s="706">
        <f t="shared" si="13"/>
        <v>100</v>
      </c>
      <c r="V46" s="705" t="s">
        <v>17</v>
      </c>
      <c r="W46" s="706">
        <f t="shared" si="14"/>
        <v>100</v>
      </c>
      <c r="X46" s="1354"/>
      <c r="Y46" s="3735"/>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19"/>
      <c r="M47" s="2720"/>
      <c r="N47" s="2711"/>
      <c r="O47" s="2720"/>
      <c r="P47" s="3727" t="str">
        <f>A47</f>
        <v>成交单价（元/平方米）</v>
      </c>
      <c r="Q47" s="3727"/>
      <c r="R47" s="3728">
        <f>E47</f>
        <v>93527</v>
      </c>
      <c r="S47" s="3728"/>
      <c r="T47" s="3728">
        <f>G47</f>
        <v>84970</v>
      </c>
      <c r="U47" s="3728"/>
      <c r="V47" s="3728">
        <f>I47</f>
        <v>93988</v>
      </c>
      <c r="W47" s="3728"/>
      <c r="X47" s="690"/>
      <c r="Y47" s="712"/>
      <c r="Z47" s="690"/>
      <c r="AA47" s="690"/>
      <c r="AB47" s="690"/>
      <c r="AC47" s="690"/>
    </row>
    <row r="48" spans="1:29" ht="15.75" thickBot="1">
      <c r="A48" s="437" t="s">
        <v>1709</v>
      </c>
      <c r="B48" s="438"/>
      <c r="C48" s="1160">
        <f>R49</f>
        <v>110116</v>
      </c>
      <c r="D48" s="2313" t="s">
        <v>2138</v>
      </c>
      <c r="E48" s="1161">
        <f>R48</f>
        <v>111928</v>
      </c>
      <c r="F48" s="2314"/>
      <c r="G48" s="1160">
        <f>T48</f>
        <v>106502</v>
      </c>
      <c r="H48" s="2314"/>
      <c r="I48" s="1161">
        <f>V48</f>
        <v>111917</v>
      </c>
      <c r="J48" s="2314"/>
      <c r="K48" s="2315">
        <f>F48+H48+J48</f>
        <v>0</v>
      </c>
      <c r="L48" s="2719"/>
      <c r="M48" s="2720"/>
      <c r="N48" s="2720"/>
      <c r="O48" s="2720"/>
      <c r="P48" s="3727" t="str">
        <f>A48</f>
        <v>比较价值（元/平方米）</v>
      </c>
      <c r="Q48" s="3727"/>
      <c r="R48" s="3728">
        <f>IF(F1="售价",ROUND(PRODUCT(R47,AA7:AA46),0),ROUND(PRODUCT(R47,AA7:AA46),1))</f>
        <v>111928</v>
      </c>
      <c r="S48" s="3728"/>
      <c r="T48" s="3728">
        <f>IF(F1="售价",ROUND(PRODUCT(T47,AB7:AB46),0),ROUND(PRODUCT(T47,AB7:AB46),1))</f>
        <v>106502</v>
      </c>
      <c r="U48" s="3728"/>
      <c r="V48" s="3728">
        <f>IF(F1="售价",ROUND(PRODUCT(V47,AC7:AC46),0),ROUND(PRODUCT(V47,AC7:AC46),1))</f>
        <v>111917</v>
      </c>
      <c r="W48" s="3728"/>
      <c r="X48" s="690"/>
      <c r="Y48" s="690"/>
      <c r="Z48" s="690"/>
      <c r="AA48" s="690"/>
      <c r="AB48" s="690"/>
      <c r="AC48" s="690"/>
    </row>
    <row r="49" spans="1:29" ht="15.75" thickBot="1">
      <c r="A49" s="441" t="s">
        <v>1710</v>
      </c>
      <c r="B49" s="442"/>
      <c r="C49" s="1162">
        <f>R49</f>
        <v>110116</v>
      </c>
      <c r="D49" s="1163"/>
      <c r="E49" s="1163"/>
      <c r="F49" s="1163"/>
      <c r="G49" s="1163"/>
      <c r="H49" s="1163"/>
      <c r="I49" s="1163"/>
      <c r="J49" s="1163"/>
      <c r="K49" s="1911"/>
      <c r="L49" s="2719"/>
      <c r="M49" s="2720"/>
      <c r="N49" s="2720"/>
      <c r="O49" s="2720"/>
      <c r="P49" s="3724" t="str">
        <f>A49</f>
        <v>估价对象XX用房的比较价值（楼面单价，元/平方米）</v>
      </c>
      <c r="Q49" s="3725"/>
      <c r="R49" s="3726">
        <f>IF(F1="售价",ROUND(IF(D48="简单平均",AVERAGE(R48:V48),R48*F48+T48*H48+V48*J48),0),ROUND(IF(D48="简单平均",AVERAGE(R48:V48),R48*F48+T48*H48+V48*J48),1))</f>
        <v>110116</v>
      </c>
      <c r="S49" s="3726"/>
      <c r="T49" s="3726"/>
      <c r="U49" s="3726"/>
      <c r="V49" s="3726"/>
      <c r="W49" s="372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0.19674532487944663</v>
      </c>
      <c r="F52" s="449" t="str">
        <f>IF(OR(E52&gt;=0.3,E52&lt;=-0.3),"超过30%","")</f>
        <v/>
      </c>
      <c r="G52" s="448">
        <f>IF(G47&lt;G48,G48/G47-1,G47/G48-1)</f>
        <v>0.25340708485347774</v>
      </c>
      <c r="H52" s="449" t="str">
        <f>IF(OR(G52&gt;=0.3,G52&lt;=-0.3),"超过30%","")</f>
        <v/>
      </c>
      <c r="I52" s="448">
        <f>IF(I47&lt;I48,I48/I47-1,I47/I48-1)</f>
        <v>0.19075839468868372</v>
      </c>
      <c r="J52" s="449" t="str">
        <f>IF(OR(I52&gt;=0.3,I52&lt;=-0.3),"超过30%","")</f>
        <v/>
      </c>
      <c r="K52" s="2725"/>
      <c r="L52" s="2721"/>
      <c r="M52" s="2720"/>
      <c r="N52" s="2720"/>
      <c r="O52" s="2720"/>
    </row>
    <row r="53" spans="1:29" ht="13.5" customHeight="1">
      <c r="A53" s="2720"/>
      <c r="B53" s="2720"/>
      <c r="C53" s="446" t="s">
        <v>1712</v>
      </c>
      <c r="D53" s="450"/>
      <c r="E53" s="448">
        <f>IF(E48&lt;G48,G48/E48-1,E48/G48-1)</f>
        <v>5.0947400048825475E-2</v>
      </c>
      <c r="F53" s="449" t="str">
        <f>IF(OR(E53&gt;=0.2,E53&lt;=-0.2),"超过20%","")</f>
        <v/>
      </c>
      <c r="G53" s="448">
        <f>IF(G48&lt;I48,I48/G48-1,G48/I48-1)</f>
        <v>5.0844115603462914E-2</v>
      </c>
      <c r="H53" s="449" t="str">
        <f>IF(OR(G53&gt;=0.2,G53&lt;=-0.2),"超过20%","")</f>
        <v/>
      </c>
      <c r="I53" s="448">
        <f>IF(I48&lt;E48,E48/I48-1,I48/E48-1)</f>
        <v>9.8287123493356887E-5</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3">
        <f t="shared" ref="P58" si="20">EDATE(O58,-1)</f>
        <v>44440</v>
      </c>
      <c r="Q58" s="3463">
        <f t="shared" ref="Q58" si="21">EDATE(P58,-1)</f>
        <v>44409</v>
      </c>
      <c r="R58" s="3463">
        <f t="shared" ref="R58" si="22">EDATE(Q58,-1)</f>
        <v>44378</v>
      </c>
      <c r="S58" s="3463">
        <f t="shared" ref="S58" si="23">EDATE(R58,-1)</f>
        <v>44348</v>
      </c>
      <c r="T58" s="3463">
        <f t="shared" ref="T58" si="24">EDATE(S58,-1)</f>
        <v>44317</v>
      </c>
      <c r="U58" s="3463">
        <f t="shared" ref="U58" si="25">EDATE(T58,-1)</f>
        <v>44287</v>
      </c>
      <c r="V58" s="3463">
        <f t="shared" ref="V58" si="26">EDATE(U58,-1)</f>
        <v>44256</v>
      </c>
      <c r="W58" s="3463">
        <f t="shared" ref="W58" si="27">EDATE(V58,-1)</f>
        <v>44228</v>
      </c>
      <c r="X58" s="3463">
        <f t="shared" ref="X58" si="28">EDATE(W58,-1)</f>
        <v>44197</v>
      </c>
      <c r="Y58" s="3463">
        <f t="shared" ref="Y58" si="29">EDATE(X58,-1)</f>
        <v>44166</v>
      </c>
      <c r="Z58" s="3463">
        <f t="shared" ref="Z58" si="30">EDATE(Y58,-1)</f>
        <v>44136</v>
      </c>
      <c r="AA58" s="3463">
        <f t="shared" ref="AA58" si="31">EDATE(Z58,-1)</f>
        <v>44105</v>
      </c>
      <c r="AB58" s="3463">
        <f t="shared" ref="AB58" si="32">EDATE(AA58,-1)</f>
        <v>44075</v>
      </c>
    </row>
    <row r="59" spans="1:29" s="108" customFormat="1" ht="15">
      <c r="A59" s="458"/>
      <c r="B59" s="1915"/>
      <c r="C59" s="1182">
        <v>100</v>
      </c>
      <c r="D59" s="460">
        <v>100</v>
      </c>
      <c r="E59" s="461">
        <v>100</v>
      </c>
      <c r="F59" s="461">
        <v>100</v>
      </c>
      <c r="G59" s="461">
        <v>99.8</v>
      </c>
      <c r="H59" s="461">
        <v>99.8</v>
      </c>
      <c r="I59" s="461">
        <v>99.8</v>
      </c>
      <c r="J59" s="461">
        <v>99.6</v>
      </c>
      <c r="K59" s="461">
        <v>99.6</v>
      </c>
      <c r="L59" s="461">
        <v>99.6</v>
      </c>
      <c r="M59" s="462">
        <v>99.4</v>
      </c>
      <c r="N59" s="461">
        <v>99.4</v>
      </c>
      <c r="O59" s="462">
        <v>99.4</v>
      </c>
      <c r="P59" s="462">
        <v>99.2</v>
      </c>
      <c r="Q59" s="462">
        <v>99.2</v>
      </c>
      <c r="R59" s="462">
        <v>99.2</v>
      </c>
      <c r="S59" s="462">
        <v>99</v>
      </c>
      <c r="T59" s="462">
        <v>99</v>
      </c>
      <c r="U59" s="462">
        <v>99</v>
      </c>
      <c r="V59" s="462">
        <v>98.8</v>
      </c>
      <c r="W59" s="462">
        <v>98.8</v>
      </c>
      <c r="X59" s="462">
        <v>98.8</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t="str">
        <f>B12</f>
        <v>是否赠送地下面积</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1" t="s">
        <v>3499</v>
      </c>
      <c r="D88" s="3461" t="s">
        <v>3501</v>
      </c>
      <c r="E88" s="3461" t="s">
        <v>3502</v>
      </c>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t="str">
        <f>B27</f>
        <v>景观</v>
      </c>
      <c r="C90" s="3476" t="s">
        <v>3497</v>
      </c>
      <c r="D90" s="3461" t="s">
        <v>3488</v>
      </c>
      <c r="E90" s="503"/>
      <c r="F90" s="503"/>
      <c r="G90" s="503"/>
      <c r="H90" s="504"/>
      <c r="I90" s="504"/>
      <c r="J90" s="504"/>
      <c r="K90" s="504"/>
      <c r="L90" s="505"/>
      <c r="M90" s="506"/>
      <c r="N90" s="935"/>
      <c r="O90" s="935"/>
      <c r="P90" s="1919"/>
      <c r="Q90" s="508"/>
    </row>
    <row r="91" spans="1:17" s="422" customFormat="1" ht="15.75" thickBot="1">
      <c r="A91" s="502"/>
      <c r="B91" s="492"/>
      <c r="C91" s="509">
        <v>100</v>
      </c>
      <c r="D91" s="509">
        <v>85</v>
      </c>
      <c r="E91" s="509"/>
      <c r="F91" s="509"/>
      <c r="G91" s="509"/>
      <c r="H91" s="511"/>
      <c r="I91" s="511"/>
      <c r="J91" s="511"/>
      <c r="K91" s="511"/>
      <c r="L91" s="511"/>
      <c r="M91" s="512"/>
      <c r="N91" s="935"/>
      <c r="O91" s="935"/>
      <c r="P91" s="1919"/>
      <c r="Q91" s="508"/>
    </row>
    <row r="92" spans="1:17" ht="15.75" thickTop="1">
      <c r="A92" s="483"/>
      <c r="B92" s="487" t="str">
        <f>B28</f>
        <v>朝向</v>
      </c>
      <c r="C92" s="3461" t="s">
        <v>3504</v>
      </c>
      <c r="D92" s="3461" t="s">
        <v>3501</v>
      </c>
      <c r="E92" s="3461" t="s">
        <v>3502</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0" t="s">
        <v>3447</v>
      </c>
      <c r="D100" s="3460" t="s">
        <v>3473</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95</v>
      </c>
      <c r="E101" s="493">
        <f t="shared" si="38"/>
        <v>90</v>
      </c>
      <c r="F101" s="493">
        <f t="shared" si="38"/>
        <v>85</v>
      </c>
      <c r="G101" s="493">
        <f t="shared" si="38"/>
        <v>80</v>
      </c>
      <c r="H101" s="493">
        <f t="shared" si="38"/>
        <v>75</v>
      </c>
      <c r="I101" s="493">
        <f t="shared" si="38"/>
        <v>70</v>
      </c>
      <c r="J101" s="493">
        <f t="shared" si="38"/>
        <v>65</v>
      </c>
      <c r="K101" s="493">
        <f t="shared" si="38"/>
        <v>60</v>
      </c>
      <c r="L101" s="493">
        <f t="shared" si="38"/>
        <v>55</v>
      </c>
      <c r="M101" s="493">
        <f t="shared" si="38"/>
        <v>50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1" t="s">
        <v>3448</v>
      </c>
      <c r="D105" s="3461" t="s">
        <v>3482</v>
      </c>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2" t="s">
        <v>3450</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1" t="s">
        <v>3452</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1" t="s">
        <v>3454</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1" t="s">
        <v>3456</v>
      </c>
      <c r="D116" s="3461" t="s">
        <v>3506</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1" t="s">
        <v>3452</v>
      </c>
      <c r="D122" s="3461" t="s">
        <v>3463</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0</v>
      </c>
      <c r="C126" s="3461" t="s">
        <v>3459</v>
      </c>
      <c r="D126" s="3461" t="s">
        <v>3460</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85</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0" t="s">
        <v>1770</v>
      </c>
      <c r="D4" s="3711"/>
      <c r="E4" s="3712" t="s">
        <v>1771</v>
      </c>
      <c r="F4" s="3713"/>
      <c r="G4" s="3710" t="s">
        <v>1772</v>
      </c>
      <c r="H4" s="3711"/>
      <c r="I4" s="3710" t="s">
        <v>1773</v>
      </c>
      <c r="J4" s="3711"/>
      <c r="K4" s="559" t="s">
        <v>1774</v>
      </c>
      <c r="L4" s="2710"/>
      <c r="M4" s="2711"/>
      <c r="N4" s="2711"/>
      <c r="O4" s="2711"/>
      <c r="P4" s="3714" t="s">
        <v>1775</v>
      </c>
      <c r="Q4" s="3715"/>
      <c r="R4" s="3696" t="s">
        <v>1771</v>
      </c>
      <c r="S4" s="3697"/>
      <c r="T4" s="3696" t="s">
        <v>1772</v>
      </c>
      <c r="U4" s="3697"/>
      <c r="V4" s="3722" t="s">
        <v>1773</v>
      </c>
      <c r="W4" s="3722"/>
      <c r="X4" s="1354"/>
      <c r="Y4" s="3696" t="s">
        <v>1775</v>
      </c>
      <c r="Z4" s="3697"/>
      <c r="AA4" s="3691" t="s">
        <v>1771</v>
      </c>
      <c r="AB4" s="3722" t="s">
        <v>1772</v>
      </c>
      <c r="AC4" s="3691" t="s">
        <v>1773</v>
      </c>
    </row>
    <row r="5" spans="1:29" ht="15">
      <c r="A5" s="358"/>
      <c r="B5" s="359"/>
      <c r="C5" s="3706" t="s">
        <v>1673</v>
      </c>
      <c r="D5" s="3703"/>
      <c r="E5" s="3700" t="s">
        <v>1674</v>
      </c>
      <c r="F5" s="3701"/>
      <c r="G5" s="3706" t="s">
        <v>1675</v>
      </c>
      <c r="H5" s="3703"/>
      <c r="I5" s="3706" t="s">
        <v>1676</v>
      </c>
      <c r="J5" s="3703"/>
      <c r="K5" s="559"/>
      <c r="L5" s="2710"/>
      <c r="M5" s="2711"/>
      <c r="N5" s="2711"/>
      <c r="O5" s="2711"/>
      <c r="P5" s="3716"/>
      <c r="Q5" s="3717"/>
      <c r="R5" s="3698"/>
      <c r="S5" s="3699"/>
      <c r="T5" s="3698"/>
      <c r="U5" s="3699"/>
      <c r="V5" s="3722"/>
      <c r="W5" s="3722"/>
      <c r="X5" s="1354"/>
      <c r="Y5" s="3698"/>
      <c r="Z5" s="3699"/>
      <c r="AA5" s="3692"/>
      <c r="AB5" s="3722"/>
      <c r="AC5" s="369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18"/>
      <c r="Q6" s="3719"/>
      <c r="R6" s="3698"/>
      <c r="S6" s="3699"/>
      <c r="T6" s="3720"/>
      <c r="U6" s="3721"/>
      <c r="V6" s="3722"/>
      <c r="W6" s="3722"/>
      <c r="X6" s="1354"/>
      <c r="Y6" s="3720"/>
      <c r="Z6" s="3721"/>
      <c r="AA6" s="3693"/>
      <c r="AB6" s="3722"/>
      <c r="AC6" s="3693"/>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4" t="s">
        <v>1680</v>
      </c>
      <c r="Q7" s="3723"/>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9"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9"/>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9"/>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9"/>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9"/>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6" t="s">
        <v>1691</v>
      </c>
      <c r="Q15" s="1351" t="str">
        <f t="shared" si="6"/>
        <v>商业繁华度</v>
      </c>
      <c r="R15" s="705" t="s">
        <v>14</v>
      </c>
      <c r="S15" s="706">
        <f t="shared" si="0"/>
        <v>100</v>
      </c>
      <c r="T15" s="705" t="s">
        <v>14</v>
      </c>
      <c r="U15" s="706">
        <f t="shared" si="1"/>
        <v>100</v>
      </c>
      <c r="V15" s="705" t="s">
        <v>14</v>
      </c>
      <c r="W15" s="706">
        <f t="shared" si="2"/>
        <v>100</v>
      </c>
      <c r="X15" s="1354"/>
      <c r="Y15" s="372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37"/>
      <c r="Q16" s="1351"/>
      <c r="R16" s="705"/>
      <c r="S16" s="706"/>
      <c r="T16" s="705"/>
      <c r="U16" s="706"/>
      <c r="V16" s="705"/>
      <c r="W16" s="706"/>
      <c r="X16" s="1354"/>
      <c r="Y16" s="3730"/>
      <c r="Z16" s="1355"/>
      <c r="AA16" s="1352">
        <v>1</v>
      </c>
      <c r="AB16" s="1352">
        <v>1</v>
      </c>
      <c r="AC16" s="1352">
        <v>1</v>
      </c>
    </row>
    <row r="17" spans="1:29" ht="71.25">
      <c r="A17" s="379"/>
      <c r="B17" s="402" t="s">
        <v>1259</v>
      </c>
      <c r="C17" s="1898" t="str">
        <f>估价对象房地状况!C6</f>
        <v>周边有专89路、307路、315路、 407路、606路等多条公交线路，交通便捷度一般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7"/>
      <c r="Q17" s="1351" t="str">
        <f>B17</f>
        <v>交通便捷度</v>
      </c>
      <c r="R17" s="705" t="s">
        <v>14</v>
      </c>
      <c r="S17" s="706">
        <f>F17</f>
        <v>100</v>
      </c>
      <c r="T17" s="705" t="s">
        <v>14</v>
      </c>
      <c r="U17" s="706">
        <f>H17</f>
        <v>100</v>
      </c>
      <c r="V17" s="705" t="s">
        <v>14</v>
      </c>
      <c r="W17" s="706">
        <f>J17</f>
        <v>100</v>
      </c>
      <c r="X17" s="1354"/>
      <c r="Y17" s="373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37"/>
      <c r="Q18" s="1351"/>
      <c r="R18" s="705"/>
      <c r="S18" s="706"/>
      <c r="T18" s="705"/>
      <c r="U18" s="706"/>
      <c r="V18" s="705"/>
      <c r="W18" s="706"/>
      <c r="X18" s="1354"/>
      <c r="Y18" s="3730"/>
      <c r="Z18" s="1355"/>
      <c r="AA18" s="1352">
        <v>1</v>
      </c>
      <c r="AB18" s="1352">
        <v>1</v>
      </c>
      <c r="AC18" s="1352">
        <v>1</v>
      </c>
    </row>
    <row r="19" spans="1:29" ht="285">
      <c r="A19" s="379"/>
      <c r="B19" s="402" t="s">
        <v>1778</v>
      </c>
      <c r="C19" s="1898"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7"/>
      <c r="Q19" s="1351" t="str">
        <f>B19</f>
        <v>公共配套设施</v>
      </c>
      <c r="R19" s="705" t="s">
        <v>14</v>
      </c>
      <c r="S19" s="706">
        <f>F19</f>
        <v>100</v>
      </c>
      <c r="T19" s="705" t="s">
        <v>14</v>
      </c>
      <c r="U19" s="706">
        <f>H19</f>
        <v>100</v>
      </c>
      <c r="V19" s="705" t="s">
        <v>14</v>
      </c>
      <c r="W19" s="706">
        <f>J19</f>
        <v>100</v>
      </c>
      <c r="X19" s="1354"/>
      <c r="Y19" s="373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37"/>
      <c r="Q20" s="1351"/>
      <c r="R20" s="705"/>
      <c r="S20" s="706"/>
      <c r="T20" s="705"/>
      <c r="U20" s="706"/>
      <c r="V20" s="705"/>
      <c r="W20" s="706"/>
      <c r="X20" s="1354"/>
      <c r="Y20" s="3730"/>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7"/>
      <c r="Q21" s="1351" t="str">
        <f>B21</f>
        <v>基础设施水平</v>
      </c>
      <c r="R21" s="705" t="s">
        <v>14</v>
      </c>
      <c r="S21" s="706">
        <f>F21</f>
        <v>100</v>
      </c>
      <c r="T21" s="705" t="s">
        <v>14</v>
      </c>
      <c r="U21" s="706">
        <f>H21</f>
        <v>100</v>
      </c>
      <c r="V21" s="705" t="s">
        <v>14</v>
      </c>
      <c r="W21" s="706">
        <f>J21</f>
        <v>100</v>
      </c>
      <c r="X21" s="1354"/>
      <c r="Y21" s="373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37"/>
      <c r="Q22" s="1351"/>
      <c r="R22" s="705"/>
      <c r="S22" s="706"/>
      <c r="T22" s="705"/>
      <c r="U22" s="706"/>
      <c r="V22" s="705"/>
      <c r="W22" s="706"/>
      <c r="X22" s="1354"/>
      <c r="Y22" s="3730"/>
      <c r="Z22" s="1355"/>
      <c r="AA22" s="1352">
        <v>1</v>
      </c>
      <c r="AB22" s="1352">
        <v>1</v>
      </c>
      <c r="AC22" s="1352">
        <v>1</v>
      </c>
    </row>
    <row r="23" spans="1:29" ht="57">
      <c r="A23" s="379"/>
      <c r="B23" s="402" t="s">
        <v>1261</v>
      </c>
      <c r="C23" s="1951" t="str">
        <f>估价对象房地状况!C9</f>
        <v>区域自然环境：西小口公园；人文环境；综合评价环境状况较好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7"/>
      <c r="Q23" s="1351" t="str">
        <f>B23</f>
        <v>自然及人文环境</v>
      </c>
      <c r="R23" s="705" t="s">
        <v>14</v>
      </c>
      <c r="S23" s="706">
        <f>F23</f>
        <v>100</v>
      </c>
      <c r="T23" s="705" t="s">
        <v>14</v>
      </c>
      <c r="U23" s="706">
        <f>H23</f>
        <v>100</v>
      </c>
      <c r="V23" s="705" t="s">
        <v>14</v>
      </c>
      <c r="W23" s="706">
        <f>J23</f>
        <v>100</v>
      </c>
      <c r="X23" s="1354"/>
      <c r="Y23" s="3730"/>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37"/>
      <c r="Q24" s="1351"/>
      <c r="R24" s="705"/>
      <c r="S24" s="706"/>
      <c r="T24" s="705"/>
      <c r="U24" s="706"/>
      <c r="V24" s="705"/>
      <c r="W24" s="706"/>
      <c r="X24" s="1354"/>
      <c r="Y24" s="373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7"/>
      <c r="Q25" s="1351" t="str">
        <f t="shared" ref="Q25:Q46" si="11">B25</f>
        <v>临街状况</v>
      </c>
      <c r="R25" s="705" t="s">
        <v>14</v>
      </c>
      <c r="S25" s="706">
        <f>F25</f>
        <v>100</v>
      </c>
      <c r="T25" s="705" t="s">
        <v>14</v>
      </c>
      <c r="U25" s="706">
        <f>H25</f>
        <v>100</v>
      </c>
      <c r="V25" s="705" t="s">
        <v>14</v>
      </c>
      <c r="W25" s="706">
        <f>J25</f>
        <v>100</v>
      </c>
      <c r="X25" s="1354"/>
      <c r="Y25" s="373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7"/>
      <c r="Q26" s="1351" t="str">
        <f t="shared" si="11"/>
        <v>平面位置/可视性</v>
      </c>
      <c r="R26" s="705" t="s">
        <v>14</v>
      </c>
      <c r="S26" s="706">
        <f>F26</f>
        <v>100</v>
      </c>
      <c r="T26" s="705" t="s">
        <v>14</v>
      </c>
      <c r="U26" s="706">
        <f>H26</f>
        <v>100</v>
      </c>
      <c r="V26" s="705" t="s">
        <v>14</v>
      </c>
      <c r="W26" s="706">
        <f>J26</f>
        <v>100</v>
      </c>
      <c r="X26" s="1354"/>
      <c r="Y26" s="3730"/>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37"/>
      <c r="Q27" s="1342" t="str">
        <f t="shared" si="11"/>
        <v>人流量</v>
      </c>
      <c r="R27" s="701" t="s">
        <v>14</v>
      </c>
      <c r="S27" s="702">
        <f>F27</f>
        <v>100</v>
      </c>
      <c r="T27" s="701" t="s">
        <v>14</v>
      </c>
      <c r="U27" s="702">
        <f>H27</f>
        <v>100</v>
      </c>
      <c r="V27" s="701" t="s">
        <v>14</v>
      </c>
      <c r="W27" s="702">
        <f>J27</f>
        <v>100</v>
      </c>
      <c r="X27" s="703"/>
      <c r="Y27" s="373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7"/>
      <c r="Q29" s="1351">
        <f t="shared" si="11"/>
        <v>111</v>
      </c>
      <c r="R29" s="705" t="s">
        <v>14</v>
      </c>
      <c r="S29" s="706">
        <f t="shared" si="12"/>
        <v>100</v>
      </c>
      <c r="T29" s="705" t="s">
        <v>14</v>
      </c>
      <c r="U29" s="706">
        <f t="shared" si="13"/>
        <v>100</v>
      </c>
      <c r="V29" s="705" t="s">
        <v>14</v>
      </c>
      <c r="W29" s="706">
        <f t="shared" si="14"/>
        <v>100</v>
      </c>
      <c r="X29" s="1354"/>
      <c r="Y29" s="373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7"/>
      <c r="Q30" s="1351">
        <f t="shared" si="11"/>
        <v>111</v>
      </c>
      <c r="R30" s="705" t="s">
        <v>14</v>
      </c>
      <c r="S30" s="706">
        <f t="shared" si="12"/>
        <v>100</v>
      </c>
      <c r="T30" s="705" t="s">
        <v>14</v>
      </c>
      <c r="U30" s="706">
        <f t="shared" si="13"/>
        <v>100</v>
      </c>
      <c r="V30" s="705" t="s">
        <v>14</v>
      </c>
      <c r="W30" s="706">
        <f t="shared" si="14"/>
        <v>100</v>
      </c>
      <c r="X30" s="1354"/>
      <c r="Y30" s="373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7"/>
      <c r="Q31" s="1351">
        <f t="shared" si="11"/>
        <v>111</v>
      </c>
      <c r="R31" s="705" t="s">
        <v>14</v>
      </c>
      <c r="S31" s="706">
        <f t="shared" si="12"/>
        <v>100</v>
      </c>
      <c r="T31" s="705" t="s">
        <v>14</v>
      </c>
      <c r="U31" s="706">
        <f t="shared" si="13"/>
        <v>100</v>
      </c>
      <c r="V31" s="705" t="s">
        <v>14</v>
      </c>
      <c r="W31" s="706">
        <f t="shared" si="14"/>
        <v>100</v>
      </c>
      <c r="X31" s="1354"/>
      <c r="Y31" s="3730"/>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31" t="s">
        <v>1696</v>
      </c>
      <c r="Q32" s="1351" t="str">
        <f t="shared" si="11"/>
        <v>商业类型</v>
      </c>
      <c r="R32" s="705" t="s">
        <v>14</v>
      </c>
      <c r="S32" s="706">
        <f t="shared" si="12"/>
        <v>100</v>
      </c>
      <c r="T32" s="705" t="s">
        <v>14</v>
      </c>
      <c r="U32" s="706">
        <f t="shared" si="13"/>
        <v>100</v>
      </c>
      <c r="V32" s="705" t="s">
        <v>14</v>
      </c>
      <c r="W32" s="706">
        <f t="shared" si="14"/>
        <v>100</v>
      </c>
      <c r="X32" s="1354"/>
      <c r="Y32" s="373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32"/>
      <c r="Q34" s="1351" t="str">
        <f t="shared" si="11"/>
        <v>建筑结构</v>
      </c>
      <c r="R34" s="705" t="s">
        <v>14</v>
      </c>
      <c r="S34" s="706">
        <f t="shared" si="12"/>
        <v>100</v>
      </c>
      <c r="T34" s="705" t="s">
        <v>14</v>
      </c>
      <c r="U34" s="706">
        <f t="shared" si="13"/>
        <v>100</v>
      </c>
      <c r="V34" s="705" t="s">
        <v>14</v>
      </c>
      <c r="W34" s="706">
        <f t="shared" si="14"/>
        <v>100</v>
      </c>
      <c r="X34" s="1354"/>
      <c r="Y34" s="3734"/>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32"/>
      <c r="Q35" s="1351" t="str">
        <f t="shared" si="11"/>
        <v>公共部分装修</v>
      </c>
      <c r="R35" s="705" t="s">
        <v>14</v>
      </c>
      <c r="S35" s="706">
        <f t="shared" si="12"/>
        <v>100</v>
      </c>
      <c r="T35" s="705" t="s">
        <v>14</v>
      </c>
      <c r="U35" s="706">
        <f t="shared" si="13"/>
        <v>100</v>
      </c>
      <c r="V35" s="705" t="s">
        <v>14</v>
      </c>
      <c r="W35" s="706">
        <f t="shared" si="14"/>
        <v>100</v>
      </c>
      <c r="X35" s="1354"/>
      <c r="Y35" s="373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2"/>
      <c r="Q36" s="1351" t="str">
        <f t="shared" si="11"/>
        <v>成新度</v>
      </c>
      <c r="R36" s="705" t="s">
        <v>14</v>
      </c>
      <c r="S36" s="706" t="e">
        <f t="shared" si="12"/>
        <v>#N/A</v>
      </c>
      <c r="T36" s="705" t="s">
        <v>14</v>
      </c>
      <c r="U36" s="706" t="e">
        <f t="shared" si="13"/>
        <v>#N/A</v>
      </c>
      <c r="V36" s="705" t="s">
        <v>14</v>
      </c>
      <c r="W36" s="706" t="e">
        <f t="shared" si="14"/>
        <v>#N/A</v>
      </c>
      <c r="X36" s="1354"/>
      <c r="Y36" s="3734"/>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32"/>
      <c r="Q37" s="1342"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32" t="s">
        <v>1696</v>
      </c>
      <c r="Q38" s="1351" t="str">
        <f t="shared" si="11"/>
        <v>业态</v>
      </c>
      <c r="R38" s="705" t="s">
        <v>14</v>
      </c>
      <c r="S38" s="706">
        <f t="shared" si="12"/>
        <v>100</v>
      </c>
      <c r="T38" s="705" t="s">
        <v>14</v>
      </c>
      <c r="U38" s="706">
        <f t="shared" si="13"/>
        <v>100</v>
      </c>
      <c r="V38" s="705" t="s">
        <v>14</v>
      </c>
      <c r="W38" s="706">
        <f t="shared" si="14"/>
        <v>100</v>
      </c>
      <c r="X38" s="1354"/>
      <c r="Y38" s="3734"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32"/>
      <c r="Q39" s="1351" t="str">
        <f t="shared" si="11"/>
        <v>层高</v>
      </c>
      <c r="R39" s="705" t="s">
        <v>14</v>
      </c>
      <c r="S39" s="706">
        <f t="shared" si="12"/>
        <v>100</v>
      </c>
      <c r="T39" s="705" t="s">
        <v>14</v>
      </c>
      <c r="U39" s="706">
        <f t="shared" si="13"/>
        <v>100</v>
      </c>
      <c r="V39" s="705" t="s">
        <v>14</v>
      </c>
      <c r="W39" s="706">
        <f t="shared" si="14"/>
        <v>100</v>
      </c>
      <c r="X39" s="1354"/>
      <c r="Y39" s="373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2"/>
      <c r="Q40" s="1351" t="str">
        <f t="shared" si="11"/>
        <v>单套建筑面积</v>
      </c>
      <c r="R40" s="705" t="s">
        <v>14</v>
      </c>
      <c r="S40" s="706">
        <f t="shared" si="12"/>
        <v>100</v>
      </c>
      <c r="T40" s="705" t="s">
        <v>14</v>
      </c>
      <c r="U40" s="706">
        <f t="shared" si="13"/>
        <v>100</v>
      </c>
      <c r="V40" s="705" t="s">
        <v>14</v>
      </c>
      <c r="W40" s="706">
        <f t="shared" si="14"/>
        <v>100</v>
      </c>
      <c r="X40" s="1354"/>
      <c r="Y40" s="373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32"/>
      <c r="Q42" s="1351" t="str">
        <f t="shared" si="11"/>
        <v>内部装修</v>
      </c>
      <c r="R42" s="705" t="s">
        <v>14</v>
      </c>
      <c r="S42" s="706">
        <f t="shared" si="12"/>
        <v>100</v>
      </c>
      <c r="T42" s="705" t="s">
        <v>14</v>
      </c>
      <c r="U42" s="706">
        <f t="shared" si="13"/>
        <v>100</v>
      </c>
      <c r="V42" s="705" t="s">
        <v>14</v>
      </c>
      <c r="W42" s="706">
        <f t="shared" si="14"/>
        <v>100</v>
      </c>
      <c r="X42" s="1354"/>
      <c r="Y42" s="3734"/>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32"/>
      <c r="Q43" s="1351" t="str">
        <f t="shared" si="11"/>
        <v>内部装修维护情况</v>
      </c>
      <c r="R43" s="705" t="s">
        <v>14</v>
      </c>
      <c r="S43" s="706">
        <f t="shared" si="12"/>
        <v>100</v>
      </c>
      <c r="T43" s="705" t="s">
        <v>14</v>
      </c>
      <c r="U43" s="706">
        <f t="shared" si="13"/>
        <v>100</v>
      </c>
      <c r="V43" s="705" t="s">
        <v>14</v>
      </c>
      <c r="W43" s="706">
        <f t="shared" si="14"/>
        <v>100</v>
      </c>
      <c r="X43" s="1354"/>
      <c r="Y43" s="373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2"/>
      <c r="Q44" s="1342">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2"/>
      <c r="Q45" s="1351">
        <f t="shared" si="11"/>
        <v>111</v>
      </c>
      <c r="R45" s="705" t="s">
        <v>14</v>
      </c>
      <c r="S45" s="706">
        <f t="shared" si="12"/>
        <v>100</v>
      </c>
      <c r="T45" s="705" t="s">
        <v>14</v>
      </c>
      <c r="U45" s="706">
        <f t="shared" si="13"/>
        <v>100</v>
      </c>
      <c r="V45" s="705" t="s">
        <v>14</v>
      </c>
      <c r="W45" s="706">
        <f t="shared" si="14"/>
        <v>100</v>
      </c>
      <c r="X45" s="1354"/>
      <c r="Y45" s="3734"/>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3"/>
      <c r="Q46" s="1351">
        <f t="shared" si="11"/>
        <v>111</v>
      </c>
      <c r="R46" s="705" t="s">
        <v>14</v>
      </c>
      <c r="S46" s="706">
        <f t="shared" si="12"/>
        <v>100</v>
      </c>
      <c r="T46" s="705" t="s">
        <v>14</v>
      </c>
      <c r="U46" s="706">
        <f t="shared" si="13"/>
        <v>100</v>
      </c>
      <c r="V46" s="705" t="s">
        <v>14</v>
      </c>
      <c r="W46" s="706">
        <f t="shared" si="14"/>
        <v>100</v>
      </c>
      <c r="X46" s="1354"/>
      <c r="Y46" s="373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0"/>
      <c r="M4" s="2711"/>
      <c r="N4" s="2711"/>
      <c r="O4" s="2711"/>
      <c r="P4" s="3744" t="s">
        <v>1775</v>
      </c>
      <c r="Q4" s="3745"/>
      <c r="R4" s="3739" t="s">
        <v>1771</v>
      </c>
      <c r="S4" s="3740"/>
      <c r="T4" s="3739" t="s">
        <v>1772</v>
      </c>
      <c r="U4" s="3740"/>
      <c r="V4" s="3748" t="s">
        <v>1773</v>
      </c>
      <c r="W4" s="3748"/>
      <c r="X4" s="1954"/>
      <c r="Y4" s="3739" t="s">
        <v>1775</v>
      </c>
      <c r="Z4" s="3740"/>
      <c r="AA4" s="3738" t="s">
        <v>1771</v>
      </c>
      <c r="AB4" s="3738" t="s">
        <v>1772</v>
      </c>
      <c r="AC4" s="3741" t="s">
        <v>1773</v>
      </c>
    </row>
    <row r="5" spans="1:29" ht="15">
      <c r="A5" s="358"/>
      <c r="B5" s="359"/>
      <c r="C5" s="3706" t="s">
        <v>1673</v>
      </c>
      <c r="D5" s="3703"/>
      <c r="E5" s="3700" t="s">
        <v>1674</v>
      </c>
      <c r="F5" s="3701"/>
      <c r="G5" s="3706" t="s">
        <v>1675</v>
      </c>
      <c r="H5" s="3703"/>
      <c r="I5" s="3706" t="s">
        <v>1676</v>
      </c>
      <c r="J5" s="3703"/>
      <c r="K5" s="559"/>
      <c r="L5" s="2710"/>
      <c r="M5" s="2711"/>
      <c r="N5" s="2711"/>
      <c r="O5" s="2711"/>
      <c r="P5" s="3746"/>
      <c r="Q5" s="3717"/>
      <c r="R5" s="3698"/>
      <c r="S5" s="3699"/>
      <c r="T5" s="3698"/>
      <c r="U5" s="3699"/>
      <c r="V5" s="3722"/>
      <c r="W5" s="3722"/>
      <c r="X5" s="1354"/>
      <c r="Y5" s="3698"/>
      <c r="Z5" s="3699"/>
      <c r="AA5" s="3692"/>
      <c r="AB5" s="3692"/>
      <c r="AC5" s="374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47"/>
      <c r="Q6" s="3719"/>
      <c r="R6" s="3698"/>
      <c r="S6" s="3699"/>
      <c r="T6" s="3720"/>
      <c r="U6" s="3721"/>
      <c r="V6" s="3722"/>
      <c r="W6" s="3722"/>
      <c r="X6" s="1354"/>
      <c r="Y6" s="3720"/>
      <c r="Z6" s="3721"/>
      <c r="AA6" s="3693"/>
      <c r="AB6" s="3693"/>
      <c r="AC6" s="3743"/>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9" t="s">
        <v>1680</v>
      </c>
      <c r="Q7" s="3723"/>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9"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9"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09"/>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9"/>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09"/>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09"/>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09"/>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6" t="s">
        <v>1691</v>
      </c>
      <c r="Q15" s="1351" t="str">
        <f t="shared" si="6"/>
        <v>办公集聚程度</v>
      </c>
      <c r="R15" s="705" t="s">
        <v>14</v>
      </c>
      <c r="S15" s="706">
        <f t="shared" si="0"/>
        <v>100</v>
      </c>
      <c r="T15" s="705" t="s">
        <v>14</v>
      </c>
      <c r="U15" s="706">
        <f t="shared" si="1"/>
        <v>100</v>
      </c>
      <c r="V15" s="705" t="s">
        <v>14</v>
      </c>
      <c r="W15" s="706">
        <f t="shared" si="2"/>
        <v>100</v>
      </c>
      <c r="X15" s="1354"/>
      <c r="Y15" s="3729"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37"/>
      <c r="Q16" s="1351"/>
      <c r="R16" s="705"/>
      <c r="S16" s="706"/>
      <c r="T16" s="705"/>
      <c r="U16" s="706"/>
      <c r="V16" s="705"/>
      <c r="W16" s="706"/>
      <c r="X16" s="1354"/>
      <c r="Y16" s="3730"/>
      <c r="Z16" s="1355"/>
      <c r="AA16" s="1352">
        <v>1</v>
      </c>
      <c r="AB16" s="1352">
        <v>1</v>
      </c>
      <c r="AC16" s="1958">
        <v>1</v>
      </c>
    </row>
    <row r="17" spans="1:29" ht="71.25">
      <c r="A17" s="379"/>
      <c r="B17" s="579" t="s">
        <v>1259</v>
      </c>
      <c r="C17" s="1959" t="str">
        <f>估价对象房地状况!C6</f>
        <v>周边有专89路、307路、315路、 407路、606路等多条公交线路，交通便捷度一般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7"/>
      <c r="Q17" s="1351" t="str">
        <f>B17</f>
        <v>交通便捷度</v>
      </c>
      <c r="R17" s="705" t="s">
        <v>14</v>
      </c>
      <c r="S17" s="706">
        <f>F17</f>
        <v>100</v>
      </c>
      <c r="T17" s="705" t="s">
        <v>14</v>
      </c>
      <c r="U17" s="706">
        <f>H17</f>
        <v>100</v>
      </c>
      <c r="V17" s="705" t="s">
        <v>14</v>
      </c>
      <c r="W17" s="706">
        <f>J17</f>
        <v>100</v>
      </c>
      <c r="X17" s="1354"/>
      <c r="Y17" s="3730"/>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37"/>
      <c r="Q18" s="1351"/>
      <c r="R18" s="705"/>
      <c r="S18" s="706"/>
      <c r="T18" s="705"/>
      <c r="U18" s="706"/>
      <c r="V18" s="705"/>
      <c r="W18" s="706"/>
      <c r="X18" s="1354"/>
      <c r="Y18" s="3730"/>
      <c r="Z18" s="1355"/>
      <c r="AA18" s="1352">
        <v>1</v>
      </c>
      <c r="AB18" s="1352">
        <v>1</v>
      </c>
      <c r="AC18" s="1958">
        <v>1</v>
      </c>
    </row>
    <row r="19" spans="1:29" ht="270.75">
      <c r="A19" s="379"/>
      <c r="B19" s="579" t="s">
        <v>1812</v>
      </c>
      <c r="C19" s="1959"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7"/>
      <c r="Q19" s="1351" t="str">
        <f>B19</f>
        <v>公共配套设施</v>
      </c>
      <c r="R19" s="705" t="s">
        <v>14</v>
      </c>
      <c r="S19" s="706">
        <f>F19</f>
        <v>100</v>
      </c>
      <c r="T19" s="705" t="s">
        <v>14</v>
      </c>
      <c r="U19" s="706">
        <f>H19</f>
        <v>100</v>
      </c>
      <c r="V19" s="705" t="s">
        <v>14</v>
      </c>
      <c r="W19" s="706">
        <f>J19</f>
        <v>100</v>
      </c>
      <c r="X19" s="1354"/>
      <c r="Y19" s="3730"/>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37"/>
      <c r="Q20" s="1351"/>
      <c r="R20" s="705"/>
      <c r="S20" s="706"/>
      <c r="T20" s="705"/>
      <c r="U20" s="706"/>
      <c r="V20" s="705"/>
      <c r="W20" s="706"/>
      <c r="X20" s="1354"/>
      <c r="Y20" s="3730"/>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7"/>
      <c r="Q21" s="1351" t="str">
        <f>B21</f>
        <v>基础设施水平</v>
      </c>
      <c r="R21" s="705" t="s">
        <v>14</v>
      </c>
      <c r="S21" s="706">
        <f>F21</f>
        <v>100</v>
      </c>
      <c r="T21" s="705" t="s">
        <v>14</v>
      </c>
      <c r="U21" s="706">
        <f>H21</f>
        <v>100</v>
      </c>
      <c r="V21" s="705" t="s">
        <v>14</v>
      </c>
      <c r="W21" s="706">
        <f>J21</f>
        <v>100</v>
      </c>
      <c r="X21" s="1354"/>
      <c r="Y21" s="3730"/>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37"/>
      <c r="Q22" s="1351"/>
      <c r="R22" s="705"/>
      <c r="S22" s="706"/>
      <c r="T22" s="705"/>
      <c r="U22" s="706"/>
      <c r="V22" s="705"/>
      <c r="W22" s="706"/>
      <c r="X22" s="1354"/>
      <c r="Y22" s="3730"/>
      <c r="Z22" s="1355"/>
      <c r="AA22" s="1352">
        <v>1</v>
      </c>
      <c r="AB22" s="1352">
        <v>1</v>
      </c>
      <c r="AC22" s="1958">
        <v>1</v>
      </c>
    </row>
    <row r="23" spans="1:29" ht="57">
      <c r="A23" s="379"/>
      <c r="B23" s="579" t="s">
        <v>1814</v>
      </c>
      <c r="C23" s="1959" t="str">
        <f>估价对象房地状况!C9</f>
        <v>区域自然环境：西小口公园；人文环境；综合评价环境状况较好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7"/>
      <c r="Q23" s="1351" t="str">
        <f>B23</f>
        <v>环境质量</v>
      </c>
      <c r="R23" s="705" t="s">
        <v>14</v>
      </c>
      <c r="S23" s="706">
        <f>F23</f>
        <v>100</v>
      </c>
      <c r="T23" s="705" t="s">
        <v>14</v>
      </c>
      <c r="U23" s="706">
        <f>H23</f>
        <v>100</v>
      </c>
      <c r="V23" s="705" t="s">
        <v>14</v>
      </c>
      <c r="W23" s="706">
        <f>J23</f>
        <v>100</v>
      </c>
      <c r="X23" s="1354"/>
      <c r="Y23" s="3730"/>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37"/>
      <c r="Q24" s="1351"/>
      <c r="R24" s="705"/>
      <c r="S24" s="706"/>
      <c r="T24" s="705"/>
      <c r="U24" s="706"/>
      <c r="V24" s="705"/>
      <c r="W24" s="706"/>
      <c r="X24" s="1354"/>
      <c r="Y24" s="3730"/>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37"/>
      <c r="Q25" s="1351" t="str">
        <f>B25</f>
        <v>毗邻道路的类型与等级</v>
      </c>
      <c r="R25" s="705" t="s">
        <v>14</v>
      </c>
      <c r="S25" s="706">
        <f>F25</f>
        <v>100</v>
      </c>
      <c r="T25" s="705" t="s">
        <v>14</v>
      </c>
      <c r="U25" s="706">
        <f>H25</f>
        <v>100</v>
      </c>
      <c r="V25" s="705" t="s">
        <v>14</v>
      </c>
      <c r="W25" s="706">
        <f>J25</f>
        <v>100</v>
      </c>
      <c r="X25" s="1354"/>
      <c r="Y25" s="3730"/>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37"/>
      <c r="Q26" s="1351"/>
      <c r="R26" s="705"/>
      <c r="S26" s="706"/>
      <c r="T26" s="705"/>
      <c r="U26" s="706"/>
      <c r="V26" s="705"/>
      <c r="W26" s="706"/>
      <c r="X26" s="1354"/>
      <c r="Y26" s="3730"/>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7"/>
      <c r="Q27" s="1351" t="str">
        <f t="shared" ref="Q27:Q47" si="11">B27</f>
        <v>楼层</v>
      </c>
      <c r="R27" s="705" t="s">
        <v>14</v>
      </c>
      <c r="S27" s="706">
        <f>F27</f>
        <v>100</v>
      </c>
      <c r="T27" s="705" t="s">
        <v>14</v>
      </c>
      <c r="U27" s="706">
        <f>H27</f>
        <v>100</v>
      </c>
      <c r="V27" s="705" t="s">
        <v>14</v>
      </c>
      <c r="W27" s="706">
        <f>J27</f>
        <v>100</v>
      </c>
      <c r="X27" s="1354"/>
      <c r="Y27" s="3730"/>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37"/>
      <c r="Q28" s="1342" t="str">
        <f t="shared" si="11"/>
        <v>朝向</v>
      </c>
      <c r="R28" s="701" t="s">
        <v>14</v>
      </c>
      <c r="S28" s="702">
        <f>F28</f>
        <v>100</v>
      </c>
      <c r="T28" s="701" t="s">
        <v>14</v>
      </c>
      <c r="U28" s="702">
        <f>H28</f>
        <v>100</v>
      </c>
      <c r="V28" s="701" t="s">
        <v>14</v>
      </c>
      <c r="W28" s="702">
        <f>J28</f>
        <v>100</v>
      </c>
      <c r="X28" s="703"/>
      <c r="Y28" s="3730"/>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37"/>
      <c r="Q29" s="1351">
        <f t="shared" si="11"/>
        <v>111</v>
      </c>
      <c r="R29" s="705" t="s">
        <v>14</v>
      </c>
      <c r="S29" s="706">
        <f t="shared" ref="S29:S47" si="12">F29</f>
        <v>100</v>
      </c>
      <c r="T29" s="705" t="s">
        <v>14</v>
      </c>
      <c r="U29" s="706">
        <f t="shared" ref="U29:U47" si="13">H29</f>
        <v>100</v>
      </c>
      <c r="V29" s="705" t="s">
        <v>14</v>
      </c>
      <c r="W29" s="706">
        <f t="shared" ref="W29:W47" si="14">J29</f>
        <v>100</v>
      </c>
      <c r="X29" s="1354"/>
      <c r="Y29" s="3730"/>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37"/>
      <c r="Q30" s="1351">
        <f t="shared" si="11"/>
        <v>111</v>
      </c>
      <c r="R30" s="705" t="s">
        <v>14</v>
      </c>
      <c r="S30" s="706">
        <f t="shared" si="12"/>
        <v>100</v>
      </c>
      <c r="T30" s="705" t="s">
        <v>14</v>
      </c>
      <c r="U30" s="706">
        <f t="shared" si="13"/>
        <v>100</v>
      </c>
      <c r="V30" s="705" t="s">
        <v>14</v>
      </c>
      <c r="W30" s="706">
        <f t="shared" si="14"/>
        <v>100</v>
      </c>
      <c r="X30" s="1354"/>
      <c r="Y30" s="3730"/>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37"/>
      <c r="Q31" s="1351">
        <f t="shared" si="11"/>
        <v>111</v>
      </c>
      <c r="R31" s="705" t="s">
        <v>14</v>
      </c>
      <c r="S31" s="706">
        <f t="shared" si="12"/>
        <v>100</v>
      </c>
      <c r="T31" s="705" t="s">
        <v>14</v>
      </c>
      <c r="U31" s="706">
        <f t="shared" si="13"/>
        <v>100</v>
      </c>
      <c r="V31" s="705" t="s">
        <v>14</v>
      </c>
      <c r="W31" s="706">
        <f t="shared" si="14"/>
        <v>100</v>
      </c>
      <c r="X31" s="1354"/>
      <c r="Y31" s="3730"/>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37"/>
      <c r="Q32" s="1351">
        <f t="shared" si="11"/>
        <v>111</v>
      </c>
      <c r="R32" s="705" t="s">
        <v>14</v>
      </c>
      <c r="S32" s="706">
        <f t="shared" si="12"/>
        <v>100</v>
      </c>
      <c r="T32" s="705" t="s">
        <v>14</v>
      </c>
      <c r="U32" s="706">
        <f t="shared" si="13"/>
        <v>100</v>
      </c>
      <c r="V32" s="705" t="s">
        <v>14</v>
      </c>
      <c r="W32" s="706">
        <f t="shared" si="14"/>
        <v>100</v>
      </c>
      <c r="X32" s="1354"/>
      <c r="Y32" s="3730"/>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31" t="s">
        <v>1696</v>
      </c>
      <c r="Q33" s="1351" t="str">
        <f t="shared" si="11"/>
        <v>建筑类型</v>
      </c>
      <c r="R33" s="705" t="s">
        <v>14</v>
      </c>
      <c r="S33" s="706">
        <f t="shared" si="12"/>
        <v>100</v>
      </c>
      <c r="T33" s="705" t="s">
        <v>14</v>
      </c>
      <c r="U33" s="706">
        <f t="shared" si="13"/>
        <v>100</v>
      </c>
      <c r="V33" s="705" t="s">
        <v>14</v>
      </c>
      <c r="W33" s="706">
        <f t="shared" si="14"/>
        <v>100</v>
      </c>
      <c r="X33" s="1354"/>
      <c r="Y33" s="3734"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2"/>
      <c r="Q35" s="1351" t="str">
        <f t="shared" si="11"/>
        <v>建筑结构</v>
      </c>
      <c r="R35" s="705" t="s">
        <v>14</v>
      </c>
      <c r="S35" s="706">
        <f t="shared" si="12"/>
        <v>100</v>
      </c>
      <c r="T35" s="705" t="s">
        <v>14</v>
      </c>
      <c r="U35" s="706">
        <f t="shared" si="13"/>
        <v>100</v>
      </c>
      <c r="V35" s="705" t="s">
        <v>14</v>
      </c>
      <c r="W35" s="706">
        <f t="shared" si="14"/>
        <v>100</v>
      </c>
      <c r="X35" s="1354"/>
      <c r="Y35" s="3734"/>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2"/>
      <c r="Q36" s="1351" t="str">
        <f t="shared" si="11"/>
        <v>公共部分装修</v>
      </c>
      <c r="R36" s="705" t="s">
        <v>14</v>
      </c>
      <c r="S36" s="706">
        <f t="shared" si="12"/>
        <v>100</v>
      </c>
      <c r="T36" s="705" t="s">
        <v>14</v>
      </c>
      <c r="U36" s="706">
        <f t="shared" si="13"/>
        <v>100</v>
      </c>
      <c r="V36" s="705" t="s">
        <v>14</v>
      </c>
      <c r="W36" s="706">
        <f t="shared" si="14"/>
        <v>100</v>
      </c>
      <c r="X36" s="1354"/>
      <c r="Y36" s="3734"/>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2"/>
      <c r="Q37" s="1351" t="str">
        <f t="shared" si="11"/>
        <v>成新度</v>
      </c>
      <c r="R37" s="705" t="s">
        <v>14</v>
      </c>
      <c r="S37" s="706" t="e">
        <f t="shared" si="12"/>
        <v>#N/A</v>
      </c>
      <c r="T37" s="705" t="s">
        <v>14</v>
      </c>
      <c r="U37" s="706" t="e">
        <f t="shared" si="13"/>
        <v>#N/A</v>
      </c>
      <c r="V37" s="705" t="s">
        <v>14</v>
      </c>
      <c r="W37" s="706" t="e">
        <f t="shared" si="14"/>
        <v>#N/A</v>
      </c>
      <c r="X37" s="1354"/>
      <c r="Y37" s="3734"/>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2"/>
      <c r="Q38" s="1342"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2" t="s">
        <v>1696</v>
      </c>
      <c r="Q39" s="1351" t="str">
        <f t="shared" si="11"/>
        <v>物业管理</v>
      </c>
      <c r="R39" s="705" t="s">
        <v>14</v>
      </c>
      <c r="S39" s="706">
        <f t="shared" si="12"/>
        <v>100</v>
      </c>
      <c r="T39" s="705" t="s">
        <v>14</v>
      </c>
      <c r="U39" s="706">
        <f t="shared" si="13"/>
        <v>100</v>
      </c>
      <c r="V39" s="705" t="s">
        <v>14</v>
      </c>
      <c r="W39" s="706">
        <f t="shared" si="14"/>
        <v>100</v>
      </c>
      <c r="X39" s="1354"/>
      <c r="Y39" s="3734"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2"/>
      <c r="Q40" s="1351" t="str">
        <f t="shared" si="11"/>
        <v>市政基础设施</v>
      </c>
      <c r="R40" s="705" t="s">
        <v>14</v>
      </c>
      <c r="S40" s="706">
        <f t="shared" si="12"/>
        <v>100</v>
      </c>
      <c r="T40" s="705" t="s">
        <v>14</v>
      </c>
      <c r="U40" s="706">
        <f t="shared" si="13"/>
        <v>100</v>
      </c>
      <c r="V40" s="705" t="s">
        <v>14</v>
      </c>
      <c r="W40" s="706">
        <f t="shared" si="14"/>
        <v>100</v>
      </c>
      <c r="X40" s="1354"/>
      <c r="Y40" s="3734"/>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2"/>
      <c r="Q41" s="1351" t="str">
        <f t="shared" si="11"/>
        <v>层高</v>
      </c>
      <c r="R41" s="705" t="s">
        <v>14</v>
      </c>
      <c r="S41" s="706">
        <f t="shared" si="12"/>
        <v>100</v>
      </c>
      <c r="T41" s="705" t="s">
        <v>14</v>
      </c>
      <c r="U41" s="706">
        <f t="shared" si="13"/>
        <v>100</v>
      </c>
      <c r="V41" s="705" t="s">
        <v>14</v>
      </c>
      <c r="W41" s="706">
        <f t="shared" si="14"/>
        <v>100</v>
      </c>
      <c r="X41" s="1354"/>
      <c r="Y41" s="3734"/>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2"/>
      <c r="Q43" s="1351" t="str">
        <f t="shared" si="11"/>
        <v>内部装修</v>
      </c>
      <c r="R43" s="705" t="s">
        <v>14</v>
      </c>
      <c r="S43" s="706">
        <f t="shared" si="12"/>
        <v>100</v>
      </c>
      <c r="T43" s="705" t="s">
        <v>14</v>
      </c>
      <c r="U43" s="706">
        <f t="shared" si="13"/>
        <v>100</v>
      </c>
      <c r="V43" s="705" t="s">
        <v>14</v>
      </c>
      <c r="W43" s="706">
        <f t="shared" si="14"/>
        <v>100</v>
      </c>
      <c r="X43" s="1354"/>
      <c r="Y43" s="3734"/>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32"/>
      <c r="Q44" s="1351" t="str">
        <f t="shared" si="11"/>
        <v>内部装修维护情况</v>
      </c>
      <c r="R44" s="705" t="s">
        <v>14</v>
      </c>
      <c r="S44" s="706">
        <f t="shared" si="12"/>
        <v>100</v>
      </c>
      <c r="T44" s="705" t="s">
        <v>14</v>
      </c>
      <c r="U44" s="706">
        <f t="shared" si="13"/>
        <v>100</v>
      </c>
      <c r="V44" s="705" t="s">
        <v>14</v>
      </c>
      <c r="W44" s="706">
        <f t="shared" si="14"/>
        <v>100</v>
      </c>
      <c r="X44" s="1354"/>
      <c r="Y44" s="3734"/>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2"/>
      <c r="Q45" s="1342">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2"/>
      <c r="Q46" s="1351">
        <f t="shared" si="11"/>
        <v>111</v>
      </c>
      <c r="R46" s="705" t="s">
        <v>14</v>
      </c>
      <c r="S46" s="706">
        <f t="shared" si="12"/>
        <v>100</v>
      </c>
      <c r="T46" s="705" t="s">
        <v>14</v>
      </c>
      <c r="U46" s="706">
        <f t="shared" si="13"/>
        <v>100</v>
      </c>
      <c r="V46" s="705" t="s">
        <v>14</v>
      </c>
      <c r="W46" s="706">
        <f t="shared" si="14"/>
        <v>100</v>
      </c>
      <c r="X46" s="1354"/>
      <c r="Y46" s="3734"/>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3"/>
      <c r="Q47" s="1351">
        <f t="shared" si="11"/>
        <v>111</v>
      </c>
      <c r="R47" s="705" t="s">
        <v>14</v>
      </c>
      <c r="S47" s="706">
        <f t="shared" si="12"/>
        <v>100</v>
      </c>
      <c r="T47" s="705" t="s">
        <v>14</v>
      </c>
      <c r="U47" s="706">
        <f t="shared" si="13"/>
        <v>100</v>
      </c>
      <c r="V47" s="705" t="s">
        <v>14</v>
      </c>
      <c r="W47" s="706">
        <f t="shared" si="14"/>
        <v>100</v>
      </c>
      <c r="X47" s="1354"/>
      <c r="Y47" s="3735"/>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6" t="s">
        <v>1771</v>
      </c>
      <c r="S4" s="3697"/>
      <c r="T4" s="3696" t="s">
        <v>1772</v>
      </c>
      <c r="U4" s="3697"/>
      <c r="V4" s="3722" t="s">
        <v>1773</v>
      </c>
      <c r="W4" s="3722"/>
      <c r="X4" s="1354"/>
      <c r="Y4" s="3696" t="s">
        <v>1775</v>
      </c>
      <c r="Z4" s="3697"/>
      <c r="AA4" s="3691" t="s">
        <v>1771</v>
      </c>
      <c r="AB4" s="3692" t="s">
        <v>1772</v>
      </c>
      <c r="AC4" s="3691" t="s">
        <v>1773</v>
      </c>
    </row>
    <row r="5" spans="1:29" ht="15">
      <c r="A5" s="358"/>
      <c r="B5" s="359"/>
      <c r="C5" s="3706" t="s">
        <v>1673</v>
      </c>
      <c r="D5" s="3703"/>
      <c r="E5" s="3700" t="s">
        <v>1674</v>
      </c>
      <c r="F5" s="3701"/>
      <c r="G5" s="3706" t="s">
        <v>1675</v>
      </c>
      <c r="H5" s="3703"/>
      <c r="I5" s="3706" t="s">
        <v>1676</v>
      </c>
      <c r="J5" s="3703"/>
      <c r="K5" s="559"/>
      <c r="L5" s="913"/>
      <c r="M5" s="914"/>
      <c r="N5" s="914"/>
      <c r="O5" s="914"/>
      <c r="P5" s="3716"/>
      <c r="Q5" s="3717"/>
      <c r="R5" s="3698"/>
      <c r="S5" s="3699"/>
      <c r="T5" s="3698"/>
      <c r="U5" s="3699"/>
      <c r="V5" s="3722"/>
      <c r="W5" s="3722"/>
      <c r="X5" s="1354"/>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913"/>
      <c r="M6" s="914"/>
      <c r="N6" s="914"/>
      <c r="O6" s="914"/>
      <c r="P6" s="3718"/>
      <c r="Q6" s="3719"/>
      <c r="R6" s="3698"/>
      <c r="S6" s="3699"/>
      <c r="T6" s="3720"/>
      <c r="U6" s="3721"/>
      <c r="V6" s="3722"/>
      <c r="W6" s="3722"/>
      <c r="X6" s="1354"/>
      <c r="Y6" s="3720"/>
      <c r="Z6" s="3721"/>
      <c r="AA6" s="3693"/>
      <c r="AB6" s="3693"/>
      <c r="AC6" s="3693"/>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3"/>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27"/>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2"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27"/>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27"/>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27"/>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1" t="str">
        <f t="shared" si="6"/>
        <v>产业集聚程度</v>
      </c>
      <c r="R15" s="705" t="s">
        <v>14</v>
      </c>
      <c r="S15" s="706">
        <f t="shared" si="0"/>
        <v>100</v>
      </c>
      <c r="T15" s="705" t="s">
        <v>14</v>
      </c>
      <c r="U15" s="706">
        <f t="shared" si="1"/>
        <v>100</v>
      </c>
      <c r="V15" s="705" t="s">
        <v>14</v>
      </c>
      <c r="W15" s="706">
        <f t="shared" si="2"/>
        <v>100</v>
      </c>
      <c r="X15" s="1354"/>
      <c r="Y15" s="372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0"/>
      <c r="Q16" s="1351"/>
      <c r="R16" s="705"/>
      <c r="S16" s="706"/>
      <c r="T16" s="705"/>
      <c r="U16" s="706"/>
      <c r="V16" s="705"/>
      <c r="W16" s="706"/>
      <c r="X16" s="1354"/>
      <c r="Y16" s="3730"/>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1" t="str">
        <f>B17</f>
        <v>交通便捷度</v>
      </c>
      <c r="R17" s="705" t="s">
        <v>14</v>
      </c>
      <c r="S17" s="706">
        <f>F17</f>
        <v>100</v>
      </c>
      <c r="T17" s="705" t="s">
        <v>14</v>
      </c>
      <c r="U17" s="706">
        <f>H17</f>
        <v>100</v>
      </c>
      <c r="V17" s="705" t="s">
        <v>14</v>
      </c>
      <c r="W17" s="706">
        <f>J17</f>
        <v>100</v>
      </c>
      <c r="X17" s="1354"/>
      <c r="Y17" s="373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0"/>
      <c r="Q18" s="1351"/>
      <c r="R18" s="705"/>
      <c r="S18" s="706"/>
      <c r="T18" s="705"/>
      <c r="U18" s="706"/>
      <c r="V18" s="705"/>
      <c r="W18" s="706"/>
      <c r="X18" s="1354"/>
      <c r="Y18" s="3730"/>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1" t="str">
        <f>B19</f>
        <v>公共配套设施</v>
      </c>
      <c r="R19" s="705" t="s">
        <v>14</v>
      </c>
      <c r="S19" s="706">
        <f>F19</f>
        <v>100</v>
      </c>
      <c r="T19" s="705" t="s">
        <v>14</v>
      </c>
      <c r="U19" s="706">
        <f>H19</f>
        <v>100</v>
      </c>
      <c r="V19" s="705" t="s">
        <v>14</v>
      </c>
      <c r="W19" s="706">
        <f>J19</f>
        <v>100</v>
      </c>
      <c r="X19" s="1354"/>
      <c r="Y19" s="373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0"/>
      <c r="Q20" s="1351"/>
      <c r="R20" s="705"/>
      <c r="S20" s="706"/>
      <c r="T20" s="705"/>
      <c r="U20" s="706"/>
      <c r="V20" s="705"/>
      <c r="W20" s="706"/>
      <c r="X20" s="1354"/>
      <c r="Y20" s="3730"/>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1" t="str">
        <f>B21</f>
        <v>基础设施水平</v>
      </c>
      <c r="R21" s="705" t="s">
        <v>14</v>
      </c>
      <c r="S21" s="706">
        <f>F21</f>
        <v>100</v>
      </c>
      <c r="T21" s="705" t="s">
        <v>14</v>
      </c>
      <c r="U21" s="706">
        <f>H21</f>
        <v>100</v>
      </c>
      <c r="V21" s="705" t="s">
        <v>14</v>
      </c>
      <c r="W21" s="706">
        <f>J21</f>
        <v>100</v>
      </c>
      <c r="X21" s="1354"/>
      <c r="Y21" s="373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0"/>
      <c r="Q22" s="1351"/>
      <c r="R22" s="705"/>
      <c r="S22" s="706"/>
      <c r="T22" s="705"/>
      <c r="U22" s="706"/>
      <c r="V22" s="705"/>
      <c r="W22" s="706"/>
      <c r="X22" s="1354"/>
      <c r="Y22" s="3730"/>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1" t="str">
        <f>B23</f>
        <v>环境质量</v>
      </c>
      <c r="R23" s="705" t="s">
        <v>14</v>
      </c>
      <c r="S23" s="706">
        <f>F23</f>
        <v>100</v>
      </c>
      <c r="T23" s="705" t="s">
        <v>14</v>
      </c>
      <c r="U23" s="706">
        <f>H23</f>
        <v>100</v>
      </c>
      <c r="V23" s="705" t="s">
        <v>14</v>
      </c>
      <c r="W23" s="706">
        <f>J23</f>
        <v>100</v>
      </c>
      <c r="X23" s="1354"/>
      <c r="Y23" s="3730"/>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0"/>
      <c r="Q24" s="1351"/>
      <c r="R24" s="705"/>
      <c r="S24" s="706"/>
      <c r="T24" s="705"/>
      <c r="U24" s="706"/>
      <c r="V24" s="705"/>
      <c r="W24" s="706"/>
      <c r="X24" s="1354"/>
      <c r="Y24" s="373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1">
        <f>B25</f>
        <v>111</v>
      </c>
      <c r="R25" s="705" t="s">
        <v>14</v>
      </c>
      <c r="S25" s="706">
        <f>F25</f>
        <v>100</v>
      </c>
      <c r="T25" s="705" t="s">
        <v>14</v>
      </c>
      <c r="U25" s="706">
        <f>H25</f>
        <v>100</v>
      </c>
      <c r="V25" s="705" t="s">
        <v>14</v>
      </c>
      <c r="W25" s="706">
        <f>J25</f>
        <v>100</v>
      </c>
      <c r="X25" s="1354"/>
      <c r="Y25" s="373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1">
        <f t="shared" ref="Q26:Q40" si="11">B26</f>
        <v>111</v>
      </c>
      <c r="R26" s="705" t="s">
        <v>14</v>
      </c>
      <c r="S26" s="706">
        <f>F26</f>
        <v>100</v>
      </c>
      <c r="T26" s="705" t="s">
        <v>14</v>
      </c>
      <c r="U26" s="706">
        <f>H26</f>
        <v>100</v>
      </c>
      <c r="V26" s="705" t="s">
        <v>14</v>
      </c>
      <c r="W26" s="706">
        <f>J26</f>
        <v>100</v>
      </c>
      <c r="X26" s="1354"/>
      <c r="Y26" s="373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2">
        <f t="shared" si="11"/>
        <v>111</v>
      </c>
      <c r="R27" s="701" t="s">
        <v>14</v>
      </c>
      <c r="S27" s="702">
        <f>F27</f>
        <v>100</v>
      </c>
      <c r="T27" s="701" t="s">
        <v>14</v>
      </c>
      <c r="U27" s="702">
        <f>H27</f>
        <v>100</v>
      </c>
      <c r="V27" s="701" t="s">
        <v>14</v>
      </c>
      <c r="W27" s="702">
        <f>J27</f>
        <v>100</v>
      </c>
      <c r="X27" s="703"/>
      <c r="Y27" s="373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1">
        <f t="shared" si="11"/>
        <v>111</v>
      </c>
      <c r="R28" s="705" t="s">
        <v>14</v>
      </c>
      <c r="S28" s="706">
        <f t="shared" ref="S28:S40" si="12">F28</f>
        <v>100</v>
      </c>
      <c r="T28" s="705" t="s">
        <v>14</v>
      </c>
      <c r="U28" s="706">
        <f t="shared" ref="U28:U40" si="13">H28</f>
        <v>100</v>
      </c>
      <c r="V28" s="705" t="s">
        <v>14</v>
      </c>
      <c r="W28" s="706">
        <f t="shared" ref="W28:W40" si="14">J28</f>
        <v>100</v>
      </c>
      <c r="X28" s="1354"/>
      <c r="Y28" s="3730"/>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3" t="s">
        <v>1696</v>
      </c>
      <c r="Q29" s="1351" t="str">
        <f t="shared" si="11"/>
        <v>建筑类型</v>
      </c>
      <c r="R29" s="705" t="s">
        <v>14</v>
      </c>
      <c r="S29" s="706">
        <f t="shared" si="12"/>
        <v>100</v>
      </c>
      <c r="T29" s="705" t="s">
        <v>14</v>
      </c>
      <c r="U29" s="706">
        <f t="shared" si="13"/>
        <v>100</v>
      </c>
      <c r="V29" s="705" t="s">
        <v>14</v>
      </c>
      <c r="W29" s="706">
        <f t="shared" si="14"/>
        <v>100</v>
      </c>
      <c r="X29" s="1354"/>
      <c r="Y29" s="373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1" t="str">
        <f t="shared" si="11"/>
        <v>建筑结构</v>
      </c>
      <c r="R31" s="705" t="s">
        <v>14</v>
      </c>
      <c r="S31" s="706">
        <f t="shared" si="12"/>
        <v>100</v>
      </c>
      <c r="T31" s="705" t="s">
        <v>14</v>
      </c>
      <c r="U31" s="706">
        <f t="shared" si="13"/>
        <v>100</v>
      </c>
      <c r="V31" s="705" t="s">
        <v>14</v>
      </c>
      <c r="W31" s="706">
        <f t="shared" si="14"/>
        <v>100</v>
      </c>
      <c r="X31" s="1354"/>
      <c r="Y31" s="373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1" t="str">
        <f t="shared" si="11"/>
        <v>公共部分装修</v>
      </c>
      <c r="R32" s="705" t="s">
        <v>14</v>
      </c>
      <c r="S32" s="706">
        <f t="shared" si="12"/>
        <v>100</v>
      </c>
      <c r="T32" s="705" t="s">
        <v>14</v>
      </c>
      <c r="U32" s="706">
        <f t="shared" si="13"/>
        <v>100</v>
      </c>
      <c r="V32" s="705" t="s">
        <v>14</v>
      </c>
      <c r="W32" s="706">
        <f t="shared" si="14"/>
        <v>100</v>
      </c>
      <c r="X32" s="1354"/>
      <c r="Y32" s="373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1" t="str">
        <f t="shared" si="11"/>
        <v>成新度</v>
      </c>
      <c r="R33" s="705" t="s">
        <v>14</v>
      </c>
      <c r="S33" s="706" t="e">
        <f t="shared" si="12"/>
        <v>#N/A</v>
      </c>
      <c r="T33" s="705" t="s">
        <v>14</v>
      </c>
      <c r="U33" s="706" t="e">
        <f t="shared" si="13"/>
        <v>#N/A</v>
      </c>
      <c r="V33" s="705" t="s">
        <v>14</v>
      </c>
      <c r="W33" s="706" t="e">
        <f t="shared" si="14"/>
        <v>#N/A</v>
      </c>
      <c r="X33" s="1354"/>
      <c r="Y33" s="373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2"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1" t="str">
        <f t="shared" si="11"/>
        <v>市政基础设施</v>
      </c>
      <c r="R35" s="705" t="s">
        <v>14</v>
      </c>
      <c r="S35" s="706">
        <f t="shared" si="12"/>
        <v>100</v>
      </c>
      <c r="T35" s="705" t="s">
        <v>14</v>
      </c>
      <c r="U35" s="706">
        <f t="shared" si="13"/>
        <v>100</v>
      </c>
      <c r="V35" s="705" t="s">
        <v>14</v>
      </c>
      <c r="W35" s="706">
        <f t="shared" si="14"/>
        <v>100</v>
      </c>
      <c r="X35" s="1354"/>
      <c r="Y35" s="373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1" t="str">
        <f t="shared" si="11"/>
        <v>内部装修</v>
      </c>
      <c r="R36" s="705" t="s">
        <v>14</v>
      </c>
      <c r="S36" s="706">
        <f t="shared" si="12"/>
        <v>100</v>
      </c>
      <c r="T36" s="705" t="s">
        <v>14</v>
      </c>
      <c r="U36" s="706">
        <f t="shared" si="13"/>
        <v>100</v>
      </c>
      <c r="V36" s="705" t="s">
        <v>14</v>
      </c>
      <c r="W36" s="706">
        <f t="shared" si="14"/>
        <v>100</v>
      </c>
      <c r="X36" s="1354"/>
      <c r="Y36" s="373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1" t="str">
        <f t="shared" si="11"/>
        <v>内部装修状况</v>
      </c>
      <c r="R37" s="705" t="s">
        <v>14</v>
      </c>
      <c r="S37" s="706">
        <f t="shared" si="12"/>
        <v>100</v>
      </c>
      <c r="T37" s="705" t="s">
        <v>14</v>
      </c>
      <c r="U37" s="706">
        <f t="shared" si="13"/>
        <v>100</v>
      </c>
      <c r="V37" s="705" t="s">
        <v>14</v>
      </c>
      <c r="W37" s="706">
        <f t="shared" si="14"/>
        <v>100</v>
      </c>
      <c r="X37" s="1354"/>
      <c r="Y37" s="373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1">
        <f t="shared" si="11"/>
        <v>111</v>
      </c>
      <c r="R39" s="705" t="s">
        <v>14</v>
      </c>
      <c r="S39" s="706">
        <f t="shared" si="12"/>
        <v>100</v>
      </c>
      <c r="T39" s="705" t="s">
        <v>14</v>
      </c>
      <c r="U39" s="706">
        <f t="shared" si="13"/>
        <v>100</v>
      </c>
      <c r="V39" s="705" t="s">
        <v>14</v>
      </c>
      <c r="W39" s="706">
        <f t="shared" si="14"/>
        <v>100</v>
      </c>
      <c r="X39" s="1354"/>
      <c r="Y39" s="3734"/>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1">
        <f t="shared" si="11"/>
        <v>111</v>
      </c>
      <c r="R40" s="705" t="s">
        <v>14</v>
      </c>
      <c r="S40" s="706">
        <f t="shared" si="12"/>
        <v>100</v>
      </c>
      <c r="T40" s="705" t="s">
        <v>14</v>
      </c>
      <c r="U40" s="706">
        <f t="shared" si="13"/>
        <v>100</v>
      </c>
      <c r="V40" s="705" t="s">
        <v>14</v>
      </c>
      <c r="W40" s="706">
        <f t="shared" si="14"/>
        <v>100</v>
      </c>
      <c r="X40" s="1354"/>
      <c r="Y40" s="373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0"/>
      <c r="M4" s="2711"/>
      <c r="N4" s="2711"/>
      <c r="O4" s="2711"/>
      <c r="P4" s="3714" t="s">
        <v>1775</v>
      </c>
      <c r="Q4" s="3715"/>
      <c r="R4" s="3696" t="s">
        <v>1771</v>
      </c>
      <c r="S4" s="3697"/>
      <c r="T4" s="3696" t="s">
        <v>1772</v>
      </c>
      <c r="U4" s="3697"/>
      <c r="V4" s="3722" t="s">
        <v>1773</v>
      </c>
      <c r="W4" s="3722"/>
      <c r="X4" s="1354"/>
      <c r="Y4" s="3696" t="s">
        <v>1775</v>
      </c>
      <c r="Z4" s="3697"/>
      <c r="AA4" s="3691" t="s">
        <v>1771</v>
      </c>
      <c r="AB4" s="3692" t="s">
        <v>1772</v>
      </c>
      <c r="AC4" s="3691" t="s">
        <v>1773</v>
      </c>
    </row>
    <row r="5" spans="1:29" ht="15">
      <c r="A5" s="358"/>
      <c r="B5" s="359"/>
      <c r="C5" s="3706" t="s">
        <v>1673</v>
      </c>
      <c r="D5" s="3703"/>
      <c r="E5" s="3700" t="s">
        <v>1674</v>
      </c>
      <c r="F5" s="3701"/>
      <c r="G5" s="3706" t="s">
        <v>1675</v>
      </c>
      <c r="H5" s="3703"/>
      <c r="I5" s="3706" t="s">
        <v>1676</v>
      </c>
      <c r="J5" s="3703"/>
      <c r="K5" s="559"/>
      <c r="L5" s="2710"/>
      <c r="M5" s="2711"/>
      <c r="N5" s="2711"/>
      <c r="O5" s="2711"/>
      <c r="P5" s="3716"/>
      <c r="Q5" s="3717"/>
      <c r="R5" s="3698"/>
      <c r="S5" s="3699"/>
      <c r="T5" s="3698"/>
      <c r="U5" s="3699"/>
      <c r="V5" s="3722"/>
      <c r="W5" s="3722"/>
      <c r="X5" s="1354"/>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18"/>
      <c r="Q6" s="3719"/>
      <c r="R6" s="3698"/>
      <c r="S6" s="3699"/>
      <c r="T6" s="3720"/>
      <c r="U6" s="3721"/>
      <c r="V6" s="3722"/>
      <c r="W6" s="3722"/>
      <c r="X6" s="1354"/>
      <c r="Y6" s="3720"/>
      <c r="Z6" s="3721"/>
      <c r="AA6" s="3693"/>
      <c r="AB6" s="3693"/>
      <c r="AC6" s="3693"/>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4" t="s">
        <v>1680</v>
      </c>
      <c r="Q7" s="3723"/>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27" t="s">
        <v>1686</v>
      </c>
      <c r="Q9" s="1342"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27"/>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27"/>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27"/>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27"/>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71.25">
      <c r="A14" s="355" t="s">
        <v>1690</v>
      </c>
      <c r="B14" s="577" t="s">
        <v>1833</v>
      </c>
      <c r="C14" s="1967" t="str">
        <f>IF(B1="工业",估价对象房地状况!G4,估价对象房地状况!C6)</f>
        <v>周边有专89路、307路、315路、 407路、606路等多条公交线路，交通便捷度一般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9" t="s">
        <v>1691</v>
      </c>
      <c r="Q14" s="1351" t="str">
        <f t="shared" si="6"/>
        <v>交通便捷度</v>
      </c>
      <c r="R14" s="705" t="s">
        <v>14</v>
      </c>
      <c r="S14" s="706">
        <f t="shared" si="0"/>
        <v>100</v>
      </c>
      <c r="T14" s="705" t="s">
        <v>14</v>
      </c>
      <c r="U14" s="706">
        <f t="shared" si="1"/>
        <v>100</v>
      </c>
      <c r="V14" s="705" t="s">
        <v>14</v>
      </c>
      <c r="W14" s="706">
        <f t="shared" si="2"/>
        <v>100</v>
      </c>
      <c r="X14" s="1354"/>
      <c r="Y14" s="372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30"/>
      <c r="Q15" s="1351"/>
      <c r="R15" s="705"/>
      <c r="S15" s="706"/>
      <c r="T15" s="705"/>
      <c r="U15" s="706"/>
      <c r="V15" s="705"/>
      <c r="W15" s="706"/>
      <c r="X15" s="1354"/>
      <c r="Y15" s="3730"/>
      <c r="Z15" s="1355"/>
      <c r="AA15" s="1352">
        <v>1</v>
      </c>
      <c r="AB15" s="1352">
        <v>1</v>
      </c>
      <c r="AC15" s="1352">
        <v>1</v>
      </c>
    </row>
    <row r="16" spans="1:29" ht="285">
      <c r="A16" s="358"/>
      <c r="B16" s="579" t="s">
        <v>1812</v>
      </c>
      <c r="C16" s="1898" t="str">
        <f>IF(B1="工业",估价对象房地状况!G5,估价对象房地状况!C7)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0"/>
      <c r="Q16" s="1351" t="str">
        <f>B16</f>
        <v>公共配套设施</v>
      </c>
      <c r="R16" s="705" t="s">
        <v>14</v>
      </c>
      <c r="S16" s="706">
        <f>F16</f>
        <v>100</v>
      </c>
      <c r="T16" s="705" t="s">
        <v>14</v>
      </c>
      <c r="U16" s="706">
        <f>H16</f>
        <v>100</v>
      </c>
      <c r="V16" s="705" t="s">
        <v>14</v>
      </c>
      <c r="W16" s="706">
        <f>J16</f>
        <v>100</v>
      </c>
      <c r="X16" s="1354"/>
      <c r="Y16" s="3730"/>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30"/>
      <c r="Q17" s="1351"/>
      <c r="R17" s="705"/>
      <c r="S17" s="706"/>
      <c r="T17" s="705"/>
      <c r="U17" s="706"/>
      <c r="V17" s="705"/>
      <c r="W17" s="706"/>
      <c r="X17" s="1354"/>
      <c r="Y17" s="3730"/>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0"/>
      <c r="Q18" s="1351" t="str">
        <f>B18</f>
        <v>基础设施水平</v>
      </c>
      <c r="R18" s="705" t="s">
        <v>14</v>
      </c>
      <c r="S18" s="706">
        <f>F18</f>
        <v>100</v>
      </c>
      <c r="T18" s="705" t="s">
        <v>14</v>
      </c>
      <c r="U18" s="706">
        <f>H18</f>
        <v>100</v>
      </c>
      <c r="V18" s="705" t="s">
        <v>14</v>
      </c>
      <c r="W18" s="706">
        <f>J18</f>
        <v>100</v>
      </c>
      <c r="X18" s="1354"/>
      <c r="Y18" s="3730"/>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30"/>
      <c r="Q19" s="1351"/>
      <c r="R19" s="705"/>
      <c r="S19" s="706"/>
      <c r="T19" s="705"/>
      <c r="U19" s="706"/>
      <c r="V19" s="705"/>
      <c r="W19" s="706"/>
      <c r="X19" s="1354"/>
      <c r="Y19" s="3730"/>
      <c r="Z19" s="1355"/>
      <c r="AA19" s="1352">
        <v>1</v>
      </c>
      <c r="AB19" s="1352">
        <v>1</v>
      </c>
      <c r="AC19" s="1352">
        <v>1</v>
      </c>
    </row>
    <row r="20" spans="1:29" ht="57">
      <c r="A20" s="358"/>
      <c r="B20" s="579" t="s">
        <v>1834</v>
      </c>
      <c r="C20" s="1898" t="str">
        <f>IF(B1="工业",估价对象房地状况!G7,估价对象房地状况!C9)</f>
        <v>区域自然环境：西小口公园；人文环境；综合评价环境状况较好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0"/>
      <c r="Q20" s="1351" t="str">
        <f>B20</f>
        <v>自然及人文环境</v>
      </c>
      <c r="R20" s="705" t="s">
        <v>14</v>
      </c>
      <c r="S20" s="706">
        <f>F20</f>
        <v>100</v>
      </c>
      <c r="T20" s="705" t="s">
        <v>14</v>
      </c>
      <c r="U20" s="706">
        <f>H20</f>
        <v>100</v>
      </c>
      <c r="V20" s="705" t="s">
        <v>14</v>
      </c>
      <c r="W20" s="706">
        <f>J20</f>
        <v>100</v>
      </c>
      <c r="X20" s="1354"/>
      <c r="Y20" s="373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30"/>
      <c r="Q21" s="1351"/>
      <c r="R21" s="705"/>
      <c r="S21" s="706"/>
      <c r="T21" s="705"/>
      <c r="U21" s="706"/>
      <c r="V21" s="705"/>
      <c r="W21" s="706"/>
      <c r="X21" s="1354"/>
      <c r="Y21" s="373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0"/>
      <c r="Q22" s="1351" t="str">
        <f>B22</f>
        <v>楼层</v>
      </c>
      <c r="R22" s="705" t="s">
        <v>14</v>
      </c>
      <c r="S22" s="706">
        <f>F22</f>
        <v>100</v>
      </c>
      <c r="T22" s="705" t="s">
        <v>14</v>
      </c>
      <c r="U22" s="706">
        <f>H22</f>
        <v>100</v>
      </c>
      <c r="V22" s="705" t="s">
        <v>14</v>
      </c>
      <c r="W22" s="706">
        <f>J22</f>
        <v>100</v>
      </c>
      <c r="X22" s="1354"/>
      <c r="Y22" s="373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0"/>
      <c r="Q23" s="1351">
        <f>B23</f>
        <v>111</v>
      </c>
      <c r="R23" s="705" t="s">
        <v>14</v>
      </c>
      <c r="S23" s="706">
        <f>F23</f>
        <v>100</v>
      </c>
      <c r="T23" s="705" t="s">
        <v>14</v>
      </c>
      <c r="U23" s="706">
        <f>H23</f>
        <v>100</v>
      </c>
      <c r="V23" s="705" t="s">
        <v>14</v>
      </c>
      <c r="W23" s="706">
        <f>J23</f>
        <v>100</v>
      </c>
      <c r="X23" s="1354"/>
      <c r="Y23" s="373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0"/>
      <c r="Q24" s="1351">
        <f t="shared" ref="Q24:Q36" si="11">B24</f>
        <v>111</v>
      </c>
      <c r="R24" s="705" t="s">
        <v>14</v>
      </c>
      <c r="S24" s="706">
        <f>F24</f>
        <v>100</v>
      </c>
      <c r="T24" s="705" t="s">
        <v>14</v>
      </c>
      <c r="U24" s="706">
        <f>H24</f>
        <v>100</v>
      </c>
      <c r="V24" s="705" t="s">
        <v>14</v>
      </c>
      <c r="W24" s="706">
        <f>J24</f>
        <v>100</v>
      </c>
      <c r="X24" s="1354"/>
      <c r="Y24" s="373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30"/>
      <c r="Q25" s="1342">
        <f t="shared" si="11"/>
        <v>111</v>
      </c>
      <c r="R25" s="701" t="s">
        <v>14</v>
      </c>
      <c r="S25" s="702">
        <f>F25</f>
        <v>100</v>
      </c>
      <c r="T25" s="701" t="s">
        <v>14</v>
      </c>
      <c r="U25" s="702">
        <f>H25</f>
        <v>100</v>
      </c>
      <c r="V25" s="701" t="s">
        <v>14</v>
      </c>
      <c r="W25" s="702">
        <f>J25</f>
        <v>100</v>
      </c>
      <c r="X25" s="703"/>
      <c r="Y25" s="3730"/>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4"/>
      <c r="Q28" s="1351" t="str">
        <f t="shared" si="11"/>
        <v>公共部分装修</v>
      </c>
      <c r="R28" s="705" t="s">
        <v>14</v>
      </c>
      <c r="S28" s="706">
        <f t="shared" si="12"/>
        <v>100</v>
      </c>
      <c r="T28" s="705" t="s">
        <v>14</v>
      </c>
      <c r="U28" s="706">
        <f t="shared" si="13"/>
        <v>100</v>
      </c>
      <c r="V28" s="705" t="s">
        <v>14</v>
      </c>
      <c r="W28" s="706">
        <f t="shared" si="14"/>
        <v>100</v>
      </c>
      <c r="X28" s="1354"/>
      <c r="Y28" s="373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4"/>
      <c r="Q29" s="1351" t="str">
        <f t="shared" si="11"/>
        <v>成新率</v>
      </c>
      <c r="R29" s="705" t="s">
        <v>14</v>
      </c>
      <c r="S29" s="706" t="e">
        <f t="shared" si="12"/>
        <v>#N/A</v>
      </c>
      <c r="T29" s="705" t="s">
        <v>14</v>
      </c>
      <c r="U29" s="706" t="e">
        <f t="shared" si="13"/>
        <v>#N/A</v>
      </c>
      <c r="V29" s="705" t="s">
        <v>14</v>
      </c>
      <c r="W29" s="706" t="e">
        <f t="shared" si="14"/>
        <v>#N/A</v>
      </c>
      <c r="X29" s="1354"/>
      <c r="Y29" s="373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4"/>
      <c r="Q30" s="1351" t="str">
        <f t="shared" si="11"/>
        <v>物业等级</v>
      </c>
      <c r="R30" s="705" t="s">
        <v>14</v>
      </c>
      <c r="S30" s="706">
        <f t="shared" si="12"/>
        <v>100</v>
      </c>
      <c r="T30" s="705" t="s">
        <v>14</v>
      </c>
      <c r="U30" s="706">
        <f t="shared" si="13"/>
        <v>100</v>
      </c>
      <c r="V30" s="705" t="s">
        <v>14</v>
      </c>
      <c r="W30" s="706">
        <f t="shared" si="14"/>
        <v>100</v>
      </c>
      <c r="X30" s="1354"/>
      <c r="Y30" s="373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4"/>
      <c r="Q31" s="1342"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4" t="s">
        <v>1696</v>
      </c>
      <c r="Q32" s="1351" t="str">
        <f t="shared" si="11"/>
        <v>车位类型</v>
      </c>
      <c r="R32" s="705" t="s">
        <v>14</v>
      </c>
      <c r="S32" s="706">
        <f t="shared" si="12"/>
        <v>100</v>
      </c>
      <c r="T32" s="705" t="s">
        <v>14</v>
      </c>
      <c r="U32" s="706">
        <f t="shared" si="13"/>
        <v>100</v>
      </c>
      <c r="V32" s="705" t="s">
        <v>14</v>
      </c>
      <c r="W32" s="706">
        <f t="shared" si="14"/>
        <v>100</v>
      </c>
      <c r="X32" s="1354"/>
      <c r="Y32" s="373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4"/>
      <c r="Q33" s="1351" t="str">
        <f t="shared" si="11"/>
        <v>是否直接入户</v>
      </c>
      <c r="R33" s="705" t="s">
        <v>14</v>
      </c>
      <c r="S33" s="706">
        <f t="shared" si="12"/>
        <v>100</v>
      </c>
      <c r="T33" s="705" t="s">
        <v>14</v>
      </c>
      <c r="U33" s="706">
        <f t="shared" si="13"/>
        <v>100</v>
      </c>
      <c r="V33" s="705" t="s">
        <v>14</v>
      </c>
      <c r="W33" s="706">
        <f t="shared" si="14"/>
        <v>100</v>
      </c>
      <c r="X33" s="1354"/>
      <c r="Y33" s="373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4"/>
      <c r="Q34" s="1351">
        <f t="shared" si="11"/>
        <v>111</v>
      </c>
      <c r="R34" s="705" t="s">
        <v>14</v>
      </c>
      <c r="S34" s="706">
        <f t="shared" si="12"/>
        <v>100</v>
      </c>
      <c r="T34" s="705" t="s">
        <v>14</v>
      </c>
      <c r="U34" s="706">
        <f t="shared" si="13"/>
        <v>100</v>
      </c>
      <c r="V34" s="705" t="s">
        <v>14</v>
      </c>
      <c r="W34" s="706">
        <f t="shared" si="14"/>
        <v>100</v>
      </c>
      <c r="X34" s="1354"/>
      <c r="Y34" s="373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4"/>
      <c r="Q36" s="1351">
        <f t="shared" si="11"/>
        <v>111</v>
      </c>
      <c r="R36" s="705" t="s">
        <v>14</v>
      </c>
      <c r="S36" s="706">
        <f t="shared" si="12"/>
        <v>100</v>
      </c>
      <c r="T36" s="705" t="s">
        <v>14</v>
      </c>
      <c r="U36" s="706">
        <f t="shared" si="13"/>
        <v>100</v>
      </c>
      <c r="V36" s="705" t="s">
        <v>14</v>
      </c>
      <c r="W36" s="706">
        <f t="shared" si="14"/>
        <v>100</v>
      </c>
      <c r="X36" s="1354"/>
      <c r="Y36" s="3734"/>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0"/>
      <c r="M4" s="2711"/>
      <c r="N4" s="2711"/>
      <c r="O4" s="2711"/>
      <c r="P4" s="3714" t="s">
        <v>1775</v>
      </c>
      <c r="Q4" s="3715"/>
      <c r="R4" s="3696" t="s">
        <v>1771</v>
      </c>
      <c r="S4" s="3697"/>
      <c r="T4" s="3696" t="s">
        <v>1772</v>
      </c>
      <c r="U4" s="3697"/>
      <c r="V4" s="3722" t="s">
        <v>1773</v>
      </c>
      <c r="W4" s="3722"/>
      <c r="X4" s="1354"/>
      <c r="Y4" s="3696" t="s">
        <v>1775</v>
      </c>
      <c r="Z4" s="3697"/>
      <c r="AA4" s="3691" t="s">
        <v>1771</v>
      </c>
      <c r="AB4" s="3692" t="s">
        <v>1772</v>
      </c>
      <c r="AC4" s="3691" t="s">
        <v>1773</v>
      </c>
    </row>
    <row r="5" spans="1:29" ht="15">
      <c r="A5" s="358"/>
      <c r="B5" s="359"/>
      <c r="C5" s="3706" t="s">
        <v>1673</v>
      </c>
      <c r="D5" s="3703"/>
      <c r="E5" s="3700" t="s">
        <v>1674</v>
      </c>
      <c r="F5" s="3701"/>
      <c r="G5" s="3706" t="s">
        <v>1675</v>
      </c>
      <c r="H5" s="3703"/>
      <c r="I5" s="3706" t="s">
        <v>1676</v>
      </c>
      <c r="J5" s="3703"/>
      <c r="K5" s="559"/>
      <c r="L5" s="2710"/>
      <c r="M5" s="2711"/>
      <c r="N5" s="2711"/>
      <c r="O5" s="2711"/>
      <c r="P5" s="3716"/>
      <c r="Q5" s="3717"/>
      <c r="R5" s="3698"/>
      <c r="S5" s="3699"/>
      <c r="T5" s="3698"/>
      <c r="U5" s="3699"/>
      <c r="V5" s="3722"/>
      <c r="W5" s="3722"/>
      <c r="X5" s="1354"/>
      <c r="Y5" s="3698"/>
      <c r="Z5" s="3699"/>
      <c r="AA5" s="3692"/>
      <c r="AB5" s="3692"/>
      <c r="AC5" s="3692"/>
    </row>
    <row r="6" spans="1:29" ht="15.75" thickBot="1">
      <c r="A6" s="360"/>
      <c r="B6" s="361"/>
      <c r="C6" s="3704" t="s">
        <v>1677</v>
      </c>
      <c r="D6" s="3705"/>
      <c r="E6" s="3707" t="s">
        <v>1677</v>
      </c>
      <c r="F6" s="3708"/>
      <c r="G6" s="3704" t="s">
        <v>1677</v>
      </c>
      <c r="H6" s="3705"/>
      <c r="I6" s="3704" t="s">
        <v>1677</v>
      </c>
      <c r="J6" s="3705"/>
      <c r="K6" s="559" t="s">
        <v>1678</v>
      </c>
      <c r="L6" s="2710"/>
      <c r="M6" s="2711"/>
      <c r="N6" s="2711"/>
      <c r="O6" s="2711"/>
      <c r="P6" s="3718"/>
      <c r="Q6" s="3719"/>
      <c r="R6" s="3698"/>
      <c r="S6" s="3699"/>
      <c r="T6" s="3720"/>
      <c r="U6" s="3721"/>
      <c r="V6" s="3722"/>
      <c r="W6" s="3722"/>
      <c r="X6" s="1354"/>
      <c r="Y6" s="3720"/>
      <c r="Z6" s="3721"/>
      <c r="AA6" s="3693"/>
      <c r="AB6" s="3693"/>
      <c r="AC6" s="3693"/>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94" t="s">
        <v>1680</v>
      </c>
      <c r="Q7" s="3723"/>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27" t="s">
        <v>1686</v>
      </c>
      <c r="Q9" s="1342"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27"/>
      <c r="Q10" s="1342"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27"/>
      <c r="Q11" s="1342">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27"/>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27"/>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71.25">
      <c r="A14" s="391" t="s">
        <v>1690</v>
      </c>
      <c r="B14" s="61" t="s">
        <v>1833</v>
      </c>
      <c r="C14" s="1967" t="str">
        <f>IF(B1="工业",估价对象房地状况!G4,估价对象房地状况!C6)</f>
        <v>周边有专89路、307路、315路、 407路、606路等多条公交线路，交通便捷度一般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9" t="s">
        <v>1691</v>
      </c>
      <c r="Q14" s="1351" t="str">
        <f t="shared" si="6"/>
        <v>交通便捷度</v>
      </c>
      <c r="R14" s="705" t="s">
        <v>14</v>
      </c>
      <c r="S14" s="706">
        <f t="shared" si="0"/>
        <v>100</v>
      </c>
      <c r="T14" s="705" t="s">
        <v>14</v>
      </c>
      <c r="U14" s="706">
        <f t="shared" si="1"/>
        <v>100</v>
      </c>
      <c r="V14" s="705" t="s">
        <v>14</v>
      </c>
      <c r="W14" s="706">
        <f t="shared" si="2"/>
        <v>100</v>
      </c>
      <c r="X14" s="1354"/>
      <c r="Y14" s="372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30"/>
      <c r="Q15" s="1351"/>
      <c r="R15" s="705"/>
      <c r="S15" s="706"/>
      <c r="T15" s="705"/>
      <c r="U15" s="706"/>
      <c r="V15" s="705"/>
      <c r="W15" s="706"/>
      <c r="X15" s="1354"/>
      <c r="Y15" s="3730"/>
      <c r="Z15" s="1355"/>
      <c r="AA15" s="1352">
        <v>1</v>
      </c>
      <c r="AB15" s="1352">
        <v>1</v>
      </c>
      <c r="AC15" s="1352">
        <v>1</v>
      </c>
    </row>
    <row r="16" spans="1:29" ht="285">
      <c r="A16" s="379"/>
      <c r="B16" s="402" t="s">
        <v>1812</v>
      </c>
      <c r="C16" s="1898" t="str">
        <f>IF(B1="工业",估价对象房地状况!G5,估价对象房地状况!C7)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0"/>
      <c r="Q16" s="1351" t="str">
        <f>B16</f>
        <v>公共配套设施</v>
      </c>
      <c r="R16" s="705" t="s">
        <v>14</v>
      </c>
      <c r="S16" s="706">
        <f>F16</f>
        <v>100</v>
      </c>
      <c r="T16" s="705" t="s">
        <v>14</v>
      </c>
      <c r="U16" s="706">
        <f>H16</f>
        <v>100</v>
      </c>
      <c r="V16" s="705" t="s">
        <v>14</v>
      </c>
      <c r="W16" s="706">
        <f>J16</f>
        <v>100</v>
      </c>
      <c r="X16" s="1354"/>
      <c r="Y16" s="3730"/>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30"/>
      <c r="Q17" s="1351"/>
      <c r="R17" s="705"/>
      <c r="S17" s="706"/>
      <c r="T17" s="705"/>
      <c r="U17" s="706"/>
      <c r="V17" s="705"/>
      <c r="W17" s="706"/>
      <c r="X17" s="1354"/>
      <c r="Y17" s="3730"/>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0"/>
      <c r="Q18" s="1351" t="str">
        <f>B18</f>
        <v>基础设施水平</v>
      </c>
      <c r="R18" s="705" t="s">
        <v>14</v>
      </c>
      <c r="S18" s="706">
        <f>F18</f>
        <v>100</v>
      </c>
      <c r="T18" s="705" t="s">
        <v>14</v>
      </c>
      <c r="U18" s="706">
        <f>H18</f>
        <v>100</v>
      </c>
      <c r="V18" s="705" t="s">
        <v>14</v>
      </c>
      <c r="W18" s="706">
        <f>J18</f>
        <v>100</v>
      </c>
      <c r="X18" s="1354"/>
      <c r="Y18" s="3730"/>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30"/>
      <c r="Q19" s="1351"/>
      <c r="R19" s="705"/>
      <c r="S19" s="706"/>
      <c r="T19" s="705"/>
      <c r="U19" s="706"/>
      <c r="V19" s="705"/>
      <c r="W19" s="706"/>
      <c r="X19" s="1354"/>
      <c r="Y19" s="3730"/>
      <c r="Z19" s="1355"/>
      <c r="AA19" s="1352">
        <v>1</v>
      </c>
      <c r="AB19" s="1352">
        <v>1</v>
      </c>
      <c r="AC19" s="1352">
        <v>1</v>
      </c>
    </row>
    <row r="20" spans="1:29" ht="57">
      <c r="A20" s="379"/>
      <c r="B20" s="402" t="s">
        <v>1834</v>
      </c>
      <c r="C20" s="1898" t="str">
        <f>IF(B1="工业",估价对象房地状况!G7,估价对象房地状况!C9)</f>
        <v>区域自然环境：西小口公园；人文环境；综合评价环境状况较好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0"/>
      <c r="Q20" s="1351" t="str">
        <f>B20</f>
        <v>自然及人文环境</v>
      </c>
      <c r="R20" s="705" t="s">
        <v>14</v>
      </c>
      <c r="S20" s="706">
        <f>F20</f>
        <v>100</v>
      </c>
      <c r="T20" s="705" t="s">
        <v>14</v>
      </c>
      <c r="U20" s="706">
        <f>H20</f>
        <v>100</v>
      </c>
      <c r="V20" s="705" t="s">
        <v>14</v>
      </c>
      <c r="W20" s="706">
        <f>J20</f>
        <v>100</v>
      </c>
      <c r="X20" s="1354"/>
      <c r="Y20" s="373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30"/>
      <c r="Q21" s="1351"/>
      <c r="R21" s="705"/>
      <c r="S21" s="706"/>
      <c r="T21" s="705"/>
      <c r="U21" s="706"/>
      <c r="V21" s="705"/>
      <c r="W21" s="706"/>
      <c r="X21" s="1354"/>
      <c r="Y21" s="373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0"/>
      <c r="Q22" s="1351" t="str">
        <f>B22</f>
        <v>楼层</v>
      </c>
      <c r="R22" s="705" t="s">
        <v>14</v>
      </c>
      <c r="S22" s="706">
        <f>F22</f>
        <v>100</v>
      </c>
      <c r="T22" s="705" t="s">
        <v>14</v>
      </c>
      <c r="U22" s="706">
        <f>H22</f>
        <v>100</v>
      </c>
      <c r="V22" s="705" t="s">
        <v>14</v>
      </c>
      <c r="W22" s="706">
        <f>J22</f>
        <v>100</v>
      </c>
      <c r="X22" s="1354"/>
      <c r="Y22" s="3730"/>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0"/>
      <c r="Q23" s="1351">
        <f>B23</f>
        <v>111</v>
      </c>
      <c r="R23" s="705" t="s">
        <v>14</v>
      </c>
      <c r="S23" s="706">
        <f>F23</f>
        <v>100</v>
      </c>
      <c r="T23" s="705" t="s">
        <v>14</v>
      </c>
      <c r="U23" s="706">
        <f>H23</f>
        <v>100</v>
      </c>
      <c r="V23" s="705" t="s">
        <v>14</v>
      </c>
      <c r="W23" s="706">
        <f>J23</f>
        <v>100</v>
      </c>
      <c r="X23" s="1354"/>
      <c r="Y23" s="3730"/>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0"/>
      <c r="Q24" s="1351">
        <f t="shared" ref="Q24:Q34" si="11">B24</f>
        <v>111</v>
      </c>
      <c r="R24" s="705" t="s">
        <v>14</v>
      </c>
      <c r="S24" s="706">
        <f>F24</f>
        <v>100</v>
      </c>
      <c r="T24" s="705" t="s">
        <v>14</v>
      </c>
      <c r="U24" s="706">
        <f>H24</f>
        <v>100</v>
      </c>
      <c r="V24" s="705" t="s">
        <v>14</v>
      </c>
      <c r="W24" s="706">
        <f>J24</f>
        <v>100</v>
      </c>
      <c r="X24" s="1354"/>
      <c r="Y24" s="3730"/>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30"/>
      <c r="Q25" s="1342">
        <f t="shared" si="11"/>
        <v>111</v>
      </c>
      <c r="R25" s="701" t="s">
        <v>14</v>
      </c>
      <c r="S25" s="702">
        <f>F25</f>
        <v>100</v>
      </c>
      <c r="T25" s="701" t="s">
        <v>14</v>
      </c>
      <c r="U25" s="702">
        <f>H25</f>
        <v>100</v>
      </c>
      <c r="V25" s="701" t="s">
        <v>14</v>
      </c>
      <c r="W25" s="702">
        <f>J25</f>
        <v>100</v>
      </c>
      <c r="X25" s="703"/>
      <c r="Y25" s="3730"/>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4"/>
      <c r="Q28" s="1351" t="str">
        <f t="shared" si="11"/>
        <v>物业等级</v>
      </c>
      <c r="R28" s="705" t="s">
        <v>14</v>
      </c>
      <c r="S28" s="706">
        <f t="shared" si="12"/>
        <v>100</v>
      </c>
      <c r="T28" s="705" t="s">
        <v>14</v>
      </c>
      <c r="U28" s="706">
        <f t="shared" si="13"/>
        <v>100</v>
      </c>
      <c r="V28" s="705" t="s">
        <v>14</v>
      </c>
      <c r="W28" s="706">
        <f t="shared" si="14"/>
        <v>100</v>
      </c>
      <c r="X28" s="1354"/>
      <c r="Y28" s="373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4"/>
      <c r="Q29" s="1351" t="str">
        <f t="shared" si="11"/>
        <v>有无电梯</v>
      </c>
      <c r="R29" s="705" t="s">
        <v>14</v>
      </c>
      <c r="S29" s="706">
        <f t="shared" si="12"/>
        <v>100</v>
      </c>
      <c r="T29" s="705" t="s">
        <v>14</v>
      </c>
      <c r="U29" s="706">
        <f t="shared" si="13"/>
        <v>100</v>
      </c>
      <c r="V29" s="705" t="s">
        <v>14</v>
      </c>
      <c r="W29" s="706">
        <f t="shared" si="14"/>
        <v>100</v>
      </c>
      <c r="X29" s="1354"/>
      <c r="Y29" s="373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4"/>
      <c r="Q30" s="1351" t="str">
        <f t="shared" si="11"/>
        <v>建筑面积</v>
      </c>
      <c r="R30" s="705" t="s">
        <v>14</v>
      </c>
      <c r="S30" s="706" t="e">
        <f t="shared" si="12"/>
        <v>#N/A</v>
      </c>
      <c r="T30" s="705" t="s">
        <v>14</v>
      </c>
      <c r="U30" s="706" t="e">
        <f t="shared" si="13"/>
        <v>#N/A</v>
      </c>
      <c r="V30" s="705" t="s">
        <v>14</v>
      </c>
      <c r="W30" s="706" t="e">
        <f t="shared" si="14"/>
        <v>#N/A</v>
      </c>
      <c r="X30" s="1354"/>
      <c r="Y30" s="373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4"/>
      <c r="Q31" s="1342"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4" t="s">
        <v>1696</v>
      </c>
      <c r="Q32" s="1351">
        <f t="shared" si="11"/>
        <v>111</v>
      </c>
      <c r="R32" s="705" t="s">
        <v>14</v>
      </c>
      <c r="S32" s="706">
        <f t="shared" si="12"/>
        <v>100</v>
      </c>
      <c r="T32" s="705" t="s">
        <v>14</v>
      </c>
      <c r="U32" s="706">
        <f t="shared" si="13"/>
        <v>100</v>
      </c>
      <c r="V32" s="705" t="s">
        <v>14</v>
      </c>
      <c r="W32" s="706">
        <f t="shared" si="14"/>
        <v>100</v>
      </c>
      <c r="X32" s="1354"/>
      <c r="Y32" s="3734"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4"/>
      <c r="Q33" s="1351">
        <f t="shared" si="11"/>
        <v>111</v>
      </c>
      <c r="R33" s="705" t="s">
        <v>14</v>
      </c>
      <c r="S33" s="706">
        <f t="shared" si="12"/>
        <v>100</v>
      </c>
      <c r="T33" s="705" t="s">
        <v>14</v>
      </c>
      <c r="U33" s="706">
        <f t="shared" si="13"/>
        <v>100</v>
      </c>
      <c r="V33" s="705" t="s">
        <v>14</v>
      </c>
      <c r="W33" s="706">
        <f t="shared" si="14"/>
        <v>100</v>
      </c>
      <c r="X33" s="1354"/>
      <c r="Y33" s="3734"/>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34"/>
      <c r="Q34" s="1351">
        <f t="shared" si="11"/>
        <v>111</v>
      </c>
      <c r="R34" s="705" t="s">
        <v>14</v>
      </c>
      <c r="S34" s="706">
        <f t="shared" si="12"/>
        <v>100</v>
      </c>
      <c r="T34" s="705" t="s">
        <v>14</v>
      </c>
      <c r="U34" s="706">
        <f t="shared" si="13"/>
        <v>100</v>
      </c>
      <c r="V34" s="705" t="s">
        <v>14</v>
      </c>
      <c r="W34" s="706">
        <f t="shared" si="14"/>
        <v>100</v>
      </c>
      <c r="X34" s="1354"/>
      <c r="Y34" s="373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0"/>
      <c r="M4" s="2711"/>
      <c r="N4" s="2711"/>
      <c r="O4" s="2711"/>
      <c r="P4" s="3714" t="s">
        <v>1775</v>
      </c>
      <c r="Q4" s="3715"/>
      <c r="R4" s="3696" t="s">
        <v>1771</v>
      </c>
      <c r="S4" s="3697"/>
      <c r="T4" s="3696" t="s">
        <v>1772</v>
      </c>
      <c r="U4" s="3697"/>
      <c r="V4" s="3722" t="s">
        <v>1773</v>
      </c>
      <c r="W4" s="3722"/>
      <c r="X4" s="1354"/>
      <c r="Y4" s="3696" t="s">
        <v>1775</v>
      </c>
      <c r="Z4" s="3697"/>
      <c r="AA4" s="3691" t="s">
        <v>1771</v>
      </c>
      <c r="AB4" s="3692" t="s">
        <v>1772</v>
      </c>
      <c r="AC4" s="3691" t="s">
        <v>1773</v>
      </c>
    </row>
    <row r="5" spans="1:30" ht="15">
      <c r="A5" s="358"/>
      <c r="B5" s="359"/>
      <c r="C5" s="3706" t="s">
        <v>1673</v>
      </c>
      <c r="D5" s="3703"/>
      <c r="E5" s="3700" t="s">
        <v>1674</v>
      </c>
      <c r="F5" s="3701"/>
      <c r="G5" s="3706" t="s">
        <v>1675</v>
      </c>
      <c r="H5" s="3703"/>
      <c r="I5" s="3706" t="s">
        <v>1676</v>
      </c>
      <c r="J5" s="3703"/>
      <c r="K5" s="559"/>
      <c r="L5" s="2710"/>
      <c r="M5" s="2711"/>
      <c r="N5" s="2711"/>
      <c r="O5" s="2711"/>
      <c r="P5" s="3716"/>
      <c r="Q5" s="3717"/>
      <c r="R5" s="3698"/>
      <c r="S5" s="3699"/>
      <c r="T5" s="3698"/>
      <c r="U5" s="3699"/>
      <c r="V5" s="3722"/>
      <c r="W5" s="3722"/>
      <c r="X5" s="1354"/>
      <c r="Y5" s="3698"/>
      <c r="Z5" s="3699"/>
      <c r="AA5" s="3692"/>
      <c r="AB5" s="3692"/>
      <c r="AC5" s="3692"/>
    </row>
    <row r="6" spans="1:30" ht="15.75" thickBot="1">
      <c r="A6" s="360"/>
      <c r="B6" s="361"/>
      <c r="C6" s="3704" t="s">
        <v>1677</v>
      </c>
      <c r="D6" s="3705"/>
      <c r="E6" s="3707" t="s">
        <v>1677</v>
      </c>
      <c r="F6" s="3708"/>
      <c r="G6" s="3704" t="s">
        <v>1677</v>
      </c>
      <c r="H6" s="3705"/>
      <c r="I6" s="3704" t="s">
        <v>1677</v>
      </c>
      <c r="J6" s="3705"/>
      <c r="K6" s="559" t="s">
        <v>1678</v>
      </c>
      <c r="L6" s="2710"/>
      <c r="M6" s="2711"/>
      <c r="N6" s="2711"/>
      <c r="O6" s="2711"/>
      <c r="P6" s="3718"/>
      <c r="Q6" s="3719"/>
      <c r="R6" s="3698"/>
      <c r="S6" s="3699"/>
      <c r="T6" s="3720"/>
      <c r="U6" s="3721"/>
      <c r="V6" s="3722"/>
      <c r="W6" s="3722"/>
      <c r="X6" s="1354"/>
      <c r="Y6" s="3720"/>
      <c r="Z6" s="3721"/>
      <c r="AA6" s="3693"/>
      <c r="AB6" s="3693"/>
      <c r="AC6" s="3693"/>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94" t="s">
        <v>1680</v>
      </c>
      <c r="Q7" s="3723"/>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27"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4"/>
      <c r="M10" s="2715"/>
      <c r="N10" s="2715"/>
      <c r="O10" s="2768"/>
      <c r="P10" s="3727"/>
      <c r="Q10" s="1342" t="str">
        <f t="shared" si="6"/>
        <v>土地使用年限（年）</v>
      </c>
      <c r="R10" s="701" t="s">
        <v>14</v>
      </c>
      <c r="S10" s="702">
        <f t="shared" si="0"/>
        <v>108</v>
      </c>
      <c r="T10" s="701" t="s">
        <v>14</v>
      </c>
      <c r="U10" s="702">
        <f t="shared" si="1"/>
        <v>108</v>
      </c>
      <c r="V10" s="701" t="s">
        <v>14</v>
      </c>
      <c r="W10" s="702">
        <f t="shared" si="2"/>
        <v>108</v>
      </c>
      <c r="X10" s="703"/>
      <c r="Y10" s="3641"/>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27"/>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27"/>
      <c r="Q12" s="1342"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27"/>
      <c r="Q13" s="1342">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27"/>
      <c r="Q14" s="1342">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71.25">
      <c r="A15" s="391" t="s">
        <v>1690</v>
      </c>
      <c r="B15" s="61" t="s">
        <v>1257</v>
      </c>
      <c r="C15" s="1894" t="str">
        <f>估价对象房地状况!C15</f>
        <v>周边有上林溪、沁春家园、悦秀园等住宅小区项目，居住社区成熟度较好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29" t="s">
        <v>1691</v>
      </c>
      <c r="Q15" s="1351" t="str">
        <f t="shared" si="6"/>
        <v>居住社区成熟度</v>
      </c>
      <c r="R15" s="705" t="s">
        <v>14</v>
      </c>
      <c r="S15" s="706">
        <f t="shared" si="0"/>
        <v>100</v>
      </c>
      <c r="T15" s="705" t="s">
        <v>14</v>
      </c>
      <c r="U15" s="706">
        <f t="shared" si="1"/>
        <v>100</v>
      </c>
      <c r="V15" s="705" t="s">
        <v>14</v>
      </c>
      <c r="W15" s="706">
        <f t="shared" si="2"/>
        <v>100</v>
      </c>
      <c r="X15" s="1354"/>
      <c r="Y15" s="3729"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30"/>
      <c r="Q16" s="1351"/>
      <c r="R16" s="705"/>
      <c r="S16" s="706"/>
      <c r="T16" s="705"/>
      <c r="U16" s="706"/>
      <c r="V16" s="705"/>
      <c r="W16" s="706"/>
      <c r="X16" s="1354"/>
      <c r="Y16" s="3730"/>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30"/>
      <c r="Q17" s="1351" t="str">
        <f>B17</f>
        <v>商业繁华度</v>
      </c>
      <c r="R17" s="705" t="s">
        <v>14</v>
      </c>
      <c r="S17" s="706">
        <f>F17</f>
        <v>100</v>
      </c>
      <c r="T17" s="705" t="s">
        <v>14</v>
      </c>
      <c r="U17" s="706">
        <f>H17</f>
        <v>100</v>
      </c>
      <c r="V17" s="705" t="s">
        <v>14</v>
      </c>
      <c r="W17" s="706">
        <f>J17</f>
        <v>100</v>
      </c>
      <c r="X17" s="1354"/>
      <c r="Y17" s="3730"/>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30"/>
      <c r="Q18" s="1351"/>
      <c r="R18" s="705"/>
      <c r="S18" s="706"/>
      <c r="T18" s="705"/>
      <c r="U18" s="706"/>
      <c r="V18" s="705"/>
      <c r="W18" s="706"/>
      <c r="X18" s="1354"/>
      <c r="Y18" s="3730"/>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30"/>
      <c r="Q19" s="1351" t="str">
        <f>B19</f>
        <v>办公集聚程度</v>
      </c>
      <c r="R19" s="705" t="s">
        <v>14</v>
      </c>
      <c r="S19" s="706">
        <f>F19</f>
        <v>100</v>
      </c>
      <c r="T19" s="705" t="s">
        <v>14</v>
      </c>
      <c r="U19" s="706">
        <f>H19</f>
        <v>100</v>
      </c>
      <c r="V19" s="705" t="s">
        <v>14</v>
      </c>
      <c r="W19" s="706">
        <f>J19</f>
        <v>100</v>
      </c>
      <c r="X19" s="1354"/>
      <c r="Y19" s="3730"/>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30"/>
      <c r="Q20" s="1351"/>
      <c r="R20" s="705"/>
      <c r="S20" s="706"/>
      <c r="T20" s="705"/>
      <c r="U20" s="706"/>
      <c r="V20" s="705"/>
      <c r="W20" s="706"/>
      <c r="X20" s="1354"/>
      <c r="Y20" s="3730"/>
      <c r="Z20" s="1355"/>
      <c r="AA20" s="1352">
        <v>1</v>
      </c>
      <c r="AB20" s="1352">
        <v>1</v>
      </c>
      <c r="AC20" s="1352">
        <v>1</v>
      </c>
    </row>
    <row r="21" spans="1:29" ht="71.25">
      <c r="A21" s="379"/>
      <c r="B21" s="402" t="s">
        <v>1833</v>
      </c>
      <c r="C21" s="1898" t="str">
        <f>估价对象房地状况!C18</f>
        <v>周边有专89路、307路、315路、 407路、606路等多条公交线路，交通便捷度一般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30"/>
      <c r="Q21" s="1351" t="str">
        <f>B21</f>
        <v>交通便捷度</v>
      </c>
      <c r="R21" s="705" t="s">
        <v>14</v>
      </c>
      <c r="S21" s="706">
        <f>F21</f>
        <v>100</v>
      </c>
      <c r="T21" s="705" t="s">
        <v>14</v>
      </c>
      <c r="U21" s="706">
        <f>H21</f>
        <v>100</v>
      </c>
      <c r="V21" s="705" t="s">
        <v>14</v>
      </c>
      <c r="W21" s="706">
        <f>J21</f>
        <v>100</v>
      </c>
      <c r="X21" s="1354"/>
      <c r="Y21" s="3730"/>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30"/>
      <c r="Q22" s="1351"/>
      <c r="R22" s="705"/>
      <c r="S22" s="706"/>
      <c r="T22" s="705"/>
      <c r="U22" s="706"/>
      <c r="V22" s="705"/>
      <c r="W22" s="706"/>
      <c r="X22" s="1354"/>
      <c r="Y22" s="373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30"/>
      <c r="Q23" s="1351" t="str">
        <f t="shared" ref="Q23:Q37" si="8">B23</f>
        <v>区域土地利用方向</v>
      </c>
      <c r="R23" s="705" t="s">
        <v>14</v>
      </c>
      <c r="S23" s="706">
        <f>F23</f>
        <v>100</v>
      </c>
      <c r="T23" s="705" t="s">
        <v>14</v>
      </c>
      <c r="U23" s="706">
        <f>H23</f>
        <v>100</v>
      </c>
      <c r="V23" s="705" t="s">
        <v>14</v>
      </c>
      <c r="W23" s="706">
        <f>J23</f>
        <v>100</v>
      </c>
      <c r="X23" s="1354"/>
      <c r="Y23" s="3730"/>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30"/>
      <c r="Q24" s="1351"/>
      <c r="R24" s="705"/>
      <c r="S24" s="706"/>
      <c r="T24" s="705"/>
      <c r="U24" s="706"/>
      <c r="V24" s="705"/>
      <c r="W24" s="706"/>
      <c r="X24" s="1354"/>
      <c r="Y24" s="3730"/>
      <c r="Z24" s="1355"/>
      <c r="AA24" s="1352"/>
      <c r="AB24" s="1352"/>
      <c r="AC24" s="1352"/>
    </row>
    <row r="25" spans="1:29" ht="57">
      <c r="A25" s="358"/>
      <c r="B25" s="1131" t="s">
        <v>1872</v>
      </c>
      <c r="C25" s="1951" t="str">
        <f>估价对象房地状况!C20</f>
        <v>区域自然环境：西小口公园；人文环境；综合评价环境状况较好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30"/>
      <c r="Q25" s="1351" t="str">
        <f t="shared" si="8"/>
        <v>自然及人文环境状况</v>
      </c>
      <c r="R25" s="705" t="s">
        <v>14</v>
      </c>
      <c r="S25" s="706">
        <f>F25</f>
        <v>100</v>
      </c>
      <c r="T25" s="705" t="s">
        <v>14</v>
      </c>
      <c r="U25" s="706">
        <f>H25</f>
        <v>100</v>
      </c>
      <c r="V25" s="705" t="s">
        <v>14</v>
      </c>
      <c r="W25" s="706">
        <f>J25</f>
        <v>100</v>
      </c>
      <c r="X25" s="1354"/>
      <c r="Y25" s="3730"/>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30"/>
      <c r="Q26" s="1351"/>
      <c r="R26" s="705"/>
      <c r="S26" s="706"/>
      <c r="T26" s="705"/>
      <c r="U26" s="706"/>
      <c r="V26" s="705"/>
      <c r="W26" s="706"/>
      <c r="X26" s="1354"/>
      <c r="Y26" s="3730"/>
      <c r="Z26" s="1355"/>
      <c r="AA26" s="1352">
        <v>1</v>
      </c>
      <c r="AB26" s="1352">
        <v>1</v>
      </c>
      <c r="AC26" s="1352">
        <v>1</v>
      </c>
    </row>
    <row r="27" spans="1:29" s="108" customFormat="1" ht="285">
      <c r="A27" s="597"/>
      <c r="B27" s="1131" t="s">
        <v>1778</v>
      </c>
      <c r="C27" s="1898"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30"/>
      <c r="Q27" s="1342" t="str">
        <f t="shared" si="8"/>
        <v>公共配套设施</v>
      </c>
      <c r="R27" s="701" t="s">
        <v>14</v>
      </c>
      <c r="S27" s="702">
        <f>F27</f>
        <v>100</v>
      </c>
      <c r="T27" s="701" t="s">
        <v>14</v>
      </c>
      <c r="U27" s="702">
        <f>H27</f>
        <v>100</v>
      </c>
      <c r="V27" s="701" t="s">
        <v>14</v>
      </c>
      <c r="W27" s="702">
        <f>J27</f>
        <v>100</v>
      </c>
      <c r="X27" s="703"/>
      <c r="Y27" s="3730"/>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30"/>
      <c r="Q28" s="1342"/>
      <c r="R28" s="701"/>
      <c r="S28" s="702"/>
      <c r="T28" s="701"/>
      <c r="U28" s="702"/>
      <c r="V28" s="701"/>
      <c r="W28" s="702"/>
      <c r="X28" s="703"/>
      <c r="Y28" s="3730"/>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30"/>
      <c r="Q29" s="1342"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30"/>
      <c r="Q30" s="1342"/>
      <c r="R30" s="701"/>
      <c r="S30" s="702"/>
      <c r="T30" s="701"/>
      <c r="U30" s="702"/>
      <c r="V30" s="701"/>
      <c r="W30" s="702"/>
      <c r="X30" s="703"/>
      <c r="Y30" s="373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3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30"/>
      <c r="Q32" s="1351" t="str">
        <f t="shared" si="8"/>
        <v>毗邻道路的类型与等级</v>
      </c>
      <c r="R32" s="705" t="s">
        <v>14</v>
      </c>
      <c r="S32" s="706">
        <f t="shared" si="10"/>
        <v>100</v>
      </c>
      <c r="T32" s="705" t="s">
        <v>14</v>
      </c>
      <c r="U32" s="706">
        <f t="shared" si="11"/>
        <v>100</v>
      </c>
      <c r="V32" s="705" t="s">
        <v>14</v>
      </c>
      <c r="W32" s="706">
        <f t="shared" si="12"/>
        <v>100</v>
      </c>
      <c r="X32" s="1354"/>
      <c r="Y32" s="3730"/>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30"/>
      <c r="Q33" s="1351"/>
      <c r="R33" s="705"/>
      <c r="S33" s="706"/>
      <c r="T33" s="705"/>
      <c r="U33" s="706"/>
      <c r="V33" s="705"/>
      <c r="W33" s="706"/>
      <c r="X33" s="1354"/>
      <c r="Y33" s="373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30"/>
      <c r="Q34" s="1351" t="str">
        <f t="shared" si="8"/>
        <v>土地级别</v>
      </c>
      <c r="R34" s="705" t="s">
        <v>14</v>
      </c>
      <c r="S34" s="706">
        <f t="shared" si="10"/>
        <v>100</v>
      </c>
      <c r="T34" s="705" t="s">
        <v>14</v>
      </c>
      <c r="U34" s="706">
        <f t="shared" si="11"/>
        <v>100</v>
      </c>
      <c r="V34" s="705" t="s">
        <v>14</v>
      </c>
      <c r="W34" s="706">
        <f t="shared" si="12"/>
        <v>100</v>
      </c>
      <c r="X34" s="1354"/>
      <c r="Y34" s="373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30"/>
      <c r="Q35" s="1351">
        <f t="shared" si="8"/>
        <v>111</v>
      </c>
      <c r="R35" s="705" t="s">
        <v>14</v>
      </c>
      <c r="S35" s="706">
        <f t="shared" si="10"/>
        <v>100</v>
      </c>
      <c r="T35" s="705" t="s">
        <v>14</v>
      </c>
      <c r="U35" s="706">
        <f t="shared" si="11"/>
        <v>100</v>
      </c>
      <c r="V35" s="705" t="s">
        <v>14</v>
      </c>
      <c r="W35" s="706">
        <f t="shared" si="12"/>
        <v>100</v>
      </c>
      <c r="X35" s="1354"/>
      <c r="Y35" s="373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3" t="s">
        <v>1696</v>
      </c>
      <c r="Q36" s="1351">
        <f t="shared" si="8"/>
        <v>111</v>
      </c>
      <c r="R36" s="705" t="s">
        <v>14</v>
      </c>
      <c r="S36" s="706">
        <f t="shared" si="10"/>
        <v>100</v>
      </c>
      <c r="T36" s="705" t="s">
        <v>14</v>
      </c>
      <c r="U36" s="706">
        <f t="shared" si="11"/>
        <v>100</v>
      </c>
      <c r="V36" s="705" t="s">
        <v>14</v>
      </c>
      <c r="W36" s="706">
        <f t="shared" si="12"/>
        <v>100</v>
      </c>
      <c r="X36" s="1354"/>
      <c r="Y36" s="373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4"/>
      <c r="Q37" s="1351">
        <f t="shared" si="8"/>
        <v>111</v>
      </c>
      <c r="R37" s="708" t="s">
        <v>14</v>
      </c>
      <c r="S37" s="709">
        <f t="shared" si="10"/>
        <v>100</v>
      </c>
      <c r="T37" s="708" t="s">
        <v>14</v>
      </c>
      <c r="U37" s="709">
        <f t="shared" si="11"/>
        <v>100</v>
      </c>
      <c r="V37" s="708" t="s">
        <v>14</v>
      </c>
      <c r="W37" s="709">
        <f t="shared" si="12"/>
        <v>100</v>
      </c>
      <c r="X37" s="710"/>
      <c r="Y37" s="373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34"/>
      <c r="Q38" s="1351" t="str">
        <f>B38</f>
        <v>宗地面积</v>
      </c>
      <c r="R38" s="705" t="s">
        <v>14</v>
      </c>
      <c r="S38" s="706" t="e">
        <f t="shared" si="10"/>
        <v>#N/A</v>
      </c>
      <c r="T38" s="705" t="s">
        <v>14</v>
      </c>
      <c r="U38" s="706" t="e">
        <f t="shared" si="11"/>
        <v>#N/A</v>
      </c>
      <c r="V38" s="705" t="s">
        <v>14</v>
      </c>
      <c r="W38" s="706" t="e">
        <f t="shared" si="12"/>
        <v>#N/A</v>
      </c>
      <c r="X38" s="1354"/>
      <c r="Y38" s="3734"/>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34"/>
      <c r="Q39" s="1351" t="str">
        <f t="shared" ref="Q39:Q45" si="14">B39</f>
        <v>宗地形状</v>
      </c>
      <c r="R39" s="705" t="s">
        <v>14</v>
      </c>
      <c r="S39" s="706">
        <f t="shared" si="10"/>
        <v>100</v>
      </c>
      <c r="T39" s="705" t="s">
        <v>14</v>
      </c>
      <c r="U39" s="706">
        <f t="shared" si="11"/>
        <v>100</v>
      </c>
      <c r="V39" s="705" t="s">
        <v>14</v>
      </c>
      <c r="W39" s="706">
        <f t="shared" si="12"/>
        <v>100</v>
      </c>
      <c r="X39" s="1354"/>
      <c r="Y39" s="3734"/>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34"/>
      <c r="Q40" s="1351" t="str">
        <f t="shared" si="14"/>
        <v>临街宽度及深度</v>
      </c>
      <c r="R40" s="705" t="s">
        <v>14</v>
      </c>
      <c r="S40" s="706">
        <f t="shared" si="10"/>
        <v>100</v>
      </c>
      <c r="T40" s="705" t="s">
        <v>14</v>
      </c>
      <c r="U40" s="706">
        <f t="shared" si="11"/>
        <v>100</v>
      </c>
      <c r="V40" s="705" t="s">
        <v>14</v>
      </c>
      <c r="W40" s="706">
        <f t="shared" si="12"/>
        <v>100</v>
      </c>
      <c r="X40" s="1354"/>
      <c r="Y40" s="3734"/>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34"/>
      <c r="Q41" s="1351"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34" t="s">
        <v>1696</v>
      </c>
      <c r="Q42" s="1351" t="str">
        <f t="shared" si="14"/>
        <v>工程地质条件</v>
      </c>
      <c r="R42" s="705" t="s">
        <v>14</v>
      </c>
      <c r="S42" s="706">
        <f t="shared" si="10"/>
        <v>100</v>
      </c>
      <c r="T42" s="705" t="s">
        <v>14</v>
      </c>
      <c r="U42" s="706">
        <f t="shared" si="11"/>
        <v>100</v>
      </c>
      <c r="V42" s="705" t="s">
        <v>14</v>
      </c>
      <c r="W42" s="706">
        <f t="shared" si="12"/>
        <v>100</v>
      </c>
      <c r="X42" s="1354"/>
      <c r="Y42" s="373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4"/>
      <c r="Q43" s="1351">
        <f t="shared" si="14"/>
        <v>111</v>
      </c>
      <c r="R43" s="705" t="s">
        <v>14</v>
      </c>
      <c r="S43" s="706">
        <f t="shared" si="10"/>
        <v>100</v>
      </c>
      <c r="T43" s="705" t="s">
        <v>14</v>
      </c>
      <c r="U43" s="706">
        <f t="shared" si="11"/>
        <v>100</v>
      </c>
      <c r="V43" s="705" t="s">
        <v>14</v>
      </c>
      <c r="W43" s="706">
        <f t="shared" si="12"/>
        <v>100</v>
      </c>
      <c r="X43" s="1354"/>
      <c r="Y43" s="373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4"/>
      <c r="Q44" s="1351">
        <f t="shared" si="14"/>
        <v>111</v>
      </c>
      <c r="R44" s="705" t="s">
        <v>14</v>
      </c>
      <c r="S44" s="706">
        <f t="shared" si="10"/>
        <v>100</v>
      </c>
      <c r="T44" s="705" t="s">
        <v>14</v>
      </c>
      <c r="U44" s="706">
        <f t="shared" si="11"/>
        <v>100</v>
      </c>
      <c r="V44" s="705" t="s">
        <v>14</v>
      </c>
      <c r="W44" s="706">
        <f t="shared" si="12"/>
        <v>100</v>
      </c>
      <c r="X44" s="1354"/>
      <c r="Y44" s="3734"/>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4"/>
      <c r="Q45" s="1351">
        <f t="shared" si="14"/>
        <v>111</v>
      </c>
      <c r="R45" s="708" t="s">
        <v>14</v>
      </c>
      <c r="S45" s="709">
        <f t="shared" si="10"/>
        <v>100</v>
      </c>
      <c r="T45" s="708" t="s">
        <v>14</v>
      </c>
      <c r="U45" s="709">
        <f t="shared" si="11"/>
        <v>100</v>
      </c>
      <c r="V45" s="708" t="s">
        <v>14</v>
      </c>
      <c r="W45" s="709">
        <f t="shared" si="12"/>
        <v>100</v>
      </c>
      <c r="X45" s="710"/>
      <c r="Y45" s="3734"/>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0" t="s">
        <v>1887</v>
      </c>
      <c r="H55" s="3757"/>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217.05</v>
      </c>
      <c r="F56" s="886" t="e">
        <f t="shared" ref="F56:F64" si="15">ROUND(B56*E56/10000,0)</f>
        <v>#DIV/0!</v>
      </c>
      <c r="G56" s="3709"/>
      <c r="H56" s="372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0"/>
      <c r="M4" s="2711"/>
      <c r="N4" s="2711"/>
      <c r="O4" s="2711"/>
      <c r="P4" s="3714" t="s">
        <v>1775</v>
      </c>
      <c r="Q4" s="3715"/>
      <c r="R4" s="3696" t="s">
        <v>1771</v>
      </c>
      <c r="S4" s="3697"/>
      <c r="T4" s="3696" t="s">
        <v>1772</v>
      </c>
      <c r="U4" s="3697"/>
      <c r="V4" s="3722" t="s">
        <v>1773</v>
      </c>
      <c r="W4" s="3722"/>
      <c r="X4" s="1354"/>
      <c r="Y4" s="3696" t="s">
        <v>1775</v>
      </c>
      <c r="Z4" s="3697"/>
      <c r="AA4" s="3691" t="s">
        <v>1771</v>
      </c>
      <c r="AB4" s="3692" t="s">
        <v>1772</v>
      </c>
      <c r="AC4" s="3691" t="s">
        <v>1773</v>
      </c>
    </row>
    <row r="5" spans="1:29" ht="15">
      <c r="A5" s="358"/>
      <c r="B5" s="359"/>
      <c r="C5" s="3706" t="s">
        <v>1673</v>
      </c>
      <c r="D5" s="3703"/>
      <c r="E5" s="3700" t="s">
        <v>1674</v>
      </c>
      <c r="F5" s="3701"/>
      <c r="G5" s="3706" t="s">
        <v>1675</v>
      </c>
      <c r="H5" s="3703"/>
      <c r="I5" s="3706" t="s">
        <v>1676</v>
      </c>
      <c r="J5" s="3703"/>
      <c r="K5" s="559"/>
      <c r="L5" s="2710"/>
      <c r="M5" s="2711"/>
      <c r="N5" s="2711"/>
      <c r="O5" s="2711"/>
      <c r="P5" s="3716"/>
      <c r="Q5" s="3717"/>
      <c r="R5" s="3698"/>
      <c r="S5" s="3699"/>
      <c r="T5" s="3698"/>
      <c r="U5" s="3699"/>
      <c r="V5" s="3722"/>
      <c r="W5" s="3722"/>
      <c r="X5" s="1354"/>
      <c r="Y5" s="3698"/>
      <c r="Z5" s="3699"/>
      <c r="AA5" s="3692"/>
      <c r="AB5" s="3692"/>
      <c r="AC5" s="3692"/>
    </row>
    <row r="6" spans="1:29" ht="15.75" thickBot="1">
      <c r="A6" s="360"/>
      <c r="B6" s="361"/>
      <c r="C6" s="3758" t="s">
        <v>1919</v>
      </c>
      <c r="D6" s="3759"/>
      <c r="E6" s="3760" t="s">
        <v>1919</v>
      </c>
      <c r="F6" s="3761"/>
      <c r="G6" s="3758" t="s">
        <v>1919</v>
      </c>
      <c r="H6" s="3759"/>
      <c r="I6" s="3758" t="s">
        <v>1919</v>
      </c>
      <c r="J6" s="3759"/>
      <c r="K6" s="559" t="s">
        <v>1678</v>
      </c>
      <c r="L6" s="2710"/>
      <c r="M6" s="2711"/>
      <c r="N6" s="2711"/>
      <c r="O6" s="2711"/>
      <c r="P6" s="3718"/>
      <c r="Q6" s="3719"/>
      <c r="R6" s="3698"/>
      <c r="S6" s="3699"/>
      <c r="T6" s="3720"/>
      <c r="U6" s="3721"/>
      <c r="V6" s="3722"/>
      <c r="W6" s="3722"/>
      <c r="X6" s="1354"/>
      <c r="Y6" s="3720"/>
      <c r="Z6" s="3721"/>
      <c r="AA6" s="3693"/>
      <c r="AB6" s="3693"/>
      <c r="AC6" s="3693"/>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94" t="s">
        <v>1680</v>
      </c>
      <c r="Q7" s="3723"/>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27" t="s">
        <v>1686</v>
      </c>
      <c r="Q9" s="1342"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4"/>
      <c r="M10" s="2715"/>
      <c r="N10" s="2715"/>
      <c r="O10" s="2768"/>
      <c r="P10" s="3727"/>
      <c r="Q10" s="1342" t="str">
        <f t="shared" si="6"/>
        <v>土地使用年限（年）</v>
      </c>
      <c r="R10" s="701" t="s">
        <v>14</v>
      </c>
      <c r="S10" s="702">
        <f t="shared" si="0"/>
        <v>108</v>
      </c>
      <c r="T10" s="701" t="s">
        <v>14</v>
      </c>
      <c r="U10" s="702">
        <f t="shared" si="1"/>
        <v>108</v>
      </c>
      <c r="V10" s="701" t="s">
        <v>14</v>
      </c>
      <c r="W10" s="702">
        <f t="shared" si="2"/>
        <v>108</v>
      </c>
      <c r="X10" s="703"/>
      <c r="Y10" s="3641"/>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27"/>
      <c r="Q11" s="1342"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27"/>
      <c r="Q12" s="1342">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27"/>
      <c r="Q13" s="1342">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27"/>
      <c r="Q14" s="1342">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9" t="s">
        <v>1691</v>
      </c>
      <c r="Q15" s="1351" t="str">
        <f t="shared" si="6"/>
        <v>产业集聚程度</v>
      </c>
      <c r="R15" s="705" t="s">
        <v>14</v>
      </c>
      <c r="S15" s="706">
        <f t="shared" si="0"/>
        <v>100</v>
      </c>
      <c r="T15" s="705" t="s">
        <v>14</v>
      </c>
      <c r="U15" s="706">
        <f t="shared" si="1"/>
        <v>100</v>
      </c>
      <c r="V15" s="705" t="s">
        <v>14</v>
      </c>
      <c r="W15" s="706">
        <f t="shared" si="2"/>
        <v>100</v>
      </c>
      <c r="X15" s="1354"/>
      <c r="Y15" s="3729"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30"/>
      <c r="Q16" s="1351"/>
      <c r="R16" s="705"/>
      <c r="S16" s="706"/>
      <c r="T16" s="705"/>
      <c r="U16" s="706"/>
      <c r="V16" s="705"/>
      <c r="W16" s="706"/>
      <c r="X16" s="1354"/>
      <c r="Y16" s="3730"/>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30"/>
      <c r="Q17" s="1351" t="str">
        <f>B17</f>
        <v>交通便捷度</v>
      </c>
      <c r="R17" s="705" t="s">
        <v>14</v>
      </c>
      <c r="S17" s="706">
        <f>F17</f>
        <v>100</v>
      </c>
      <c r="T17" s="705" t="s">
        <v>14</v>
      </c>
      <c r="U17" s="706">
        <f>H17</f>
        <v>100</v>
      </c>
      <c r="V17" s="705" t="s">
        <v>14</v>
      </c>
      <c r="W17" s="706">
        <f>J17</f>
        <v>100</v>
      </c>
      <c r="X17" s="1354"/>
      <c r="Y17" s="3730"/>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30"/>
      <c r="Q18" s="1351"/>
      <c r="R18" s="705"/>
      <c r="S18" s="706"/>
      <c r="T18" s="705"/>
      <c r="U18" s="706"/>
      <c r="V18" s="705"/>
      <c r="W18" s="706"/>
      <c r="X18" s="1354"/>
      <c r="Y18" s="3730"/>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30"/>
      <c r="Q19" s="1351" t="str">
        <f t="shared" ref="Q19:Q33" si="8">B19</f>
        <v>区域土地利用方向</v>
      </c>
      <c r="R19" s="705" t="s">
        <v>14</v>
      </c>
      <c r="S19" s="706">
        <f>F19</f>
        <v>100</v>
      </c>
      <c r="T19" s="705" t="s">
        <v>14</v>
      </c>
      <c r="U19" s="706">
        <f>H19</f>
        <v>100</v>
      </c>
      <c r="V19" s="705" t="s">
        <v>14</v>
      </c>
      <c r="W19" s="706">
        <f>J19</f>
        <v>100</v>
      </c>
      <c r="X19" s="1354"/>
      <c r="Y19" s="3730"/>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30"/>
      <c r="Q20" s="1351"/>
      <c r="R20" s="705"/>
      <c r="S20" s="706"/>
      <c r="T20" s="705"/>
      <c r="U20" s="706"/>
      <c r="V20" s="705"/>
      <c r="W20" s="706"/>
      <c r="X20" s="1354"/>
      <c r="Y20" s="3730"/>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30"/>
      <c r="Q21" s="1351" t="str">
        <f t="shared" si="8"/>
        <v>环境状况</v>
      </c>
      <c r="R21" s="705" t="s">
        <v>14</v>
      </c>
      <c r="S21" s="706">
        <f>F21</f>
        <v>100</v>
      </c>
      <c r="T21" s="705" t="s">
        <v>14</v>
      </c>
      <c r="U21" s="706">
        <f>H21</f>
        <v>100</v>
      </c>
      <c r="V21" s="705" t="s">
        <v>14</v>
      </c>
      <c r="W21" s="706">
        <f>J21</f>
        <v>100</v>
      </c>
      <c r="X21" s="1354"/>
      <c r="Y21" s="3730"/>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30"/>
      <c r="Q22" s="1351"/>
      <c r="R22" s="705"/>
      <c r="S22" s="706"/>
      <c r="T22" s="705"/>
      <c r="U22" s="706"/>
      <c r="V22" s="705"/>
      <c r="W22" s="706"/>
      <c r="X22" s="1354"/>
      <c r="Y22" s="3730"/>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30"/>
      <c r="Q23" s="1342" t="str">
        <f t="shared" si="8"/>
        <v>公共配套设施</v>
      </c>
      <c r="R23" s="701" t="s">
        <v>14</v>
      </c>
      <c r="S23" s="702">
        <f>F23</f>
        <v>100</v>
      </c>
      <c r="T23" s="701" t="s">
        <v>14</v>
      </c>
      <c r="U23" s="702">
        <f>H23</f>
        <v>100</v>
      </c>
      <c r="V23" s="701" t="s">
        <v>14</v>
      </c>
      <c r="W23" s="702">
        <f>J23</f>
        <v>100</v>
      </c>
      <c r="X23" s="703"/>
      <c r="Y23" s="3730"/>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30"/>
      <c r="Q24" s="1342"/>
      <c r="R24" s="701"/>
      <c r="S24" s="702"/>
      <c r="T24" s="701"/>
      <c r="U24" s="702"/>
      <c r="V24" s="701"/>
      <c r="W24" s="702"/>
      <c r="X24" s="703"/>
      <c r="Y24" s="3730"/>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30"/>
      <c r="Q25" s="1342"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30"/>
      <c r="Q26" s="1342"/>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3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0"/>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30"/>
      <c r="Q28" s="1351" t="str">
        <f t="shared" si="8"/>
        <v>毗邻道路的类型与等级</v>
      </c>
      <c r="R28" s="705" t="s">
        <v>14</v>
      </c>
      <c r="S28" s="706">
        <f t="shared" si="10"/>
        <v>100</v>
      </c>
      <c r="T28" s="705" t="s">
        <v>14</v>
      </c>
      <c r="U28" s="706">
        <f t="shared" si="11"/>
        <v>100</v>
      </c>
      <c r="V28" s="705" t="s">
        <v>14</v>
      </c>
      <c r="W28" s="706">
        <f t="shared" si="12"/>
        <v>100</v>
      </c>
      <c r="X28" s="1354"/>
      <c r="Y28" s="3730"/>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30"/>
      <c r="Q29" s="1351"/>
      <c r="R29" s="705"/>
      <c r="S29" s="706"/>
      <c r="T29" s="705"/>
      <c r="U29" s="706"/>
      <c r="V29" s="705"/>
      <c r="W29" s="706"/>
      <c r="X29" s="1354"/>
      <c r="Y29" s="373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30"/>
      <c r="Q30" s="1351" t="str">
        <f t="shared" si="8"/>
        <v>土地级别</v>
      </c>
      <c r="R30" s="705" t="s">
        <v>14</v>
      </c>
      <c r="S30" s="706">
        <f t="shared" si="10"/>
        <v>100</v>
      </c>
      <c r="T30" s="705" t="s">
        <v>14</v>
      </c>
      <c r="U30" s="706">
        <f t="shared" si="11"/>
        <v>100</v>
      </c>
      <c r="V30" s="705" t="s">
        <v>14</v>
      </c>
      <c r="W30" s="706">
        <f t="shared" si="12"/>
        <v>100</v>
      </c>
      <c r="X30" s="1354"/>
      <c r="Y30" s="3730"/>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0"/>
      <c r="Q31" s="1351">
        <f t="shared" si="8"/>
        <v>111</v>
      </c>
      <c r="R31" s="705" t="s">
        <v>14</v>
      </c>
      <c r="S31" s="706">
        <f t="shared" si="10"/>
        <v>100</v>
      </c>
      <c r="T31" s="705" t="s">
        <v>14</v>
      </c>
      <c r="U31" s="706">
        <f t="shared" si="11"/>
        <v>100</v>
      </c>
      <c r="V31" s="705" t="s">
        <v>14</v>
      </c>
      <c r="W31" s="706">
        <f t="shared" si="12"/>
        <v>100</v>
      </c>
      <c r="X31" s="1354"/>
      <c r="Y31" s="3730"/>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3" t="s">
        <v>1696</v>
      </c>
      <c r="Q32" s="1351">
        <f t="shared" si="8"/>
        <v>111</v>
      </c>
      <c r="R32" s="705" t="s">
        <v>14</v>
      </c>
      <c r="S32" s="706">
        <f t="shared" si="10"/>
        <v>100</v>
      </c>
      <c r="T32" s="705" t="s">
        <v>14</v>
      </c>
      <c r="U32" s="706">
        <f t="shared" si="11"/>
        <v>100</v>
      </c>
      <c r="V32" s="705" t="s">
        <v>14</v>
      </c>
      <c r="W32" s="706">
        <f t="shared" si="12"/>
        <v>100</v>
      </c>
      <c r="X32" s="1354"/>
      <c r="Y32" s="3734"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4"/>
      <c r="Q33" s="1351">
        <f t="shared" si="8"/>
        <v>111</v>
      </c>
      <c r="R33" s="708" t="s">
        <v>14</v>
      </c>
      <c r="S33" s="709">
        <f t="shared" si="10"/>
        <v>100</v>
      </c>
      <c r="T33" s="708" t="s">
        <v>14</v>
      </c>
      <c r="U33" s="709">
        <f t="shared" si="11"/>
        <v>100</v>
      </c>
      <c r="V33" s="708" t="s">
        <v>14</v>
      </c>
      <c r="W33" s="709">
        <f t="shared" si="12"/>
        <v>100</v>
      </c>
      <c r="X33" s="710"/>
      <c r="Y33" s="373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4"/>
      <c r="Q34" s="1351" t="str">
        <f>B34</f>
        <v>宗地面积</v>
      </c>
      <c r="R34" s="705" t="s">
        <v>14</v>
      </c>
      <c r="S34" s="706" t="e">
        <f t="shared" si="10"/>
        <v>#N/A</v>
      </c>
      <c r="T34" s="705" t="s">
        <v>14</v>
      </c>
      <c r="U34" s="706" t="e">
        <f t="shared" si="11"/>
        <v>#N/A</v>
      </c>
      <c r="V34" s="705" t="s">
        <v>14</v>
      </c>
      <c r="W34" s="706" t="e">
        <f t="shared" si="12"/>
        <v>#N/A</v>
      </c>
      <c r="X34" s="1354"/>
      <c r="Y34" s="3734"/>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34"/>
      <c r="Q35" s="1351" t="str">
        <f t="shared" ref="Q35:Q40" si="14">B35</f>
        <v>宗地形状</v>
      </c>
      <c r="R35" s="705" t="s">
        <v>14</v>
      </c>
      <c r="S35" s="706">
        <f t="shared" si="10"/>
        <v>100</v>
      </c>
      <c r="T35" s="705" t="s">
        <v>14</v>
      </c>
      <c r="U35" s="706">
        <f t="shared" si="11"/>
        <v>100</v>
      </c>
      <c r="V35" s="705" t="s">
        <v>14</v>
      </c>
      <c r="W35" s="706">
        <f t="shared" si="12"/>
        <v>100</v>
      </c>
      <c r="X35" s="1354"/>
      <c r="Y35" s="3734"/>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34"/>
      <c r="Q36" s="1351"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34" t="s">
        <v>1696</v>
      </c>
      <c r="Q37" s="1351" t="str">
        <f t="shared" si="14"/>
        <v>工程地质条件</v>
      </c>
      <c r="R37" s="705" t="s">
        <v>14</v>
      </c>
      <c r="S37" s="706">
        <f t="shared" si="10"/>
        <v>100</v>
      </c>
      <c r="T37" s="705" t="s">
        <v>14</v>
      </c>
      <c r="U37" s="706">
        <f t="shared" si="11"/>
        <v>100</v>
      </c>
      <c r="V37" s="705" t="s">
        <v>14</v>
      </c>
      <c r="W37" s="706">
        <f t="shared" si="12"/>
        <v>100</v>
      </c>
      <c r="X37" s="1354"/>
      <c r="Y37" s="373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4"/>
      <c r="Q38" s="1351">
        <f t="shared" si="14"/>
        <v>111</v>
      </c>
      <c r="R38" s="705" t="s">
        <v>14</v>
      </c>
      <c r="S38" s="706">
        <f t="shared" si="10"/>
        <v>100</v>
      </c>
      <c r="T38" s="705" t="s">
        <v>14</v>
      </c>
      <c r="U38" s="706">
        <f t="shared" si="11"/>
        <v>100</v>
      </c>
      <c r="V38" s="705" t="s">
        <v>14</v>
      </c>
      <c r="W38" s="706">
        <f t="shared" si="12"/>
        <v>100</v>
      </c>
      <c r="X38" s="1354"/>
      <c r="Y38" s="373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4"/>
      <c r="Q39" s="1351">
        <f t="shared" si="14"/>
        <v>111</v>
      </c>
      <c r="R39" s="705" t="s">
        <v>14</v>
      </c>
      <c r="S39" s="706">
        <f t="shared" si="10"/>
        <v>100</v>
      </c>
      <c r="T39" s="705" t="s">
        <v>14</v>
      </c>
      <c r="U39" s="706">
        <f t="shared" si="11"/>
        <v>100</v>
      </c>
      <c r="V39" s="705" t="s">
        <v>14</v>
      </c>
      <c r="W39" s="706">
        <f t="shared" si="12"/>
        <v>100</v>
      </c>
      <c r="X39" s="1354"/>
      <c r="Y39" s="3734"/>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4"/>
      <c r="Q40" s="1351">
        <f t="shared" si="14"/>
        <v>111</v>
      </c>
      <c r="R40" s="708" t="s">
        <v>14</v>
      </c>
      <c r="S40" s="709">
        <f t="shared" si="10"/>
        <v>100</v>
      </c>
      <c r="T40" s="708" t="s">
        <v>14</v>
      </c>
      <c r="U40" s="709">
        <f t="shared" si="11"/>
        <v>100</v>
      </c>
      <c r="V40" s="708" t="s">
        <v>14</v>
      </c>
      <c r="W40" s="709">
        <f t="shared" si="12"/>
        <v>100</v>
      </c>
      <c r="X40" s="710"/>
      <c r="Y40" s="3734"/>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0" t="s">
        <v>1887</v>
      </c>
      <c r="H50" s="3757"/>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217.05</v>
      </c>
      <c r="F51" s="639" t="e">
        <f t="shared" ref="F51:F60" si="15">ROUND(B51*E51/10000,0)</f>
        <v>#DIV/0!</v>
      </c>
      <c r="G51" s="3709"/>
      <c r="H51" s="372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437</v>
      </c>
      <c r="C2" s="2141" t="s">
        <v>2074</v>
      </c>
      <c r="D2" s="2141" t="s">
        <v>2075</v>
      </c>
      <c r="E2" s="2607">
        <f ca="1">SUMIF(E6:E13,"&lt;&gt;#ref!",E6:E13)</f>
        <v>217.05</v>
      </c>
      <c r="F2" s="2788"/>
      <c r="G2" s="2788"/>
      <c r="H2" s="2788"/>
      <c r="I2" s="2788"/>
      <c r="J2" s="2788"/>
      <c r="K2" s="2788"/>
      <c r="L2" s="2788"/>
      <c r="M2" s="2788"/>
      <c r="N2" s="2788"/>
      <c r="O2" s="2788"/>
      <c r="P2" s="2788"/>
    </row>
    <row r="3" spans="1:16" ht="15.75">
      <c r="A3" s="2141" t="s">
        <v>2076</v>
      </c>
      <c r="B3" s="2597">
        <f ca="1">ROUND(B2*10000/E2,0)</f>
        <v>20134</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437</v>
      </c>
      <c r="C6" s="2141" t="s">
        <v>2074</v>
      </c>
      <c r="D6" s="2788"/>
      <c r="E6" s="2607">
        <f ca="1">SUMIF(INDIRECT("'"&amp;A6&amp;"'"&amp;"!C:C"),"建筑面积",INDIRECT("'"&amp;A6&amp;"'"&amp;"!D:D"))</f>
        <v>217.05</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B44" sqref="B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3394</v>
      </c>
      <c r="C1" s="1858" t="s">
        <v>1563</v>
      </c>
      <c r="D1" s="198"/>
      <c r="E1" s="198"/>
      <c r="F1" s="198"/>
      <c r="G1" s="1126">
        <f>MATCH(B1,'数据-取费表'!A6:A16,0)+5</f>
        <v>6</v>
      </c>
      <c r="H1" s="1061" t="str">
        <f>IF(ISERROR(FIND("住宅",B1)),"非住宅","住宅")</f>
        <v>住宅</v>
      </c>
    </row>
    <row r="2" spans="1:8" s="200" customFormat="1" ht="18" customHeight="1">
      <c r="A2" s="201" t="s">
        <v>1462</v>
      </c>
      <c r="B2" s="3419">
        <f ca="1">ROUND(IF(D2="——",C52/10000,C52/10000-E2),4)</f>
        <v>832.61419999999998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38360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4537430</v>
      </c>
      <c r="D5" s="211" t="s">
        <v>1469</v>
      </c>
      <c r="E5" s="212" t="s">
        <v>1470</v>
      </c>
      <c r="F5" s="212" t="s">
        <v>1471</v>
      </c>
      <c r="G5" s="213"/>
    </row>
    <row r="6" spans="1:8" s="214" customFormat="1" ht="13.5" customHeight="1">
      <c r="A6" s="778" t="s">
        <v>1472</v>
      </c>
      <c r="B6" s="215" t="s">
        <v>1473</v>
      </c>
      <c r="C6" s="3469">
        <f>ROUND(基准地价修正!C33*基准地价修正!D33,0)</f>
        <v>4369434</v>
      </c>
      <c r="D6" s="217"/>
      <c r="E6" s="218"/>
      <c r="F6" s="218"/>
      <c r="G6" s="219"/>
    </row>
    <row r="7" spans="1:8" s="214" customFormat="1" ht="13.5" customHeight="1">
      <c r="A7" s="778" t="s">
        <v>1474</v>
      </c>
      <c r="B7" s="215" t="s">
        <v>1475</v>
      </c>
      <c r="C7" s="220">
        <f>ROUND(C6*F7,0)</f>
        <v>133268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34728</v>
      </c>
      <c r="D8" s="222"/>
      <c r="E8" s="220"/>
      <c r="F8" s="221"/>
      <c r="G8" s="1855" t="s">
        <v>3483</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300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217.05</v>
      </c>
      <c r="E19" s="211">
        <f>'数据-取费表'!B31</f>
        <v>160</v>
      </c>
      <c r="F19" s="231"/>
      <c r="G19" s="3474" t="s">
        <v>3484</v>
      </c>
    </row>
    <row r="20" spans="1:7" s="214" customFormat="1" ht="13.5" customHeight="1">
      <c r="A20" s="255" t="s">
        <v>1574</v>
      </c>
      <c r="B20" s="210" t="s">
        <v>1575</v>
      </c>
      <c r="C20" s="232">
        <f ca="1">ROUND((C5+C19)*F20,0)</f>
        <v>136123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447759</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441293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6466</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1168388</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1168388</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6928508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1318580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1085250</v>
      </c>
      <c r="D34" s="217"/>
      <c r="E34" s="220"/>
      <c r="F34" s="257"/>
      <c r="G34" s="219"/>
    </row>
    <row r="35" spans="1:7" ht="13.5" customHeight="1">
      <c r="A35" s="780" t="s">
        <v>351</v>
      </c>
      <c r="B35" s="215" t="s">
        <v>1527</v>
      </c>
      <c r="C35" s="220">
        <f ca="1">ROUND(C34*F35,0)</f>
        <v>32558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108525</v>
      </c>
      <c r="D36" s="220"/>
      <c r="E36" s="220"/>
      <c r="F36" s="259">
        <f>'数据-取费表'!B34</f>
        <v>0.1</v>
      </c>
      <c r="G36" s="260" t="s">
        <v>1530</v>
      </c>
    </row>
    <row r="37" spans="1:7" s="258" customFormat="1" ht="13.5" customHeight="1">
      <c r="A37" s="780" t="s">
        <v>353</v>
      </c>
      <c r="B37" s="215" t="s">
        <v>1531</v>
      </c>
      <c r="C37" s="249">
        <f ca="1">ROUND(E37*D37,0)</f>
        <v>75968</v>
      </c>
      <c r="D37" s="217">
        <f ca="1">D19</f>
        <v>217.05</v>
      </c>
      <c r="E37" s="249">
        <f>'数据-取费表'!B35</f>
        <v>350</v>
      </c>
      <c r="F37" s="259"/>
      <c r="G37" s="261"/>
    </row>
    <row r="38" spans="1:7" ht="13.5" customHeight="1">
      <c r="A38" s="780" t="s">
        <v>354</v>
      </c>
      <c r="B38" s="215" t="s">
        <v>1533</v>
      </c>
      <c r="C38" s="220">
        <f ca="1">ROUND(C34*F38,0)</f>
        <v>16279</v>
      </c>
      <c r="D38" s="220"/>
      <c r="E38" s="220"/>
      <c r="F38" s="259">
        <f>'数据-取费表'!B36</f>
        <v>1.4999999999999999E-2</v>
      </c>
      <c r="G38" s="219" t="s">
        <v>1528</v>
      </c>
    </row>
    <row r="39" spans="1:7" s="214" customFormat="1" ht="13.5" customHeight="1">
      <c r="A39" s="255" t="s">
        <v>1534</v>
      </c>
      <c r="B39" s="210" t="s">
        <v>1535</v>
      </c>
      <c r="C39" s="232">
        <f ca="1">ROUND(C33*F20,0)</f>
        <v>39557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64512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62633</v>
      </c>
      <c r="D42" s="238"/>
      <c r="E42" s="238"/>
      <c r="F42" s="239"/>
      <c r="G42" s="3662" t="s">
        <v>1591</v>
      </c>
    </row>
    <row r="43" spans="1:7" ht="13.5" customHeight="1">
      <c r="A43" s="780" t="s">
        <v>347</v>
      </c>
      <c r="B43" s="215" t="s">
        <v>1545</v>
      </c>
      <c r="C43" s="238">
        <f ca="1">ROUND(IF('数据-取费表'!B22&lt;=1,C39*F22*'数据-取费表'!B20/2,C39*(POWER((1+F22),'数据-取费表'!B20/2)-1)),0)</f>
        <v>1879</v>
      </c>
      <c r="D43" s="238"/>
      <c r="E43" s="238"/>
      <c r="F43" s="239"/>
      <c r="G43" s="3663"/>
    </row>
    <row r="44" spans="1:7" ht="13.5" customHeight="1">
      <c r="A44" s="780" t="s">
        <v>348</v>
      </c>
      <c r="B44" s="215" t="s">
        <v>1546</v>
      </c>
      <c r="C44" s="238">
        <f ca="1">ROUND(IF('数据-取费表'!B22&lt;=1,C40*F22*'数据-取费表'!B20/2,C40*(POWER((1+F22),'数据-取费表'!B20/2)-1)),4)</f>
        <v>1.4E-3</v>
      </c>
      <c r="D44" s="238"/>
      <c r="E44" s="238"/>
      <c r="F44" s="239"/>
      <c r="G44" s="3664"/>
    </row>
    <row r="45" spans="1:7" s="214" customFormat="1" ht="13.5" customHeight="1">
      <c r="A45" s="255" t="s">
        <v>1547</v>
      </c>
      <c r="B45" s="244" t="s">
        <v>1513</v>
      </c>
      <c r="C45" s="245">
        <f ca="1">C46</f>
        <v>339534</v>
      </c>
      <c r="D45" s="235">
        <f ca="1">C47</f>
        <v>7.4999999999999997E-3</v>
      </c>
      <c r="E45" s="236" t="s">
        <v>1539</v>
      </c>
      <c r="F45" s="246">
        <f ca="1">F27</f>
        <v>0.25</v>
      </c>
      <c r="G45" s="247" t="s">
        <v>1548</v>
      </c>
    </row>
    <row r="46" spans="1:7" s="214" customFormat="1" ht="13.5" customHeight="1">
      <c r="A46" s="780" t="s">
        <v>346</v>
      </c>
      <c r="B46" s="248" t="s">
        <v>1549</v>
      </c>
      <c r="C46" s="249">
        <f ca="1">ROUND((C33+C39)*F27,0)</f>
        <v>339534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1941158</v>
      </c>
      <c r="D49" s="232"/>
      <c r="E49" s="232"/>
      <c r="F49" s="264"/>
      <c r="G49" s="234" t="s">
        <v>1554</v>
      </c>
      <c r="H49" s="251">
        <f ca="1">C49/'数据-取费表'!K6</f>
        <v>8943.3678875835049</v>
      </c>
    </row>
    <row r="50" spans="1:8" s="258" customFormat="1">
      <c r="A50" s="255" t="s">
        <v>1555</v>
      </c>
      <c r="B50" s="210" t="s">
        <v>1556</v>
      </c>
      <c r="C50" s="232"/>
      <c r="D50" s="232"/>
      <c r="E50" s="232"/>
      <c r="F50" s="264">
        <f>IF('数据-取费表'!B24=0,'数据-取费表'!N16,1)</f>
        <v>0.72</v>
      </c>
      <c r="G50" s="247"/>
    </row>
    <row r="51" spans="1:8" ht="16.5" customHeight="1">
      <c r="A51" s="255" t="s">
        <v>1558</v>
      </c>
      <c r="B51" s="210" t="s">
        <v>1593</v>
      </c>
      <c r="C51" s="232">
        <f ca="1">ROUND(C49*F50,0)</f>
        <v>1397634</v>
      </c>
      <c r="D51" s="232"/>
      <c r="E51" s="232"/>
      <c r="F51" s="264"/>
      <c r="G51" s="234" t="s">
        <v>1560</v>
      </c>
    </row>
    <row r="52" spans="1:8" s="208" customFormat="1" ht="16.5" thickBot="1">
      <c r="A52" s="265" t="s">
        <v>1561</v>
      </c>
      <c r="B52" s="266"/>
      <c r="C52" s="267">
        <f ca="1">C31+C51</f>
        <v>8326142</v>
      </c>
      <c r="D52" s="266"/>
      <c r="E52" s="266"/>
      <c r="F52" s="266"/>
      <c r="G52" s="268"/>
    </row>
    <row r="55" spans="1:8" ht="15">
      <c r="B55" s="270" t="s">
        <v>1562</v>
      </c>
      <c r="C55" s="271"/>
    </row>
    <row r="56" spans="1:8">
      <c r="B56" s="273" t="s">
        <v>802</v>
      </c>
      <c r="C56" s="275">
        <f ca="1">1-C57</f>
        <v>0.83199999999999996</v>
      </c>
    </row>
    <row r="57" spans="1:8">
      <c r="B57" s="273" t="s">
        <v>803</v>
      </c>
      <c r="C57" s="274">
        <f ca="1">ROUND(C51/C52,3)</f>
        <v>0.16800000000000001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 zoomScale="90" zoomScaleNormal="80" zoomScaleSheetLayoutView="90" workbookViewId="0">
      <selection activeCell="G12" sqref="G1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437</v>
      </c>
      <c r="C2" s="1995" t="s">
        <v>1935</v>
      </c>
      <c r="D2" s="1996" t="s">
        <v>1936</v>
      </c>
      <c r="E2" s="3417" t="s">
        <v>3394</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25966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20134</v>
      </c>
      <c r="C3" s="1995" t="s">
        <v>1941</v>
      </c>
      <c r="D3" s="1996" t="s">
        <v>1942</v>
      </c>
      <c r="E3" s="3415" t="s">
        <v>3428</v>
      </c>
      <c r="F3" s="2000" t="s">
        <v>3444</v>
      </c>
      <c r="G3" s="752">
        <f>IF(F3="宗地容积率",'数据-汇总表'!I4,IF(F3="估价对象容积率",'数据-汇总表'!I6,'数据-汇总表'!I7))</f>
        <v>1.28</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1.1838</v>
      </c>
      <c r="T3" s="3356">
        <f t="shared" si="0"/>
        <v>20466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75"/>
      <c r="B4" s="3776"/>
      <c r="C4" s="3776"/>
      <c r="D4" s="3777"/>
      <c r="E4" s="3777"/>
      <c r="F4" s="3777"/>
      <c r="G4" s="3777"/>
      <c r="H4" s="3777"/>
      <c r="I4" s="3777"/>
      <c r="J4" s="3778"/>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17297</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16623</v>
      </c>
      <c r="D5" s="1338">
        <f>ROUND(C6*C17+C20,0)</f>
        <v>15110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15255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15130</v>
      </c>
      <c r="D6" s="2013"/>
      <c r="E6" s="2014"/>
      <c r="F6" s="2014"/>
      <c r="G6" s="2015"/>
      <c r="H6" s="2015"/>
      <c r="I6" s="2015"/>
      <c r="J6" s="2016"/>
      <c r="K6" s="1383"/>
      <c r="L6" s="1999" t="s">
        <v>1951</v>
      </c>
      <c r="M6" s="864">
        <f>SUMPRODUCT((区片价!B127:B189=I2)*(区片价!C3:G3=E2)*(区片价!C127:G189))</f>
        <v>15130</v>
      </c>
      <c r="N6" s="866">
        <f>SUMPRODUCT((因素修正幅度!B127:B189=I2)*(因素修正幅度!C3:G3=E2)*(因素修正幅度!C127:G189))</f>
        <v>0.107</v>
      </c>
      <c r="O6" s="1119"/>
      <c r="P6" s="1119"/>
      <c r="Q6" s="1119"/>
      <c r="R6" s="1211">
        <v>5</v>
      </c>
      <c r="S6" s="3356">
        <f>ROUND(SUMPRODUCT((B106:B110=R6)*(C105:N105=G2)*(C106:N110)),4)</f>
        <v>0.84799999999999998</v>
      </c>
      <c r="T6" s="3356">
        <f t="shared" si="0"/>
        <v>14661</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六级</v>
      </c>
      <c r="Y7" s="1213" t="s">
        <v>1956</v>
      </c>
      <c r="Z7" s="1214">
        <f>G3</f>
        <v>1.28</v>
      </c>
      <c r="AA7" s="1215"/>
      <c r="AB7" s="1215"/>
      <c r="AC7" s="1216"/>
      <c r="AD7" s="1217"/>
      <c r="AE7" s="1217"/>
      <c r="AF7" s="1217"/>
      <c r="AG7" s="1217"/>
      <c r="AH7" s="1217"/>
      <c r="AI7" s="1217"/>
      <c r="AJ7" s="1218"/>
    </row>
    <row r="8" spans="1:36" ht="25.5">
      <c r="A8" s="3294"/>
      <c r="B8" s="170" t="s">
        <v>1957</v>
      </c>
      <c r="C8" s="2022" t="s">
        <v>3429</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72" t="s">
        <v>1960</v>
      </c>
      <c r="X8" s="377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74"/>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7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3243</v>
      </c>
      <c r="B12" s="3300" t="s">
        <v>3244</v>
      </c>
      <c r="C12" s="3301">
        <v>1</v>
      </c>
      <c r="D12" s="3302" t="s">
        <v>3245</v>
      </c>
      <c r="E12" s="3303" t="s">
        <v>3246</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3247</v>
      </c>
      <c r="B13" s="2030" t="s">
        <v>1982</v>
      </c>
      <c r="C13" s="755">
        <f>ROUND(C16*D16*E16*F16*G16*H16*I16*J16,4)</f>
        <v>1.1000000000000001</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3248</v>
      </c>
      <c r="G14" s="3307" t="s">
        <v>3248</v>
      </c>
      <c r="H14" s="3307" t="s">
        <v>3248</v>
      </c>
      <c r="I14" s="3307" t="s">
        <v>3248</v>
      </c>
      <c r="J14" s="3307" t="s">
        <v>3248</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3430</v>
      </c>
      <c r="D15" s="2040" t="s">
        <v>3464</v>
      </c>
      <c r="E15" s="2041" t="s">
        <v>3465</v>
      </c>
      <c r="F15" s="3308" t="s">
        <v>3249</v>
      </c>
      <c r="G15" s="3309"/>
      <c r="H15" s="3310"/>
      <c r="I15" s="3311"/>
      <c r="J15" s="3312"/>
      <c r="K15" s="1119"/>
      <c r="L15" s="1119"/>
      <c r="M15" s="1119"/>
      <c r="N15" s="1119">
        <f>16643*1*1.0618*0.9393*1.1644*1.0428</f>
        <v>20154.956993060347</v>
      </c>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1.1000000000000001</v>
      </c>
      <c r="D16" s="3313">
        <v>1</v>
      </c>
      <c r="E16" s="3313">
        <v>1</v>
      </c>
      <c r="F16" s="3313">
        <v>1</v>
      </c>
      <c r="G16" s="3313">
        <v>1</v>
      </c>
      <c r="H16" s="3313">
        <v>1</v>
      </c>
      <c r="I16" s="3313">
        <v>1</v>
      </c>
      <c r="J16" s="3314">
        <v>1</v>
      </c>
      <c r="K16" s="1119"/>
      <c r="L16" s="1993"/>
      <c r="M16" s="1993"/>
      <c r="N16" s="3473">
        <f>(1+0.95%)*(1+0.48%)*(1+1.17%)*(1+0.96%)*(1+1.05%)*(1+0.72%)*(1+0.69%)</f>
        <v>1.061757695458956</v>
      </c>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3"/>
      <c r="M17" s="1993"/>
      <c r="N17" s="1993">
        <f>(1-1/(1+5%)^49)/(1-1/(1+5%)^70)</f>
        <v>0.93930752519546701</v>
      </c>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3253</v>
      </c>
      <c r="E18" s="3324"/>
      <c r="F18" s="3319" t="s">
        <v>3256</v>
      </c>
      <c r="G18" s="3323">
        <f>ROUND(1-(1/(POWER(1+G24,E18))),4)</f>
        <v>0</v>
      </c>
      <c r="H18" s="3319" t="s">
        <v>3258</v>
      </c>
      <c r="I18" s="3323">
        <f>ROUND(1-(1/(POWER(1+G24,J24))),4)</f>
        <v>0.96709999999999996</v>
      </c>
      <c r="J18" s="3329"/>
      <c r="K18" s="1119"/>
      <c r="L18" s="1993"/>
      <c r="M18" s="1993"/>
      <c r="N18" s="1993">
        <f>1.18+(1.16-1.18)*(1.28-1.2)/(1.3-1.2)</f>
        <v>1.1639999999999999</v>
      </c>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3254</v>
      </c>
      <c r="E19" s="3333"/>
      <c r="F19" s="3334" t="s">
        <v>3257</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79" t="s">
        <v>3259</v>
      </c>
      <c r="B20" s="167" t="s">
        <v>1994</v>
      </c>
      <c r="C20" s="3320">
        <f>ROUND(IF(F21="与级别开发程度一致",0,(G21-E21)/C21),0)</f>
        <v>-20</v>
      </c>
      <c r="D20" s="3336" t="s">
        <v>1998</v>
      </c>
      <c r="E20" s="3337"/>
      <c r="F20" s="3785" t="s">
        <v>1995</v>
      </c>
      <c r="G20" s="3786"/>
      <c r="H20" s="3321" t="s">
        <v>3489</v>
      </c>
      <c r="I20" s="3321" t="s">
        <v>3491</v>
      </c>
      <c r="J20" s="3322" t="s">
        <v>3492</v>
      </c>
      <c r="K20" s="2043" t="s">
        <v>3493</v>
      </c>
      <c r="L20" s="2043" t="s">
        <v>3494</v>
      </c>
      <c r="M20" s="2043" t="s">
        <v>3495</v>
      </c>
      <c r="N20" s="2043" t="s">
        <v>3496</v>
      </c>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3490</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8" t="s">
        <v>3261</v>
      </c>
      <c r="I23" s="3339" t="str">
        <f>IF(H23="季度增幅（自定义）",SUMIF(N25:N28,E2,O25:O28),"")</f>
        <v/>
      </c>
      <c r="J23" s="3441" t="s">
        <v>3260</v>
      </c>
      <c r="K23" s="1125"/>
      <c r="L23" s="2051" t="s">
        <v>2004</v>
      </c>
      <c r="M23" s="1327">
        <f>ROUND(SUMIF(地价!B2:G2,E2,地价!B16:G16),0)</f>
        <v>687</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1.1644000000000001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3262</v>
      </c>
      <c r="D26" s="1351">
        <f>IF(E26=G26,F26,IF(G3&lt;10,ROUND(F26+(H26-F26)*(G3-E26)/(G26-E26),4),"——"))</f>
        <v>1.1644000000000001</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752">
        <f>ROUNDUP(G3,1)</f>
        <v>1.3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40"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1.0427999999999999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437</v>
      </c>
      <c r="D30" s="2079"/>
      <c r="E30" s="2042"/>
      <c r="F30" s="2080"/>
      <c r="G30" s="2042"/>
      <c r="H30" s="2042"/>
      <c r="I30" s="2042"/>
      <c r="J30" s="2081"/>
      <c r="K30" s="1119"/>
      <c r="L30" s="3346" t="s">
        <v>1936</v>
      </c>
      <c r="M30" s="3347" t="s">
        <v>1990</v>
      </c>
      <c r="N30" s="3347" t="s">
        <v>1991</v>
      </c>
      <c r="O30" s="3347" t="s">
        <v>1992</v>
      </c>
      <c r="P30" s="3347" t="s">
        <v>1993</v>
      </c>
      <c r="Q30" s="3350"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20131</v>
      </c>
      <c r="D33" s="2094">
        <f>'数据-基础表'!I13</f>
        <v>217.05</v>
      </c>
      <c r="E33" s="773">
        <f>ROUND(C33*D33/10000,0)</f>
        <v>437</v>
      </c>
      <c r="F33" s="3341" t="s">
        <v>3265</v>
      </c>
      <c r="G33" s="2095"/>
      <c r="H33" s="2095"/>
      <c r="I33" s="2095"/>
      <c r="J33" s="2096"/>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5033</v>
      </c>
      <c r="D34" s="2099"/>
      <c r="E34" s="773">
        <f>ROUND(IF(B25="楼层修正",SUM(V2:V16)*M40,C34*D34/10000),0)</f>
        <v>0</v>
      </c>
      <c r="F34" s="2100" t="s">
        <v>2032</v>
      </c>
      <c r="G34" s="2101"/>
      <c r="H34" s="2101"/>
      <c r="I34" s="2101"/>
      <c r="J34" s="2102"/>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83"/>
      <c r="B37" s="2109" t="s">
        <v>2036</v>
      </c>
      <c r="C37" s="175">
        <f>ROUND(D5*C22*C23*C24*C28*F37,0)</f>
        <v>9429</v>
      </c>
      <c r="D37" s="2094"/>
      <c r="E37" s="171">
        <f>ROUND(C37*D37/10000,0)</f>
        <v>0</v>
      </c>
      <c r="F37" s="171">
        <f>SUMIF(修正!A57:A68,G2,修正!B57:B68)</f>
        <v>0.6</v>
      </c>
      <c r="G37" s="171">
        <f>ROUND(IF(E2="工业",C37*$M$42,C37*$M$41),0)</f>
        <v>2357</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84"/>
      <c r="B38" s="2037" t="s">
        <v>2037</v>
      </c>
      <c r="C38" s="175">
        <f>ROUND(D5*C22*C23*C24*C28*F38,0)</f>
        <v>4714</v>
      </c>
      <c r="D38" s="2094"/>
      <c r="E38" s="171">
        <f t="shared" ref="E38:E42" si="4">ROUND(C38*D38/10000,0)</f>
        <v>0</v>
      </c>
      <c r="F38" s="171">
        <f>SUMIF(修正!A57:A68,G2,修正!C57:C68)</f>
        <v>0.3</v>
      </c>
      <c r="G38" s="171">
        <f>ROUND(IF(E2="工业",C38*$M$42,C38*$M$41),0)</f>
        <v>1179</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84"/>
      <c r="B39" s="2037" t="s">
        <v>3264</v>
      </c>
      <c r="C39" s="175">
        <f>ROUND(D5*C22*C23*C24*C28*F39,0)</f>
        <v>3929</v>
      </c>
      <c r="D39" s="2094"/>
      <c r="E39" s="171">
        <f t="shared" si="4"/>
        <v>0</v>
      </c>
      <c r="F39" s="171">
        <f>SUMIF(修正!A57:A68,G2,修正!D57:D68)</f>
        <v>0.25</v>
      </c>
      <c r="G39" s="171">
        <f>ROUND(IF(E2="工业",C39*$M$42,C39*$M$41),0)</f>
        <v>982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3929</v>
      </c>
      <c r="D40" s="2094"/>
      <c r="E40" s="171">
        <f t="shared" si="4"/>
        <v>0</v>
      </c>
      <c r="F40" s="175">
        <f>SUMIF(修正!A57:A68,G2,修正!E57:E68)</f>
        <v>0.25</v>
      </c>
      <c r="G40" s="171">
        <f>ROUND(IF(E2="工业",C40*$M$42,C40*$M$41),0)</f>
        <v>982</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5"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周边有专89路、307路、315路、 407路、606路等多条公交线路，交通便捷度一般</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3274</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53" hidden="1">
      <c r="A56" s="2133" t="s">
        <v>2059</v>
      </c>
      <c r="B56"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4" t="s">
        <v>2061</v>
      </c>
      <c r="B58" s="2135" t="str">
        <f>估价对象房地状况!C20</f>
        <v>区域自然环境：西小口公园；人文环境；综合评价环境状况较好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周边有专89路、307路、315路、 407路、606路等多条公交线路，交通便捷度一般</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3274</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53" hidden="1">
      <c r="A67" s="2126" t="s">
        <v>2059</v>
      </c>
      <c r="B67"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4" t="s">
        <v>2061</v>
      </c>
      <c r="B69" s="2136" t="str">
        <f>估价对象房地状况!C20</f>
        <v>区域自然环境：西小口公园；人文环境；综合评价环境状况较好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1.0427999999999999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26" t="s">
        <v>2066</v>
      </c>
      <c r="B72" s="2129" t="str">
        <f>估价对象房地状况!C15</f>
        <v>周边有上林溪、沁春家园、悦秀园等住宅小区项目，居住社区成熟度较好</v>
      </c>
      <c r="C72" s="2040" t="s">
        <v>3441</v>
      </c>
      <c r="D72" s="1065">
        <f t="shared" ref="D72:D80" si="17">SUMIF($J$71:$N$71,C72,J72:N72)</f>
        <v>9.7999999999999997E-3</v>
      </c>
      <c r="E72" s="744">
        <f>ROUND(SUM(D72:D80),4)</f>
        <v>4.2799999999999998E-2</v>
      </c>
      <c r="F72" s="1813">
        <f>IF(E2="住宅",SUMIF(L1:L12,G2,N1:N12),"——")</f>
        <v>0.107</v>
      </c>
      <c r="G72" s="1063">
        <v>9.7999999999999997E-3</v>
      </c>
      <c r="H72" s="1066">
        <f t="shared" ref="H72:H80" si="18">IFERROR(ROUNDDOWN($F$72*I72/2,4),"——")</f>
        <v>1.0699999999999999E-2</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周边有专89路、307路、315路、 407路、606路等多条公交线路，交通便捷度一般</v>
      </c>
      <c r="C73" s="2040" t="s">
        <v>3442</v>
      </c>
      <c r="D73" s="1065">
        <f t="shared" si="17"/>
        <v>0</v>
      </c>
      <c r="E73" s="747"/>
      <c r="F73" s="1813"/>
      <c r="G73" s="1063">
        <v>1.2699999999999999E-2</v>
      </c>
      <c r="H73" s="1066">
        <f t="shared" si="18"/>
        <v>1.3899999999999999E-2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3274</v>
      </c>
      <c r="B74" s="2130">
        <f>估价对象房地状况!C19</f>
        <v>0</v>
      </c>
      <c r="C74" s="2040" t="s">
        <v>3441</v>
      </c>
      <c r="D74" s="1065">
        <f t="shared" si="17"/>
        <v>4.8999999999999998E-3</v>
      </c>
      <c r="E74" s="747"/>
      <c r="F74" s="1813"/>
      <c r="G74" s="1063">
        <v>4.8999999999999998E-3</v>
      </c>
      <c r="H74" s="1066">
        <f t="shared" si="18"/>
        <v>5.3E-3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3443</v>
      </c>
      <c r="D75" s="1065">
        <f t="shared" si="17"/>
        <v>4.7999999999999996E-3</v>
      </c>
      <c r="E75" s="747"/>
      <c r="F75" s="1813"/>
      <c r="G75" s="1063">
        <v>2.3999999999999998E-3</v>
      </c>
      <c r="H75" s="1066">
        <f t="shared" si="18"/>
        <v>2.5999999999999999E-3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53">
      <c r="A76" s="2126" t="s">
        <v>2059</v>
      </c>
      <c r="B76"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76" s="2040" t="s">
        <v>3441</v>
      </c>
      <c r="D76" s="1065">
        <f t="shared" si="17"/>
        <v>3.8999999999999998E-3</v>
      </c>
      <c r="E76" s="747"/>
      <c r="F76" s="1813"/>
      <c r="G76" s="1063">
        <v>3.8999999999999998E-3</v>
      </c>
      <c r="H76" s="1066">
        <f t="shared" si="18"/>
        <v>4.1999999999999997E-3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3443</v>
      </c>
      <c r="D77" s="1065">
        <f t="shared" si="17"/>
        <v>8.8000000000000005E-3</v>
      </c>
      <c r="E77" s="747"/>
      <c r="F77" s="1813"/>
      <c r="G77" s="1063">
        <v>4.4000000000000003E-3</v>
      </c>
      <c r="H77" s="1066">
        <f t="shared" si="18"/>
        <v>4.7999999999999996E-3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3441</v>
      </c>
      <c r="D78" s="1065">
        <f t="shared" si="17"/>
        <v>2.3999999999999998E-3</v>
      </c>
      <c r="E78" s="747"/>
      <c r="F78" s="1813"/>
      <c r="G78" s="1063">
        <v>2.3999999999999998E-3</v>
      </c>
      <c r="H78" s="1066">
        <f t="shared" si="18"/>
        <v>2.5999999999999999E-3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38.25">
      <c r="A79" s="2126" t="s">
        <v>2061</v>
      </c>
      <c r="B79" s="2129" t="str">
        <f>估价对象房地状况!C20</f>
        <v>区域自然环境：西小口公园；人文环境；综合评价环境状况较好</v>
      </c>
      <c r="C79" s="2040" t="s">
        <v>3441</v>
      </c>
      <c r="D79" s="1065">
        <f t="shared" si="17"/>
        <v>5.7999999999999996E-3</v>
      </c>
      <c r="E79" s="747"/>
      <c r="F79" s="1813"/>
      <c r="G79" s="1063">
        <v>5.7999999999999996E-3</v>
      </c>
      <c r="H79" s="1066">
        <f t="shared" si="18"/>
        <v>6.4000000000000003E-3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3441</v>
      </c>
      <c r="D80" s="1065">
        <f t="shared" si="17"/>
        <v>2.3999999999999998E-3</v>
      </c>
      <c r="E80" s="748"/>
      <c r="F80" s="1813"/>
      <c r="G80" s="1063">
        <v>2.3999999999999998E-3</v>
      </c>
      <c r="H80" s="1066">
        <f t="shared" si="18"/>
        <v>2.5999999999999999E-3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3275</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3278</v>
      </c>
      <c r="B94" s="3365" t="str">
        <f>估价对象房地状况!C18</f>
        <v>周边有专89路、307路、315路、 407路、606路等多条公交线路，交通便捷度一般</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3274</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3279</v>
      </c>
      <c r="B96" s="3380" t="s">
        <v>3290</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3280</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3281</v>
      </c>
      <c r="B98" s="3381" t="s">
        <v>3291</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53">
      <c r="A99" s="3374" t="s">
        <v>3282</v>
      </c>
      <c r="B99" s="336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3283</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39" thickBot="1">
      <c r="A101" s="3375" t="s">
        <v>3284</v>
      </c>
      <c r="B101" s="3382" t="str">
        <f>估价对象房地状况!C20</f>
        <v>区域自然环境：西小口公园；人文环境；综合评价环境状况较好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1" t="s">
        <v>3299</v>
      </c>
      <c r="B103" s="3781"/>
      <c r="C103" s="3781"/>
      <c r="D103" s="3781"/>
      <c r="E103" s="3781"/>
      <c r="F103" s="3781"/>
      <c r="G103" s="3781"/>
      <c r="H103" s="3781"/>
      <c r="I103" s="3781"/>
      <c r="J103" s="3781"/>
      <c r="K103" s="3385"/>
      <c r="L103" s="3385"/>
      <c r="M103" s="3385"/>
      <c r="N103" s="3385"/>
    </row>
    <row r="104" spans="1:14">
      <c r="A104" s="3782" t="s">
        <v>3300</v>
      </c>
      <c r="B104" s="3782" t="s">
        <v>3301</v>
      </c>
      <c r="C104" s="3386" t="s">
        <v>3302</v>
      </c>
      <c r="D104" s="3387"/>
      <c r="E104" s="3387"/>
      <c r="F104" s="3387"/>
      <c r="G104" s="3387"/>
      <c r="H104" s="3387"/>
      <c r="I104" s="3387"/>
      <c r="J104" s="3388"/>
      <c r="K104" s="3389"/>
      <c r="L104" s="3389"/>
      <c r="M104" s="3389"/>
      <c r="N104" s="3389"/>
    </row>
    <row r="105" spans="1:14">
      <c r="A105" s="3782"/>
      <c r="B105" s="3782"/>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68"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6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6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6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6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69"/>
      <c r="B111" s="3390" t="s">
        <v>3273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1" t="s">
        <v>3316</v>
      </c>
      <c r="B113" s="3771"/>
      <c r="C113" s="3771"/>
      <c r="D113" s="3771"/>
      <c r="E113" s="3771"/>
      <c r="F113" s="3771"/>
      <c r="G113" s="3771"/>
      <c r="H113" s="3771"/>
      <c r="I113" s="3771"/>
      <c r="J113" s="377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1.28</v>
      </c>
      <c r="C116" s="3395" t="s">
        <v>3318</v>
      </c>
      <c r="D116" s="3396">
        <f>SUMPRODUCT((A118:A122=F116)*(B117:M117=H116)*B118:M122)</f>
        <v>0.91839999999999999</v>
      </c>
      <c r="E116" s="1996" t="s">
        <v>3319</v>
      </c>
      <c r="F116" s="3397" t="str">
        <f>E2</f>
        <v>住宅</v>
      </c>
      <c r="G116" s="1996" t="s">
        <v>3320</v>
      </c>
      <c r="H116" s="3397" t="str">
        <f>G2</f>
        <v>六级</v>
      </c>
      <c r="I116" s="1996"/>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0.98270000000000002</v>
      </c>
      <c r="C118" s="3383">
        <f>B118</f>
        <v>0.98270000000000002</v>
      </c>
      <c r="D118" s="3383">
        <f>ROUND(0.949-0.014*B116,4)</f>
        <v>0.93110000000000004</v>
      </c>
      <c r="E118" s="3383">
        <f>D118</f>
        <v>0.93110000000000004</v>
      </c>
      <c r="F118" s="3383">
        <f>E118</f>
        <v>0.93110000000000004</v>
      </c>
      <c r="G118" s="3383">
        <f>F118</f>
        <v>0.93110000000000004</v>
      </c>
      <c r="H118" s="3383">
        <f>G118</f>
        <v>0.93110000000000004</v>
      </c>
      <c r="I118" s="3383">
        <f>ROUND(0.8486-0.018*B116,4)</f>
        <v>0.8256</v>
      </c>
      <c r="J118" s="3383">
        <f t="shared" ref="J118:M122" si="35">I118</f>
        <v>0.8256</v>
      </c>
      <c r="K118" s="3383">
        <f t="shared" si="35"/>
        <v>0.8256</v>
      </c>
      <c r="L118" s="3383">
        <f t="shared" si="35"/>
        <v>0.8256</v>
      </c>
      <c r="M118" s="3406">
        <f t="shared" si="35"/>
        <v>0.8256</v>
      </c>
      <c r="N118" s="3393"/>
    </row>
    <row r="119" spans="1:14">
      <c r="A119" s="3405" t="s">
        <v>3334</v>
      </c>
      <c r="B119" s="3383">
        <f>ROUND(0.993-0.0112*B116,4)</f>
        <v>0.97870000000000001</v>
      </c>
      <c r="C119" s="3383">
        <f>B119</f>
        <v>0.97870000000000001</v>
      </c>
      <c r="D119" s="3383">
        <f>ROUND(0.9415-0.0142*B116,4)</f>
        <v>0.92330000000000001</v>
      </c>
      <c r="E119" s="3383">
        <f t="shared" ref="E119:H120" si="36">D119</f>
        <v>0.92330000000000001</v>
      </c>
      <c r="F119" s="3383">
        <f t="shared" si="36"/>
        <v>0.92330000000000001</v>
      </c>
      <c r="G119" s="3383">
        <f t="shared" si="36"/>
        <v>0.92330000000000001</v>
      </c>
      <c r="H119" s="3383">
        <f t="shared" si="36"/>
        <v>0.92330000000000001</v>
      </c>
      <c r="I119" s="3383">
        <f>ROUND(0.838-0.0182*B116,4)</f>
        <v>0.81469999999999998</v>
      </c>
      <c r="J119" s="3383">
        <f t="shared" si="35"/>
        <v>0.81469999999999998</v>
      </c>
      <c r="K119" s="3383">
        <f t="shared" si="35"/>
        <v>0.81469999999999998</v>
      </c>
      <c r="L119" s="3383">
        <f t="shared" si="35"/>
        <v>0.81469999999999998</v>
      </c>
      <c r="M119" s="3406">
        <f t="shared" si="35"/>
        <v>0.81469999999999998</v>
      </c>
      <c r="N119" s="3393"/>
    </row>
    <row r="120" spans="1:14">
      <c r="A120" s="3405" t="s">
        <v>3335</v>
      </c>
      <c r="B120" s="3383">
        <f>ROUND(0.9448-0.0115*B116,4)</f>
        <v>0.93010000000000004</v>
      </c>
      <c r="C120" s="3383">
        <f>B120</f>
        <v>0.93010000000000004</v>
      </c>
      <c r="D120" s="3383">
        <f>ROUND(0.937-0.0145*B116,4)</f>
        <v>0.91839999999999999</v>
      </c>
      <c r="E120" s="3383">
        <f t="shared" si="36"/>
        <v>0.91839999999999999</v>
      </c>
      <c r="F120" s="3383">
        <f t="shared" si="36"/>
        <v>0.91839999999999999</v>
      </c>
      <c r="G120" s="3383">
        <f t="shared" si="36"/>
        <v>0.91839999999999999</v>
      </c>
      <c r="H120" s="3383">
        <f t="shared" si="36"/>
        <v>0.91839999999999999</v>
      </c>
      <c r="I120" s="3383">
        <f>ROUND(0.7965-0.0185*B116,4)</f>
        <v>0.77280000000000004</v>
      </c>
      <c r="J120" s="3383">
        <f t="shared" si="35"/>
        <v>0.77280000000000004</v>
      </c>
      <c r="K120" s="3383">
        <f t="shared" si="35"/>
        <v>0.77280000000000004</v>
      </c>
      <c r="L120" s="3383">
        <f t="shared" si="35"/>
        <v>0.77280000000000004</v>
      </c>
      <c r="M120" s="3406">
        <f t="shared" si="35"/>
        <v>0.77280000000000004</v>
      </c>
      <c r="N120" s="3393"/>
    </row>
    <row r="121" spans="1:14" ht="13.5" thickBot="1">
      <c r="A121" s="3407" t="s">
        <v>3336</v>
      </c>
      <c r="B121" s="3408">
        <f>ROUND(0.7836-0.012*B116,4)</f>
        <v>0.76819999999999999</v>
      </c>
      <c r="C121" s="3408">
        <f>B121</f>
        <v>0.76819999999999999</v>
      </c>
      <c r="D121" s="3408">
        <f>ROUND(0.753-0.015*B116,4)</f>
        <v>0.73380000000000001</v>
      </c>
      <c r="E121" s="3408">
        <f>D121</f>
        <v>0.73380000000000001</v>
      </c>
      <c r="F121" s="3408">
        <f>E121</f>
        <v>0.73380000000000001</v>
      </c>
      <c r="G121" s="3408">
        <f>ROUND(0.6612-0.018*B116,4)</f>
        <v>0.63819999999999999</v>
      </c>
      <c r="H121" s="3408">
        <f>G121</f>
        <v>0.63819999999999999</v>
      </c>
      <c r="I121" s="3408">
        <f>ROUND(0.5905-0.019*B116,4)</f>
        <v>0.56620000000000004</v>
      </c>
      <c r="J121" s="3408">
        <f t="shared" si="35"/>
        <v>0.56620000000000004</v>
      </c>
      <c r="K121" s="3408">
        <f t="shared" si="35"/>
        <v>0.56620000000000004</v>
      </c>
      <c r="L121" s="3408">
        <f t="shared" si="35"/>
        <v>0.56620000000000004</v>
      </c>
      <c r="M121" s="3409">
        <f t="shared" si="35"/>
        <v>0.56620000000000004</v>
      </c>
      <c r="N121" s="3393"/>
    </row>
    <row r="122" spans="1:14">
      <c r="A122" s="3410" t="s">
        <v>2613</v>
      </c>
      <c r="B122" s="3383">
        <f>ROUND(0.9404-0.0106*B116,4)</f>
        <v>0.92679999999999996</v>
      </c>
      <c r="C122" s="3383">
        <f>B122</f>
        <v>0.92679999999999996</v>
      </c>
      <c r="D122" s="3383">
        <f>ROUND(0.8955-0.0135*B116,4)</f>
        <v>0.87819999999999998</v>
      </c>
      <c r="E122" s="3383">
        <f t="shared" ref="E122:H122" si="37">D122</f>
        <v>0.87819999999999998</v>
      </c>
      <c r="F122" s="3383">
        <f t="shared" si="37"/>
        <v>0.87819999999999998</v>
      </c>
      <c r="G122" s="3383">
        <f t="shared" si="37"/>
        <v>0.87819999999999998</v>
      </c>
      <c r="H122" s="3383">
        <f t="shared" si="37"/>
        <v>0.87819999999999998</v>
      </c>
      <c r="I122" s="3383">
        <f>ROUND(0.7632-0.0166*B116,4)</f>
        <v>0.74199999999999999</v>
      </c>
      <c r="J122" s="3383">
        <f t="shared" si="35"/>
        <v>0.74199999999999999</v>
      </c>
      <c r="K122" s="3383">
        <f t="shared" si="35"/>
        <v>0.74199999999999999</v>
      </c>
      <c r="L122" s="3383">
        <f t="shared" si="35"/>
        <v>0.74199999999999999</v>
      </c>
      <c r="M122" s="3406">
        <f t="shared" si="35"/>
        <v>0.74199999999999999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activeCell="E20" sqref="E20"/>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94" t="s">
        <v>2608</v>
      </c>
      <c r="B20" s="3787" t="s">
        <v>2629</v>
      </c>
      <c r="C20" s="3098" t="s">
        <v>2440</v>
      </c>
      <c r="D20" s="3099"/>
      <c r="E20" s="3100">
        <v>1</v>
      </c>
      <c r="F20" s="3101" t="s">
        <v>2441</v>
      </c>
      <c r="G20" s="3101"/>
    </row>
    <row r="21" spans="1:13" ht="19.5" customHeight="1">
      <c r="A21" s="3795"/>
      <c r="B21" s="3788"/>
      <c r="C21" s="3102" t="s">
        <v>2442</v>
      </c>
      <c r="D21" s="3103"/>
      <c r="E21" s="3104">
        <v>1</v>
      </c>
      <c r="F21" s="3101" t="s">
        <v>2443</v>
      </c>
      <c r="G21" s="3101"/>
    </row>
    <row r="22" spans="1:13" ht="19.5" customHeight="1">
      <c r="A22" s="3795"/>
      <c r="B22" s="3788"/>
      <c r="C22" s="3102" t="s">
        <v>2444</v>
      </c>
      <c r="D22" s="3103"/>
      <c r="E22" s="3104">
        <v>0.9</v>
      </c>
      <c r="F22" s="3101" t="s">
        <v>2445</v>
      </c>
      <c r="G22" s="3101"/>
    </row>
    <row r="23" spans="1:13" ht="19.5" customHeight="1">
      <c r="A23" s="3795"/>
      <c r="B23" s="3788"/>
      <c r="C23" s="3102" t="s">
        <v>2446</v>
      </c>
      <c r="D23" s="3103"/>
      <c r="E23" s="3104">
        <v>0.9</v>
      </c>
      <c r="F23" s="3101" t="s">
        <v>2447</v>
      </c>
      <c r="G23" s="3101"/>
    </row>
    <row r="24" spans="1:13" ht="19.5" customHeight="1">
      <c r="A24" s="3795"/>
      <c r="B24" s="3788"/>
      <c r="C24" s="3102" t="s">
        <v>2448</v>
      </c>
      <c r="D24" s="3103"/>
      <c r="E24" s="3104">
        <v>0.8</v>
      </c>
      <c r="F24" s="3101" t="s">
        <v>2449</v>
      </c>
      <c r="G24" s="3101"/>
    </row>
    <row r="25" spans="1:13" ht="19.5" customHeight="1" thickBot="1">
      <c r="A25" s="3796"/>
      <c r="B25" s="3789"/>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90" t="s">
        <v>2632</v>
      </c>
      <c r="B27" s="3787" t="s">
        <v>2613</v>
      </c>
      <c r="C27" s="3098" t="s">
        <v>2453</v>
      </c>
      <c r="D27" s="3099"/>
      <c r="E27" s="3100">
        <v>1</v>
      </c>
      <c r="F27" s="3101" t="s">
        <v>2454</v>
      </c>
      <c r="G27" s="3101"/>
    </row>
    <row r="28" spans="1:13" ht="19.5" customHeight="1">
      <c r="A28" s="3791"/>
      <c r="B28" s="3788"/>
      <c r="C28" s="3102" t="s">
        <v>2455</v>
      </c>
      <c r="D28" s="3103"/>
      <c r="E28" s="3104">
        <v>1</v>
      </c>
      <c r="F28" s="3101" t="s">
        <v>2456</v>
      </c>
      <c r="G28" s="3101"/>
    </row>
    <row r="29" spans="1:13" ht="19.5" customHeight="1">
      <c r="A29" s="3791"/>
      <c r="B29" s="3788"/>
      <c r="C29" s="3102" t="s">
        <v>2457</v>
      </c>
      <c r="D29" s="3103"/>
      <c r="E29" s="3104">
        <v>0.8</v>
      </c>
      <c r="F29" s="3101" t="s">
        <v>2458</v>
      </c>
      <c r="G29" s="3101"/>
    </row>
    <row r="30" spans="1:13" ht="19.5" customHeight="1">
      <c r="A30" s="3791"/>
      <c r="B30" s="3788"/>
      <c r="C30" s="3102" t="s">
        <v>2459</v>
      </c>
      <c r="D30" s="3103"/>
      <c r="E30" s="3104">
        <v>0.8</v>
      </c>
      <c r="F30" s="3101" t="s">
        <v>2460</v>
      </c>
      <c r="G30" s="3101"/>
    </row>
    <row r="31" spans="1:13" ht="19.5" customHeight="1">
      <c r="A31" s="3791"/>
      <c r="B31" s="3788"/>
      <c r="C31" s="3102" t="s">
        <v>2461</v>
      </c>
      <c r="D31" s="3103"/>
      <c r="E31" s="3104">
        <v>0.8</v>
      </c>
      <c r="F31" s="3101" t="s">
        <v>2462</v>
      </c>
      <c r="G31" s="3101"/>
    </row>
    <row r="32" spans="1:13" ht="19.5" customHeight="1">
      <c r="A32" s="3791"/>
      <c r="B32" s="3788"/>
      <c r="C32" s="3102" t="s">
        <v>2463</v>
      </c>
      <c r="D32" s="3103"/>
      <c r="E32" s="3104">
        <v>0.7</v>
      </c>
      <c r="F32" s="3101" t="s">
        <v>2464</v>
      </c>
      <c r="G32" s="3101"/>
    </row>
    <row r="33" spans="1:7" ht="19.5" customHeight="1">
      <c r="A33" s="3791"/>
      <c r="B33" s="3788"/>
      <c r="C33" s="3102" t="s">
        <v>2465</v>
      </c>
      <c r="D33" s="3103"/>
      <c r="E33" s="3104">
        <v>0.8</v>
      </c>
      <c r="F33" s="3101" t="s">
        <v>2466</v>
      </c>
      <c r="G33" s="3101"/>
    </row>
    <row r="34" spans="1:7" ht="19.5" customHeight="1">
      <c r="A34" s="3791"/>
      <c r="B34" s="3788"/>
      <c r="C34" s="3102" t="s">
        <v>2467</v>
      </c>
      <c r="D34" s="3103"/>
      <c r="E34" s="3104">
        <v>0.6</v>
      </c>
      <c r="F34" s="3101" t="s">
        <v>2468</v>
      </c>
      <c r="G34" s="3101"/>
    </row>
    <row r="35" spans="1:7" ht="19.5" customHeight="1">
      <c r="A35" s="3791"/>
      <c r="B35" s="3788"/>
      <c r="C35" s="3102" t="s">
        <v>2469</v>
      </c>
      <c r="D35" s="3103"/>
      <c r="E35" s="3104">
        <v>0.2</v>
      </c>
      <c r="F35" s="3101" t="s">
        <v>2470</v>
      </c>
      <c r="G35" s="3101"/>
    </row>
    <row r="36" spans="1:7" ht="19.5" customHeight="1">
      <c r="A36" s="3791"/>
      <c r="B36" s="3788"/>
      <c r="C36" s="3102" t="s">
        <v>2471</v>
      </c>
      <c r="D36" s="3103"/>
      <c r="E36" s="3104">
        <v>0.2</v>
      </c>
      <c r="F36" s="3101" t="s">
        <v>2472</v>
      </c>
      <c r="G36" s="3101"/>
    </row>
    <row r="37" spans="1:7" ht="19.5" customHeight="1">
      <c r="A37" s="3791"/>
      <c r="B37" s="3793" t="s">
        <v>2633</v>
      </c>
      <c r="C37" s="3102" t="s">
        <v>2473</v>
      </c>
      <c r="D37" s="3103"/>
      <c r="E37" s="3104">
        <v>0.6</v>
      </c>
      <c r="F37" s="3101" t="s">
        <v>2474</v>
      </c>
      <c r="G37" s="3101"/>
    </row>
    <row r="38" spans="1:7" ht="19.5" customHeight="1">
      <c r="A38" s="3791"/>
      <c r="B38" s="3788"/>
      <c r="C38" s="3102" t="s">
        <v>2475</v>
      </c>
      <c r="D38" s="3103"/>
      <c r="E38" s="3104">
        <v>0.6</v>
      </c>
      <c r="F38" s="3101" t="s">
        <v>2476</v>
      </c>
      <c r="G38" s="3101"/>
    </row>
    <row r="39" spans="1:7" ht="19.5" customHeight="1" thickBot="1">
      <c r="A39" s="3792"/>
      <c r="B39" s="3789"/>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94" t="s">
        <v>2611</v>
      </c>
      <c r="B41" s="3787" t="s">
        <v>2635</v>
      </c>
      <c r="C41" s="3098" t="s">
        <v>2480</v>
      </c>
      <c r="D41" s="3099"/>
      <c r="E41" s="3100">
        <v>1</v>
      </c>
      <c r="F41" s="3101" t="s">
        <v>2481</v>
      </c>
      <c r="G41" s="3101"/>
    </row>
    <row r="42" spans="1:7" ht="19.5" customHeight="1">
      <c r="A42" s="3795"/>
      <c r="B42" s="3788"/>
      <c r="C42" s="3102" t="s">
        <v>2482</v>
      </c>
      <c r="D42" s="3103"/>
      <c r="E42" s="3104">
        <v>1</v>
      </c>
      <c r="F42" s="3101" t="s">
        <v>2483</v>
      </c>
      <c r="G42" s="3101"/>
    </row>
    <row r="43" spans="1:7" ht="19.5" customHeight="1">
      <c r="A43" s="3795"/>
      <c r="B43" s="3797"/>
      <c r="C43" s="3102" t="s">
        <v>2484</v>
      </c>
      <c r="D43" s="3103"/>
      <c r="E43" s="3104">
        <v>1.5</v>
      </c>
      <c r="F43" s="3101" t="s">
        <v>2485</v>
      </c>
      <c r="G43" s="3101"/>
    </row>
    <row r="44" spans="1:7" ht="19.5" customHeight="1">
      <c r="A44" s="3795"/>
      <c r="B44" s="3113" t="s">
        <v>2636</v>
      </c>
      <c r="C44" s="3102" t="s">
        <v>2637</v>
      </c>
      <c r="D44" s="3103"/>
      <c r="E44" s="3104">
        <v>2</v>
      </c>
      <c r="F44" s="3101" t="s">
        <v>2486</v>
      </c>
      <c r="G44" s="3101"/>
    </row>
    <row r="45" spans="1:7" ht="19.5" customHeight="1">
      <c r="A45" s="3795"/>
      <c r="B45" s="3793" t="s">
        <v>2638</v>
      </c>
      <c r="C45" s="3102" t="s">
        <v>2487</v>
      </c>
      <c r="D45" s="3103"/>
      <c r="E45" s="3104">
        <v>1</v>
      </c>
      <c r="F45" s="3101" t="s">
        <v>2488</v>
      </c>
      <c r="G45" s="3101"/>
    </row>
    <row r="46" spans="1:7" ht="19.5" customHeight="1">
      <c r="A46" s="3795"/>
      <c r="B46" s="3788"/>
      <c r="C46" s="3102" t="s">
        <v>2489</v>
      </c>
      <c r="D46" s="3103"/>
      <c r="E46" s="3104">
        <v>1</v>
      </c>
      <c r="F46" s="3101" t="s">
        <v>2490</v>
      </c>
      <c r="G46" s="3101"/>
    </row>
    <row r="47" spans="1:7" ht="19.5" customHeight="1">
      <c r="A47" s="3795"/>
      <c r="B47" s="3788"/>
      <c r="C47" s="3102" t="s">
        <v>2491</v>
      </c>
      <c r="D47" s="3103"/>
      <c r="E47" s="3104">
        <v>1</v>
      </c>
      <c r="F47" s="3101" t="s">
        <v>2492</v>
      </c>
      <c r="G47" s="3101"/>
    </row>
    <row r="48" spans="1:7" ht="19.5" customHeight="1">
      <c r="A48" s="3795"/>
      <c r="B48" s="3788"/>
      <c r="C48" s="3102" t="s">
        <v>2493</v>
      </c>
      <c r="D48" s="3103"/>
      <c r="E48" s="3104">
        <v>1</v>
      </c>
      <c r="F48" s="3101" t="s">
        <v>2494</v>
      </c>
      <c r="G48" s="3101"/>
    </row>
    <row r="49" spans="1:7" ht="19.5" customHeight="1">
      <c r="A49" s="3795"/>
      <c r="B49" s="3788"/>
      <c r="C49" s="3102" t="s">
        <v>2495</v>
      </c>
      <c r="D49" s="3103"/>
      <c r="E49" s="3104">
        <v>1</v>
      </c>
      <c r="F49" s="3101" t="s">
        <v>2496</v>
      </c>
      <c r="G49" s="3101"/>
    </row>
    <row r="50" spans="1:7" ht="19.5" customHeight="1">
      <c r="A50" s="3795"/>
      <c r="B50" s="3788"/>
      <c r="C50" s="3102" t="s">
        <v>2497</v>
      </c>
      <c r="D50" s="3103"/>
      <c r="E50" s="3104">
        <v>1</v>
      </c>
      <c r="F50" s="3101" t="s">
        <v>2498</v>
      </c>
      <c r="G50" s="3101"/>
    </row>
    <row r="51" spans="1:7" ht="19.5" customHeight="1" thickBot="1">
      <c r="A51" s="3796"/>
      <c r="B51" s="3789"/>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3" t="s">
        <v>2652</v>
      </c>
      <c r="C73" s="3087" t="s">
        <v>2653</v>
      </c>
      <c r="D73" s="3087" t="s">
        <v>2654</v>
      </c>
      <c r="E73" s="3113">
        <v>0.2</v>
      </c>
      <c r="F73" s="3113">
        <v>25</v>
      </c>
    </row>
    <row r="74" spans="1:7" ht="24">
      <c r="A74" s="3113">
        <v>2</v>
      </c>
      <c r="B74" s="3788"/>
      <c r="C74" s="3087" t="s">
        <v>2655</v>
      </c>
      <c r="D74" s="3087" t="s">
        <v>2656</v>
      </c>
      <c r="E74" s="3113">
        <v>0.2</v>
      </c>
      <c r="F74" s="3113">
        <v>25</v>
      </c>
    </row>
    <row r="75" spans="1:7" ht="24">
      <c r="A75" s="3113">
        <v>3</v>
      </c>
      <c r="B75" s="3788"/>
      <c r="C75" s="3087" t="s">
        <v>2657</v>
      </c>
      <c r="D75" s="3087" t="s">
        <v>2658</v>
      </c>
      <c r="E75" s="3113">
        <v>0.2</v>
      </c>
      <c r="F75" s="3113">
        <v>25</v>
      </c>
    </row>
    <row r="76" spans="1:7" ht="13.5">
      <c r="A76" s="3113">
        <v>4</v>
      </c>
      <c r="B76" s="3788"/>
      <c r="C76" s="3087" t="s">
        <v>2659</v>
      </c>
      <c r="D76" s="3087" t="s">
        <v>2660</v>
      </c>
      <c r="E76" s="3113">
        <v>0.15</v>
      </c>
      <c r="F76" s="3113">
        <v>20</v>
      </c>
    </row>
    <row r="77" spans="1:7" ht="24">
      <c r="A77" s="3113">
        <v>5</v>
      </c>
      <c r="B77" s="3788"/>
      <c r="C77" s="3087" t="s">
        <v>2661</v>
      </c>
      <c r="D77" s="3087" t="s">
        <v>2662</v>
      </c>
      <c r="E77" s="3113">
        <v>0.15</v>
      </c>
      <c r="F77" s="3113">
        <v>20</v>
      </c>
    </row>
    <row r="78" spans="1:7" ht="24">
      <c r="A78" s="3113">
        <v>6</v>
      </c>
      <c r="B78" s="3788"/>
      <c r="C78" s="3087" t="s">
        <v>2663</v>
      </c>
      <c r="D78" s="3087" t="s">
        <v>2664</v>
      </c>
      <c r="E78" s="3113">
        <v>0.15</v>
      </c>
      <c r="F78" s="3113">
        <v>20</v>
      </c>
    </row>
    <row r="79" spans="1:7" ht="24">
      <c r="A79" s="3113">
        <v>7</v>
      </c>
      <c r="B79" s="3788"/>
      <c r="C79" s="3087" t="s">
        <v>2665</v>
      </c>
      <c r="D79" s="3087" t="s">
        <v>2666</v>
      </c>
      <c r="E79" s="3113">
        <v>0.15</v>
      </c>
      <c r="F79" s="3113">
        <v>20</v>
      </c>
    </row>
    <row r="80" spans="1:7" ht="24">
      <c r="A80" s="3113">
        <v>8</v>
      </c>
      <c r="B80" s="3788"/>
      <c r="C80" s="3087" t="s">
        <v>2667</v>
      </c>
      <c r="D80" s="3087" t="s">
        <v>2668</v>
      </c>
      <c r="E80" s="3113">
        <v>0.1</v>
      </c>
      <c r="F80" s="3113">
        <v>15</v>
      </c>
    </row>
    <row r="81" spans="1:6" ht="24">
      <c r="A81" s="3113">
        <v>9</v>
      </c>
      <c r="B81" s="3788"/>
      <c r="C81" s="3087" t="s">
        <v>2669</v>
      </c>
      <c r="D81" s="3087" t="s">
        <v>2670</v>
      </c>
      <c r="E81" s="3113">
        <v>0.1</v>
      </c>
      <c r="F81" s="3113">
        <v>15</v>
      </c>
    </row>
    <row r="82" spans="1:6" ht="24">
      <c r="A82" s="3113">
        <v>10</v>
      </c>
      <c r="B82" s="3788"/>
      <c r="C82" s="3087" t="s">
        <v>2671</v>
      </c>
      <c r="D82" s="3087" t="s">
        <v>2672</v>
      </c>
      <c r="E82" s="3113">
        <v>0.1</v>
      </c>
      <c r="F82" s="3113">
        <v>15</v>
      </c>
    </row>
    <row r="83" spans="1:6" ht="24">
      <c r="A83" s="3113">
        <v>11</v>
      </c>
      <c r="B83" s="3788"/>
      <c r="C83" s="3087" t="s">
        <v>2673</v>
      </c>
      <c r="D83" s="3087" t="s">
        <v>2674</v>
      </c>
      <c r="E83" s="3113">
        <v>0.1</v>
      </c>
      <c r="F83" s="3113">
        <v>15</v>
      </c>
    </row>
    <row r="84" spans="1:6" ht="24">
      <c r="A84" s="3113">
        <v>12</v>
      </c>
      <c r="B84" s="3788"/>
      <c r="C84" s="3087" t="s">
        <v>2675</v>
      </c>
      <c r="D84" s="3087" t="s">
        <v>2676</v>
      </c>
      <c r="E84" s="3113">
        <v>0.1</v>
      </c>
      <c r="F84" s="3113">
        <v>15</v>
      </c>
    </row>
    <row r="85" spans="1:6" ht="13.5">
      <c r="A85" s="3113">
        <v>13</v>
      </c>
      <c r="B85" s="3788"/>
      <c r="C85" s="3087" t="s">
        <v>2677</v>
      </c>
      <c r="D85" s="3087" t="s">
        <v>2678</v>
      </c>
      <c r="E85" s="3113">
        <v>0.1</v>
      </c>
      <c r="F85" s="3113">
        <v>15</v>
      </c>
    </row>
    <row r="86" spans="1:6" ht="13.5">
      <c r="A86" s="3113">
        <v>14</v>
      </c>
      <c r="B86" s="3788"/>
      <c r="C86" s="3087" t="s">
        <v>2679</v>
      </c>
      <c r="D86" s="3087" t="s">
        <v>2680</v>
      </c>
      <c r="E86" s="3113">
        <v>0.1</v>
      </c>
      <c r="F86" s="3113">
        <v>15</v>
      </c>
    </row>
    <row r="87" spans="1:6" ht="13.5">
      <c r="A87" s="3113">
        <v>15</v>
      </c>
      <c r="B87" s="3788"/>
      <c r="C87" s="3087" t="s">
        <v>2681</v>
      </c>
      <c r="D87" s="3087" t="s">
        <v>2682</v>
      </c>
      <c r="E87" s="3113">
        <v>0.1</v>
      </c>
      <c r="F87" s="3113">
        <v>15</v>
      </c>
    </row>
    <row r="88" spans="1:6" ht="24">
      <c r="A88" s="3113">
        <v>16</v>
      </c>
      <c r="B88" s="3788"/>
      <c r="C88" s="3087" t="s">
        <v>2683</v>
      </c>
      <c r="D88" s="3087" t="s">
        <v>2684</v>
      </c>
      <c r="E88" s="3113">
        <v>0.1</v>
      </c>
      <c r="F88" s="3113">
        <v>15</v>
      </c>
    </row>
    <row r="89" spans="1:6" ht="24">
      <c r="A89" s="3113">
        <v>17</v>
      </c>
      <c r="B89" s="3797"/>
      <c r="C89" s="3087" t="s">
        <v>2685</v>
      </c>
      <c r="D89" s="3087" t="s">
        <v>2686</v>
      </c>
      <c r="E89" s="3113">
        <v>0.1</v>
      </c>
      <c r="F89" s="3113">
        <v>15</v>
      </c>
    </row>
    <row r="90" spans="1:6" ht="13.5">
      <c r="A90" s="3113">
        <v>18</v>
      </c>
      <c r="B90" s="3793" t="s">
        <v>2687</v>
      </c>
      <c r="C90" s="3087" t="s">
        <v>2688</v>
      </c>
      <c r="D90" s="3087" t="s">
        <v>2689</v>
      </c>
      <c r="E90" s="3113">
        <v>0.2</v>
      </c>
      <c r="F90" s="3113">
        <v>25</v>
      </c>
    </row>
    <row r="91" spans="1:6" ht="24">
      <c r="A91" s="3113">
        <v>19</v>
      </c>
      <c r="B91" s="3788"/>
      <c r="C91" s="3087" t="s">
        <v>2690</v>
      </c>
      <c r="D91" s="3087" t="s">
        <v>2691</v>
      </c>
      <c r="E91" s="3113">
        <v>0.2</v>
      </c>
      <c r="F91" s="3113">
        <v>25</v>
      </c>
    </row>
    <row r="92" spans="1:6" ht="13.5">
      <c r="A92" s="3113">
        <v>20</v>
      </c>
      <c r="B92" s="3788"/>
      <c r="C92" s="3087" t="s">
        <v>2692</v>
      </c>
      <c r="D92" s="3087" t="s">
        <v>2693</v>
      </c>
      <c r="E92" s="3113">
        <v>0.15</v>
      </c>
      <c r="F92" s="3113">
        <v>20</v>
      </c>
    </row>
    <row r="93" spans="1:6" ht="13.5">
      <c r="A93" s="3113">
        <v>21</v>
      </c>
      <c r="B93" s="3788"/>
      <c r="C93" s="3087" t="s">
        <v>2694</v>
      </c>
      <c r="D93" s="3087" t="s">
        <v>2695</v>
      </c>
      <c r="E93" s="3113">
        <v>0.15</v>
      </c>
      <c r="F93" s="3113">
        <v>20</v>
      </c>
    </row>
    <row r="94" spans="1:6" ht="13.5">
      <c r="A94" s="3113">
        <v>22</v>
      </c>
      <c r="B94" s="3788"/>
      <c r="C94" s="3087" t="s">
        <v>2696</v>
      </c>
      <c r="D94" s="3087" t="s">
        <v>2697</v>
      </c>
      <c r="E94" s="3113">
        <v>0.15</v>
      </c>
      <c r="F94" s="3113">
        <v>20</v>
      </c>
    </row>
    <row r="95" spans="1:6" ht="36">
      <c r="A95" s="3113">
        <v>23</v>
      </c>
      <c r="B95" s="3788"/>
      <c r="C95" s="3087" t="s">
        <v>2698</v>
      </c>
      <c r="D95" s="3087" t="s">
        <v>2699</v>
      </c>
      <c r="E95" s="3113">
        <v>0.15</v>
      </c>
      <c r="F95" s="3113">
        <v>20</v>
      </c>
    </row>
    <row r="96" spans="1:6" ht="13.5">
      <c r="A96" s="3113">
        <v>24</v>
      </c>
      <c r="B96" s="3788"/>
      <c r="C96" s="3087" t="s">
        <v>2700</v>
      </c>
      <c r="D96" s="3087" t="s">
        <v>2701</v>
      </c>
      <c r="E96" s="3113">
        <v>0.1</v>
      </c>
      <c r="F96" s="3113">
        <v>15</v>
      </c>
    </row>
    <row r="97" spans="1:6" ht="13.5">
      <c r="A97" s="3113">
        <v>25</v>
      </c>
      <c r="B97" s="3788"/>
      <c r="C97" s="3087" t="s">
        <v>2702</v>
      </c>
      <c r="D97" s="3087" t="s">
        <v>2703</v>
      </c>
      <c r="E97" s="3113">
        <v>0.1</v>
      </c>
      <c r="F97" s="3113">
        <v>15</v>
      </c>
    </row>
    <row r="98" spans="1:6" ht="24">
      <c r="A98" s="3113">
        <v>26</v>
      </c>
      <c r="B98" s="3788"/>
      <c r="C98" s="3087" t="s">
        <v>2704</v>
      </c>
      <c r="D98" s="3087" t="s">
        <v>2705</v>
      </c>
      <c r="E98" s="3113">
        <v>0.1</v>
      </c>
      <c r="F98" s="3113">
        <v>15</v>
      </c>
    </row>
    <row r="99" spans="1:6" ht="24">
      <c r="A99" s="3113">
        <v>27</v>
      </c>
      <c r="B99" s="3788"/>
      <c r="C99" s="3087" t="s">
        <v>2706</v>
      </c>
      <c r="D99" s="3087" t="s">
        <v>2707</v>
      </c>
      <c r="E99" s="3113">
        <v>0.1</v>
      </c>
      <c r="F99" s="3113">
        <v>15</v>
      </c>
    </row>
    <row r="100" spans="1:6" ht="13.5">
      <c r="A100" s="3113">
        <v>28</v>
      </c>
      <c r="B100" s="3788"/>
      <c r="C100" s="3087" t="s">
        <v>2708</v>
      </c>
      <c r="D100" s="3087" t="s">
        <v>2709</v>
      </c>
      <c r="E100" s="3113">
        <v>0.1</v>
      </c>
      <c r="F100" s="3113">
        <v>15</v>
      </c>
    </row>
    <row r="101" spans="1:6" ht="13.5">
      <c r="A101" s="3113">
        <v>29</v>
      </c>
      <c r="B101" s="3788"/>
      <c r="C101" s="3087" t="s">
        <v>2710</v>
      </c>
      <c r="D101" s="3087" t="s">
        <v>2711</v>
      </c>
      <c r="E101" s="3113">
        <v>0.1</v>
      </c>
      <c r="F101" s="3113">
        <v>15</v>
      </c>
    </row>
    <row r="102" spans="1:6" ht="13.5">
      <c r="A102" s="3113">
        <v>30</v>
      </c>
      <c r="B102" s="3788"/>
      <c r="C102" s="3087" t="s">
        <v>2712</v>
      </c>
      <c r="D102" s="3087" t="s">
        <v>2713</v>
      </c>
      <c r="E102" s="3113">
        <v>0.1</v>
      </c>
      <c r="F102" s="3113">
        <v>15</v>
      </c>
    </row>
    <row r="103" spans="1:6" ht="24">
      <c r="A103" s="3113">
        <v>31</v>
      </c>
      <c r="B103" s="3788"/>
      <c r="C103" s="3087" t="s">
        <v>2714</v>
      </c>
      <c r="D103" s="3087" t="s">
        <v>2715</v>
      </c>
      <c r="E103" s="3113">
        <v>0.1</v>
      </c>
      <c r="F103" s="3113">
        <v>15</v>
      </c>
    </row>
    <row r="104" spans="1:6" ht="24">
      <c r="A104" s="3113">
        <v>32</v>
      </c>
      <c r="B104" s="3788"/>
      <c r="C104" s="3087" t="s">
        <v>2716</v>
      </c>
      <c r="D104" s="3087" t="s">
        <v>2717</v>
      </c>
      <c r="E104" s="3113">
        <v>0.1</v>
      </c>
      <c r="F104" s="3113">
        <v>15</v>
      </c>
    </row>
    <row r="105" spans="1:6" ht="24">
      <c r="A105" s="3113">
        <v>33</v>
      </c>
      <c r="B105" s="3788"/>
      <c r="C105" s="3087" t="s">
        <v>2718</v>
      </c>
      <c r="D105" s="3087" t="s">
        <v>2719</v>
      </c>
      <c r="E105" s="3113">
        <v>0.1</v>
      </c>
      <c r="F105" s="3113">
        <v>15</v>
      </c>
    </row>
    <row r="106" spans="1:6" ht="24">
      <c r="A106" s="3113">
        <v>34</v>
      </c>
      <c r="B106" s="3797"/>
      <c r="C106" s="3087" t="s">
        <v>2720</v>
      </c>
      <c r="D106" s="3087" t="s">
        <v>2721</v>
      </c>
      <c r="E106" s="3113">
        <v>0.1</v>
      </c>
      <c r="F106" s="3113">
        <v>15</v>
      </c>
    </row>
    <row r="107" spans="1:6" ht="24">
      <c r="A107" s="3113">
        <v>35</v>
      </c>
      <c r="B107" s="3793" t="s">
        <v>2722</v>
      </c>
      <c r="C107" s="3113" t="s">
        <v>2723</v>
      </c>
      <c r="D107" s="3087" t="s">
        <v>2724</v>
      </c>
      <c r="E107" s="3113">
        <v>0.15</v>
      </c>
      <c r="F107" s="3113">
        <v>20</v>
      </c>
    </row>
    <row r="108" spans="1:6" ht="13.5">
      <c r="A108" s="3113">
        <v>36</v>
      </c>
      <c r="B108" s="3788"/>
      <c r="C108" s="3113" t="s">
        <v>2725</v>
      </c>
      <c r="D108" s="3087" t="s">
        <v>2726</v>
      </c>
      <c r="E108" s="3113">
        <v>0.15</v>
      </c>
      <c r="F108" s="3113">
        <v>20</v>
      </c>
    </row>
    <row r="109" spans="1:6" ht="13.5">
      <c r="A109" s="3113">
        <v>37</v>
      </c>
      <c r="B109" s="3788"/>
      <c r="C109" s="3113" t="s">
        <v>2727</v>
      </c>
      <c r="D109" s="3087" t="s">
        <v>2728</v>
      </c>
      <c r="E109" s="3113">
        <v>0.15</v>
      </c>
      <c r="F109" s="3113">
        <v>20</v>
      </c>
    </row>
    <row r="110" spans="1:6" ht="13.5">
      <c r="A110" s="3113">
        <v>38</v>
      </c>
      <c r="B110" s="3788"/>
      <c r="C110" s="3113" t="s">
        <v>2729</v>
      </c>
      <c r="D110" s="3087" t="s">
        <v>2730</v>
      </c>
      <c r="E110" s="3113">
        <v>0.1</v>
      </c>
      <c r="F110" s="3113">
        <v>15</v>
      </c>
    </row>
    <row r="111" spans="1:6" ht="24">
      <c r="A111" s="3113">
        <v>39</v>
      </c>
      <c r="B111" s="3788"/>
      <c r="C111" s="3113" t="s">
        <v>2731</v>
      </c>
      <c r="D111" s="3087" t="s">
        <v>2732</v>
      </c>
      <c r="E111" s="3113">
        <v>0.1</v>
      </c>
      <c r="F111" s="3113">
        <v>15</v>
      </c>
    </row>
    <row r="112" spans="1:6" ht="24">
      <c r="A112" s="3113">
        <v>40</v>
      </c>
      <c r="B112" s="3797"/>
      <c r="C112" s="3113" t="s">
        <v>2733</v>
      </c>
      <c r="D112" s="3087" t="s">
        <v>2734</v>
      </c>
      <c r="E112" s="3113">
        <v>0.1</v>
      </c>
      <c r="F112" s="3113">
        <v>15</v>
      </c>
    </row>
    <row r="113" spans="1:6" ht="13.5">
      <c r="A113" s="3113">
        <v>41</v>
      </c>
      <c r="B113" s="3798" t="s">
        <v>2735</v>
      </c>
      <c r="C113" s="3113" t="s">
        <v>2736</v>
      </c>
      <c r="D113" s="3087" t="s">
        <v>2737</v>
      </c>
      <c r="E113" s="3113">
        <v>0.1</v>
      </c>
      <c r="F113" s="3113">
        <v>15</v>
      </c>
    </row>
    <row r="114" spans="1:6" ht="13.5">
      <c r="A114" s="3113">
        <v>42</v>
      </c>
      <c r="B114" s="3798"/>
      <c r="C114" s="3113" t="s">
        <v>2738</v>
      </c>
      <c r="D114" s="3087" t="s">
        <v>2739</v>
      </c>
      <c r="E114" s="3113">
        <v>0.1</v>
      </c>
      <c r="F114" s="3113">
        <v>15</v>
      </c>
    </row>
    <row r="115" spans="1:6" ht="24">
      <c r="A115" s="3113">
        <v>43</v>
      </c>
      <c r="B115" s="3798"/>
      <c r="C115" s="3113" t="s">
        <v>2740</v>
      </c>
      <c r="D115" s="3087" t="s">
        <v>2741</v>
      </c>
      <c r="E115" s="3113">
        <v>0.1</v>
      </c>
      <c r="F115" s="3113">
        <v>15</v>
      </c>
    </row>
    <row r="116" spans="1:6" ht="13.5">
      <c r="A116" s="3113">
        <v>44</v>
      </c>
      <c r="B116" s="3793" t="s">
        <v>2742</v>
      </c>
      <c r="C116" s="3113" t="s">
        <v>2743</v>
      </c>
      <c r="D116" s="3087" t="s">
        <v>2744</v>
      </c>
      <c r="E116" s="3113">
        <v>0.1</v>
      </c>
      <c r="F116" s="3113">
        <v>15</v>
      </c>
    </row>
    <row r="117" spans="1:6" ht="24">
      <c r="A117" s="3113">
        <v>45</v>
      </c>
      <c r="B117" s="3797"/>
      <c r="C117" s="3087" t="s">
        <v>2745</v>
      </c>
      <c r="D117" s="3087" t="s">
        <v>2746</v>
      </c>
      <c r="E117" s="3113">
        <v>0.1</v>
      </c>
      <c r="F117" s="3113">
        <v>15</v>
      </c>
    </row>
    <row r="118" spans="1:6" ht="24">
      <c r="A118" s="3113">
        <v>46</v>
      </c>
      <c r="B118" s="3793" t="s">
        <v>2747</v>
      </c>
      <c r="C118" s="3113" t="s">
        <v>2748</v>
      </c>
      <c r="D118" s="3087" t="s">
        <v>2749</v>
      </c>
      <c r="E118" s="3113">
        <v>0.1</v>
      </c>
      <c r="F118" s="3113">
        <v>15</v>
      </c>
    </row>
    <row r="119" spans="1:6" ht="24">
      <c r="A119" s="3113">
        <v>47</v>
      </c>
      <c r="B119" s="3797"/>
      <c r="C119" s="3113" t="s">
        <v>2750</v>
      </c>
      <c r="D119" s="3087" t="s">
        <v>2751</v>
      </c>
      <c r="E119" s="3113">
        <v>0.1</v>
      </c>
      <c r="F119" s="3113">
        <v>15</v>
      </c>
    </row>
    <row r="120" spans="1:6" ht="13.5">
      <c r="A120" s="3113">
        <v>48</v>
      </c>
      <c r="B120" s="3793" t="s">
        <v>2752</v>
      </c>
      <c r="C120" s="3113" t="s">
        <v>2753</v>
      </c>
      <c r="D120" s="3087" t="s">
        <v>2754</v>
      </c>
      <c r="E120" s="3113">
        <v>0.1</v>
      </c>
      <c r="F120" s="3113">
        <v>15</v>
      </c>
    </row>
    <row r="121" spans="1:6" ht="13.5">
      <c r="A121" s="3113">
        <v>49</v>
      </c>
      <c r="B121" s="3797"/>
      <c r="C121" s="3113" t="s">
        <v>2755</v>
      </c>
      <c r="D121" s="3087" t="s">
        <v>2756</v>
      </c>
      <c r="E121" s="3113">
        <v>0.1</v>
      </c>
      <c r="F121" s="3113">
        <v>15</v>
      </c>
    </row>
    <row r="122" spans="1:6" ht="24">
      <c r="A122" s="3113">
        <v>50</v>
      </c>
      <c r="B122" s="3798" t="s">
        <v>2757</v>
      </c>
      <c r="C122" s="3113" t="s">
        <v>2758</v>
      </c>
      <c r="D122" s="3087" t="s">
        <v>2759</v>
      </c>
      <c r="E122" s="3113">
        <v>0.1</v>
      </c>
      <c r="F122" s="3113">
        <v>15</v>
      </c>
    </row>
    <row r="123" spans="1:6" ht="24">
      <c r="A123" s="3113">
        <v>51</v>
      </c>
      <c r="B123" s="3798"/>
      <c r="C123" s="3113" t="s">
        <v>2760</v>
      </c>
      <c r="D123" s="3087" t="s">
        <v>2761</v>
      </c>
      <c r="E123" s="3113">
        <v>0.1</v>
      </c>
      <c r="F123" s="3113">
        <v>15</v>
      </c>
    </row>
    <row r="124" spans="1:6" ht="24">
      <c r="A124" s="3113">
        <v>52</v>
      </c>
      <c r="B124" s="3798" t="s">
        <v>2762</v>
      </c>
      <c r="C124" s="3113" t="s">
        <v>2763</v>
      </c>
      <c r="D124" s="3087" t="s">
        <v>2764</v>
      </c>
      <c r="E124" s="3113">
        <v>0.1</v>
      </c>
      <c r="F124" s="3113">
        <v>15</v>
      </c>
    </row>
    <row r="125" spans="1:6" ht="24">
      <c r="A125" s="3113">
        <v>53</v>
      </c>
      <c r="B125" s="3798"/>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8" t="s">
        <v>2770</v>
      </c>
      <c r="C127" s="3113" t="s">
        <v>2771</v>
      </c>
      <c r="D127" s="3087" t="s">
        <v>2772</v>
      </c>
      <c r="E127" s="3113">
        <v>0.1</v>
      </c>
      <c r="F127" s="3113">
        <v>15</v>
      </c>
    </row>
    <row r="128" spans="1:6" ht="13.5">
      <c r="A128" s="3113">
        <v>56</v>
      </c>
      <c r="B128" s="3798"/>
      <c r="C128" s="3113" t="s">
        <v>2773</v>
      </c>
      <c r="D128" s="3087" t="s">
        <v>2774</v>
      </c>
      <c r="E128" s="3113">
        <v>0.1</v>
      </c>
      <c r="F128" s="3113">
        <v>15</v>
      </c>
    </row>
    <row r="129" spans="1:6" ht="24">
      <c r="A129" s="3113">
        <v>57</v>
      </c>
      <c r="B129" s="3798"/>
      <c r="C129" s="3113" t="s">
        <v>2775</v>
      </c>
      <c r="D129" s="3087" t="s">
        <v>2776</v>
      </c>
      <c r="E129" s="3113">
        <v>0.1</v>
      </c>
      <c r="F129" s="3113">
        <v>15</v>
      </c>
    </row>
    <row r="130" spans="1:6" ht="24">
      <c r="A130" s="3113">
        <v>58</v>
      </c>
      <c r="B130" s="3798" t="s">
        <v>2777</v>
      </c>
      <c r="C130" s="3113" t="s">
        <v>2778</v>
      </c>
      <c r="D130" s="3087" t="s">
        <v>2779</v>
      </c>
      <c r="E130" s="3113">
        <v>0.1</v>
      </c>
      <c r="F130" s="3113">
        <v>15</v>
      </c>
    </row>
    <row r="131" spans="1:6" ht="13.5">
      <c r="A131" s="3113">
        <v>59</v>
      </c>
      <c r="B131" s="3798"/>
      <c r="C131" s="3113" t="s">
        <v>2780</v>
      </c>
      <c r="D131" s="3087" t="s">
        <v>2781</v>
      </c>
      <c r="E131" s="3113">
        <v>0.1</v>
      </c>
      <c r="F131" s="3113">
        <v>15</v>
      </c>
    </row>
    <row r="132" spans="1:6" ht="13.5">
      <c r="A132" s="3113">
        <v>60</v>
      </c>
      <c r="B132" s="3793" t="s">
        <v>2782</v>
      </c>
      <c r="C132" s="3113" t="s">
        <v>2783</v>
      </c>
      <c r="D132" s="3087" t="s">
        <v>2784</v>
      </c>
      <c r="E132" s="3113">
        <v>0.1</v>
      </c>
      <c r="F132" s="3113">
        <v>15</v>
      </c>
    </row>
    <row r="133" spans="1:6" ht="13.5">
      <c r="A133" s="3113">
        <v>61</v>
      </c>
      <c r="B133" s="3797"/>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8" t="s">
        <v>2790</v>
      </c>
      <c r="C135" s="3113" t="s">
        <v>2791</v>
      </c>
      <c r="D135" s="3087" t="s">
        <v>2792</v>
      </c>
      <c r="E135" s="3113">
        <v>0.1</v>
      </c>
      <c r="F135" s="3113">
        <v>15</v>
      </c>
    </row>
    <row r="136" spans="1:6" ht="13.5">
      <c r="A136" s="3113">
        <v>64</v>
      </c>
      <c r="B136" s="3798"/>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79" zoomScale="70" zoomScaleNormal="70" workbookViewId="0">
      <selection activeCell="A186" sqref="A186:M2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1.1748000000000001</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1.1174999999999999</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31615</v>
      </c>
      <c r="C2" s="2" t="s">
        <v>106</v>
      </c>
      <c r="D2" s="199"/>
      <c r="E2" s="199"/>
      <c r="F2" s="199"/>
      <c r="G2" s="199"/>
    </row>
    <row r="3" spans="1:7" s="200" customFormat="1" ht="18" customHeight="1" thickBot="1">
      <c r="A3" s="203" t="s">
        <v>58</v>
      </c>
      <c r="B3" s="204">
        <f ca="1">ROUND(B2*10000/'数据-汇总表'!E3,0)</f>
        <v>1456577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300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160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5308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8</v>
      </c>
      <c r="D37" s="217">
        <f>'数据-汇总表'!E3</f>
        <v>217.05</v>
      </c>
      <c r="E37" s="249">
        <f>'数据-取费表'!B35</f>
        <v>350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1.4E-3</v>
      </c>
      <c r="D44" s="238"/>
      <c r="E44" s="238"/>
      <c r="F44" s="239"/>
      <c r="G44" s="3664"/>
    </row>
    <row r="45" spans="1:7" s="214" customFormat="1" ht="13.5" customHeight="1">
      <c r="A45" s="777" t="s">
        <v>341</v>
      </c>
      <c r="B45" s="244" t="s">
        <v>85</v>
      </c>
      <c r="C45" s="245">
        <f>C46</f>
        <v>34</v>
      </c>
      <c r="D45" s="235">
        <f>C47</f>
        <v>7.4999999999999997E-3</v>
      </c>
      <c r="E45" s="236" t="s">
        <v>102</v>
      </c>
      <c r="F45" s="246"/>
      <c r="G45" s="247" t="s">
        <v>434</v>
      </c>
    </row>
    <row r="46" spans="1:7" s="214" customFormat="1" ht="13.5" customHeight="1">
      <c r="A46" s="780" t="s">
        <v>349</v>
      </c>
      <c r="B46" s="248" t="s">
        <v>427</v>
      </c>
      <c r="C46" s="249">
        <f>ROUND((C33+C39)*F27,0)</f>
        <v>34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195</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140</v>
      </c>
      <c r="D51" s="232"/>
      <c r="E51" s="232"/>
      <c r="F51" s="264"/>
      <c r="G51" s="234" t="s">
        <v>37</v>
      </c>
    </row>
    <row r="52" spans="1:7" s="208" customFormat="1" ht="16.5" thickBot="1">
      <c r="A52" s="265" t="s">
        <v>38</v>
      </c>
      <c r="B52" s="266"/>
      <c r="C52" s="267">
        <f ca="1">C31+C51</f>
        <v>31615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9.5" thickBot="1">
      <c r="A4" s="1492"/>
      <c r="B4" s="3484" t="s">
        <v>917</v>
      </c>
      <c r="C4" s="3484"/>
      <c r="D4" s="3484"/>
      <c r="E4" s="1492"/>
    </row>
    <row r="5" spans="1:5" ht="16.5" thickTop="1">
      <c r="A5" s="1490"/>
      <c r="B5" s="3482" t="s">
        <v>909</v>
      </c>
      <c r="C5" s="1493" t="s">
        <v>910</v>
      </c>
      <c r="D5" s="850" t="e">
        <f ca="1">结果表!H101</f>
        <v>#REF!</v>
      </c>
      <c r="E5" s="1490"/>
    </row>
    <row r="6" spans="1:5" ht="15.75">
      <c r="A6" s="1490"/>
      <c r="B6" s="3482"/>
      <c r="C6" s="1493" t="s">
        <v>911</v>
      </c>
      <c r="D6" s="850" t="e">
        <f ca="1">NUMBERSTRING(INT(D5*10000),2)&amp;"元整"</f>
        <v>#REF!</v>
      </c>
      <c r="E6" s="1490"/>
    </row>
    <row r="7" spans="1:5" ht="15.75">
      <c r="A7" s="1490"/>
      <c r="B7" s="3487"/>
      <c r="C7" s="1494" t="s">
        <v>912</v>
      </c>
      <c r="D7" s="851" t="e">
        <f ca="1">结果表!H102</f>
        <v>#REF!</v>
      </c>
      <c r="E7" s="1490"/>
    </row>
    <row r="8" spans="1:5" ht="15.75">
      <c r="A8" s="1490"/>
      <c r="B8" s="3488" t="str">
        <f>结果表!E103</f>
        <v>2.估价师知悉的法定优先受偿款</v>
      </c>
      <c r="C8" s="1495" t="s">
        <v>913</v>
      </c>
      <c r="D8" s="851">
        <f>结果表!H103</f>
        <v>0</v>
      </c>
      <c r="E8" s="1490"/>
    </row>
    <row r="9" spans="1:5" ht="15.75">
      <c r="A9" s="1490"/>
      <c r="B9" s="349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1" t="str">
        <f>结果表!E107</f>
        <v>3.房地产抵押价值</v>
      </c>
      <c r="C13" s="1498" t="s">
        <v>910</v>
      </c>
      <c r="D13" s="853" t="e">
        <f ca="1">结果表!H107</f>
        <v>#REF!</v>
      </c>
      <c r="E13" s="1490"/>
    </row>
    <row r="14" spans="1:5" ht="15.75">
      <c r="A14" s="1490"/>
      <c r="B14" s="3482"/>
      <c r="C14" s="1493" t="s">
        <v>911</v>
      </c>
      <c r="D14" s="850" t="e">
        <f ca="1">NUMBERSTRING(INT(D13*10000),2)&amp;"元整"</f>
        <v>#REF!</v>
      </c>
      <c r="E14" s="1490"/>
    </row>
    <row r="15" spans="1:5" ht="15">
      <c r="A15" s="1490"/>
      <c r="B15" s="3487"/>
      <c r="C15" s="1494" t="s">
        <v>921</v>
      </c>
      <c r="D15" s="859" t="e">
        <f ca="1">结果表!H108</f>
        <v>#REF!</v>
      </c>
      <c r="E15" s="1490"/>
    </row>
    <row r="16" spans="1:5" ht="15">
      <c r="A16" s="1490"/>
      <c r="B16" s="3488" t="str">
        <f>结果表!E109</f>
        <v>——</v>
      </c>
      <c r="C16" s="1498" t="s">
        <v>922</v>
      </c>
      <c r="D16" s="1499" t="str">
        <f>结果表!H109</f>
        <v>——</v>
      </c>
      <c r="E16" s="1490"/>
    </row>
    <row r="17" spans="1:5" ht="15.75">
      <c r="A17" s="1490"/>
      <c r="B17" s="3489"/>
      <c r="C17" s="1493" t="s">
        <v>923</v>
      </c>
      <c r="D17" s="850" t="e">
        <f>NUMBERSTRING(INT(D16*10000),2)&amp;"元整"</f>
        <v>#VALUE!</v>
      </c>
      <c r="E17" s="1490"/>
    </row>
    <row r="18" spans="1:5" ht="15">
      <c r="A18" s="1490"/>
      <c r="B18" s="3490"/>
      <c r="C18" s="1494" t="s">
        <v>912</v>
      </c>
      <c r="D18" s="859" t="str">
        <f>结果表!H110</f>
        <v>——</v>
      </c>
      <c r="E18" s="1490"/>
    </row>
    <row r="19" spans="1:5" ht="15.75">
      <c r="A19" s="1490"/>
      <c r="B19" s="3481" t="str">
        <f>结果表!E111</f>
        <v>——</v>
      </c>
      <c r="C19" s="1498" t="s">
        <v>910</v>
      </c>
      <c r="D19" s="851" t="str">
        <f>结果表!H111</f>
        <v>——</v>
      </c>
      <c r="E19" s="1490"/>
    </row>
    <row r="20" spans="1:5" ht="15.75">
      <c r="A20" s="1490"/>
      <c r="B20" s="3482"/>
      <c r="C20" s="1493" t="s">
        <v>923</v>
      </c>
      <c r="D20" s="850" t="e">
        <f>NUMBERSTRING(INT(D19*10000),2)&amp;"元整"</f>
        <v>#VALUE!</v>
      </c>
      <c r="E20" s="1490"/>
    </row>
    <row r="21" spans="1:5" ht="15.75" thickBot="1">
      <c r="A21" s="1490"/>
      <c r="B21" s="348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A271" zoomScale="80" zoomScaleNormal="80" workbookViewId="0">
      <selection activeCell="A3" sqref="A3:G4"/>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1" t="s">
        <v>2844</v>
      </c>
      <c r="B1" s="3801"/>
      <c r="C1" s="3801"/>
      <c r="D1" s="3801"/>
      <c r="E1" s="3801"/>
      <c r="F1" s="3801"/>
      <c r="G1" s="3802"/>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99"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800"/>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16" workbookViewId="0">
      <selection activeCell="F175" sqref="F175"/>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3" t="s">
        <v>3186</v>
      </c>
      <c r="B1" s="3803"/>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activeCell="H10" sqref="H10"/>
    </sheetView>
  </sheetViews>
  <sheetFormatPr defaultColWidth="13.25" defaultRowHeight="13.5"/>
  <cols>
    <col min="1" max="16384" width="13.25" style="3285"/>
  </cols>
  <sheetData>
    <row r="1" spans="1:6" ht="15">
      <c r="A1" s="3804" t="s">
        <v>3237</v>
      </c>
      <c r="B1" s="3804"/>
      <c r="C1" s="3804"/>
      <c r="D1" s="3804"/>
      <c r="E1" s="3804"/>
      <c r="F1" s="3805"/>
    </row>
    <row r="2" spans="1:6" ht="15">
      <c r="A2" s="3286" t="s">
        <v>3238</v>
      </c>
      <c r="B2" s="3287"/>
      <c r="C2" s="3287"/>
      <c r="D2" s="3287"/>
      <c r="E2" s="3287"/>
      <c r="F2" s="3287"/>
    </row>
    <row r="3" spans="1:6" ht="15">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9" sqref="G9:G15"/>
    </sheetView>
  </sheetViews>
  <sheetFormatPr defaultRowHeight="13.5"/>
  <cols>
    <col min="1" max="1" width="13.875" customWidth="1"/>
    <col min="11" max="17" width="0" hidden="1" customWidth="1"/>
    <col min="25" max="30" width="0" hidden="1" customWidth="1"/>
  </cols>
  <sheetData>
    <row r="1" spans="1:30">
      <c r="A1" s="3216">
        <f>基准地价修正!G23</f>
        <v>44845</v>
      </c>
      <c r="B1" s="3205" t="s">
        <v>2843</v>
      </c>
      <c r="C1" s="3206"/>
      <c r="D1" s="3206"/>
      <c r="E1" s="3206"/>
      <c r="F1" s="3206"/>
      <c r="G1" s="3206"/>
      <c r="H1" s="3206"/>
      <c r="I1" s="3206"/>
      <c r="J1" s="3160"/>
      <c r="K1" s="3206" t="s">
        <v>454</v>
      </c>
      <c r="L1" s="3206"/>
      <c r="M1" s="3206"/>
      <c r="N1" s="3206"/>
      <c r="O1" s="3206"/>
      <c r="P1" s="3206"/>
      <c r="Q1" s="3160"/>
      <c r="R1" s="3806" t="s">
        <v>456</v>
      </c>
      <c r="S1" s="3807"/>
      <c r="T1" s="3807"/>
      <c r="U1" s="3807"/>
      <c r="V1" s="3807"/>
      <c r="W1" s="3807"/>
      <c r="X1" s="3160"/>
      <c r="Y1" s="3806" t="s">
        <v>457</v>
      </c>
      <c r="Z1" s="3807"/>
      <c r="AA1" s="3807"/>
      <c r="AB1" s="3807"/>
      <c r="AC1" s="3807"/>
      <c r="AD1" s="3807"/>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806" t="s">
        <v>2831</v>
      </c>
      <c r="S21" s="3807"/>
      <c r="T21" s="3807"/>
      <c r="U21" s="3807"/>
      <c r="V21" s="3807"/>
      <c r="W21" s="3807"/>
      <c r="X21" s="3160"/>
      <c r="Y21" s="3806" t="s">
        <v>2832</v>
      </c>
      <c r="Z21" s="3807"/>
      <c r="AA21" s="3807"/>
      <c r="AB21" s="3807"/>
      <c r="AC21" s="3807"/>
      <c r="AD21" s="3807"/>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1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4"/>
  <sheetViews>
    <sheetView workbookViewId="0">
      <selection activeCell="A4" sqref="A4"/>
    </sheetView>
  </sheetViews>
  <sheetFormatPr defaultRowHeight="13.5"/>
  <cols>
    <col min="1" max="1" width="19.375" customWidth="1"/>
    <col min="2" max="2" width="12.25" customWidth="1"/>
    <col min="9" max="9" width="9.5" bestFit="1" customWidth="1"/>
    <col min="10" max="10" width="15.25" customWidth="1"/>
  </cols>
  <sheetData>
    <row r="1" spans="1:12">
      <c r="A1" s="3445" t="s">
        <v>3381</v>
      </c>
      <c r="B1" s="3445" t="s">
        <v>3382</v>
      </c>
      <c r="C1" s="3445" t="s">
        <v>3383</v>
      </c>
      <c r="D1" s="3445" t="s">
        <v>3384</v>
      </c>
      <c r="E1" s="3445" t="s">
        <v>3385</v>
      </c>
      <c r="F1" s="3445" t="s">
        <v>3386</v>
      </c>
      <c r="G1" s="3445" t="s">
        <v>3387</v>
      </c>
      <c r="H1" s="3445" t="s">
        <v>3388</v>
      </c>
      <c r="I1" s="3445" t="s">
        <v>3389</v>
      </c>
      <c r="J1" s="3445" t="s">
        <v>3390</v>
      </c>
      <c r="K1" s="3445"/>
    </row>
    <row r="2" spans="1:12" ht="27">
      <c r="A2" s="3446" t="s">
        <v>3391</v>
      </c>
      <c r="B2" s="3446" t="s">
        <v>3392</v>
      </c>
      <c r="C2" s="3446" t="s">
        <v>3393</v>
      </c>
      <c r="D2" s="3446">
        <v>217.05</v>
      </c>
      <c r="E2" s="3446" t="s">
        <v>3394</v>
      </c>
      <c r="F2" s="3446" t="s">
        <v>3475</v>
      </c>
      <c r="G2" s="3446" t="s">
        <v>3395</v>
      </c>
      <c r="H2" s="3446">
        <v>2003</v>
      </c>
      <c r="I2" s="3446">
        <v>93527</v>
      </c>
      <c r="J2" s="3459">
        <v>44197</v>
      </c>
      <c r="K2" s="3447" t="s">
        <v>3396</v>
      </c>
      <c r="L2" s="3457" t="s">
        <v>3471</v>
      </c>
    </row>
    <row r="3" spans="1:12" ht="29.25" thickBot="1">
      <c r="A3" s="3458" t="s">
        <v>3426</v>
      </c>
      <c r="B3" s="3446" t="s">
        <v>3397</v>
      </c>
      <c r="C3" s="3446" t="s">
        <v>3393</v>
      </c>
      <c r="D3" s="3446">
        <v>211.84</v>
      </c>
      <c r="E3" s="3446" t="s">
        <v>3394</v>
      </c>
      <c r="F3" s="3446" t="s">
        <v>3398</v>
      </c>
      <c r="G3" s="3446" t="s">
        <v>3395</v>
      </c>
      <c r="H3" s="3446">
        <v>2003</v>
      </c>
      <c r="I3" s="3446">
        <f>ROUND(84969.79,0)</f>
        <v>84970</v>
      </c>
      <c r="J3" s="3459">
        <v>44652</v>
      </c>
      <c r="K3" s="3447" t="s">
        <v>3399</v>
      </c>
      <c r="L3" s="3457" t="s">
        <v>3469</v>
      </c>
    </row>
    <row r="4" spans="1:12" ht="29.25" thickBot="1">
      <c r="A4" s="3458" t="s">
        <v>3427</v>
      </c>
      <c r="B4" s="3446" t="s">
        <v>3400</v>
      </c>
      <c r="C4" s="3446" t="s">
        <v>3393</v>
      </c>
      <c r="D4" s="3446">
        <v>217.05</v>
      </c>
      <c r="E4" s="3446" t="s">
        <v>3394</v>
      </c>
      <c r="F4" s="3446" t="s">
        <v>3398</v>
      </c>
      <c r="G4" s="3446" t="s">
        <v>3395</v>
      </c>
      <c r="H4" s="3446">
        <v>2003</v>
      </c>
      <c r="I4" s="3446">
        <f>ROUND(93987.56,0)</f>
        <v>93988</v>
      </c>
      <c r="J4" s="3459">
        <v>44268</v>
      </c>
      <c r="K4" s="3447" t="s">
        <v>3399</v>
      </c>
      <c r="L4" s="3457" t="s">
        <v>3470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82"/>
  <sheetViews>
    <sheetView topLeftCell="B1" workbookViewId="0">
      <selection activeCell="G2" sqref="G2"/>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8" t="s">
        <v>3401</v>
      </c>
      <c r="B1" s="3448" t="s">
        <v>3402</v>
      </c>
      <c r="C1" s="3448" t="s">
        <v>3381</v>
      </c>
      <c r="D1" s="3448" t="s">
        <v>3382</v>
      </c>
      <c r="E1" s="3448" t="s">
        <v>3384</v>
      </c>
      <c r="F1" s="3448" t="s">
        <v>3385</v>
      </c>
      <c r="G1" s="3448" t="s">
        <v>3386</v>
      </c>
      <c r="H1" s="3448" t="s">
        <v>3387</v>
      </c>
      <c r="I1" s="3448" t="s">
        <v>3389</v>
      </c>
      <c r="J1" s="3448" t="s">
        <v>3403</v>
      </c>
      <c r="K1" s="3448" t="s">
        <v>3404</v>
      </c>
      <c r="L1" s="3449" t="s">
        <v>3405</v>
      </c>
    </row>
    <row r="2" spans="1:14" ht="54.75" thickBot="1">
      <c r="A2" s="3450" t="s">
        <v>3406</v>
      </c>
      <c r="B2" s="3450" t="s">
        <v>3407</v>
      </c>
      <c r="C2" s="3450" t="s">
        <v>3408</v>
      </c>
      <c r="D2" s="3450" t="s">
        <v>3409</v>
      </c>
      <c r="E2" s="3450">
        <v>158.22999999999999</v>
      </c>
      <c r="F2" s="3450" t="s">
        <v>3394</v>
      </c>
      <c r="G2" s="3450">
        <v>4</v>
      </c>
      <c r="H2" s="3450">
        <v>3</v>
      </c>
      <c r="I2" s="3450">
        <v>78241</v>
      </c>
      <c r="J2" s="3450">
        <v>74639</v>
      </c>
      <c r="K2" s="3450">
        <v>11810129</v>
      </c>
      <c r="L2" s="3451">
        <v>44931</v>
      </c>
    </row>
    <row r="3" spans="1:14" ht="41.25" thickBot="1">
      <c r="A3" s="3450" t="s">
        <v>3410</v>
      </c>
      <c r="B3" s="3450" t="s">
        <v>3407</v>
      </c>
      <c r="C3" s="3450" t="s">
        <v>3411</v>
      </c>
      <c r="D3" s="3450" t="s">
        <v>3409</v>
      </c>
      <c r="E3" s="3450">
        <v>262.68</v>
      </c>
      <c r="F3" s="3450" t="s">
        <v>3394</v>
      </c>
      <c r="G3" s="3450" t="s">
        <v>3412</v>
      </c>
      <c r="H3" s="3450" t="s">
        <v>3413</v>
      </c>
      <c r="I3" s="3450">
        <v>0</v>
      </c>
      <c r="J3" s="3450">
        <v>58050</v>
      </c>
      <c r="K3" s="3450">
        <v>15248574</v>
      </c>
      <c r="L3" s="3451">
        <v>44897</v>
      </c>
    </row>
    <row r="4" spans="1:14" ht="41.25" thickBot="1">
      <c r="A4" s="3450" t="s">
        <v>3414</v>
      </c>
      <c r="B4" s="3450" t="s">
        <v>3407</v>
      </c>
      <c r="C4" s="3450" t="s">
        <v>3415</v>
      </c>
      <c r="D4" s="3450" t="s">
        <v>3409</v>
      </c>
      <c r="E4" s="3450">
        <v>262.68</v>
      </c>
      <c r="F4" s="3450" t="s">
        <v>3394</v>
      </c>
      <c r="G4" s="3450">
        <v>2</v>
      </c>
      <c r="H4" s="3450">
        <v>1</v>
      </c>
      <c r="I4" s="3450">
        <v>0</v>
      </c>
      <c r="J4" s="3450">
        <v>78093</v>
      </c>
      <c r="K4" s="3450">
        <v>20513469</v>
      </c>
      <c r="L4" s="3451">
        <v>44775</v>
      </c>
    </row>
    <row r="5" spans="1:14" ht="54.75" thickBot="1">
      <c r="A5" s="3452" t="s">
        <v>3416</v>
      </c>
      <c r="B5" s="3452" t="s">
        <v>3407</v>
      </c>
      <c r="C5" s="3452" t="s">
        <v>3417</v>
      </c>
      <c r="D5" s="3452" t="s">
        <v>3409</v>
      </c>
      <c r="E5" s="3452">
        <v>325.94</v>
      </c>
      <c r="F5" s="3452" t="s">
        <v>3394</v>
      </c>
      <c r="G5" s="3452" t="s">
        <v>3398</v>
      </c>
      <c r="H5" s="3453">
        <f>-1-3</f>
        <v>-4</v>
      </c>
      <c r="I5" s="3452">
        <v>66577</v>
      </c>
      <c r="J5" s="3452">
        <v>65747</v>
      </c>
      <c r="K5" s="3452">
        <v>21429577</v>
      </c>
      <c r="L5" s="3451">
        <v>44700</v>
      </c>
    </row>
    <row r="6" spans="1:14" ht="41.25" thickBot="1">
      <c r="A6" s="3452" t="s">
        <v>3410</v>
      </c>
      <c r="B6" s="3452" t="s">
        <v>3407</v>
      </c>
      <c r="C6" s="3452" t="s">
        <v>3411</v>
      </c>
      <c r="D6" s="3452" t="s">
        <v>3409</v>
      </c>
      <c r="E6" s="3452">
        <v>262.68</v>
      </c>
      <c r="F6" s="3452" t="s">
        <v>3394</v>
      </c>
      <c r="G6" s="3452" t="s">
        <v>3418</v>
      </c>
      <c r="H6" s="3453" t="s">
        <v>3413</v>
      </c>
      <c r="I6" s="3452">
        <v>0</v>
      </c>
      <c r="J6" s="3452">
        <v>78550</v>
      </c>
      <c r="K6" s="3452">
        <v>20633514</v>
      </c>
      <c r="L6" s="3451">
        <v>44550</v>
      </c>
    </row>
    <row r="7" spans="1:14" ht="54.75" thickBot="1">
      <c r="A7" s="3452" t="s">
        <v>3419</v>
      </c>
      <c r="B7" s="3452" t="s">
        <v>3407</v>
      </c>
      <c r="C7" s="3452" t="s">
        <v>3420</v>
      </c>
      <c r="D7" s="3452" t="s">
        <v>3409</v>
      </c>
      <c r="E7" s="3452">
        <v>158.22999999999999</v>
      </c>
      <c r="F7" s="3452" t="s">
        <v>3394</v>
      </c>
      <c r="G7" s="3452">
        <v>4</v>
      </c>
      <c r="H7" s="3453">
        <v>1</v>
      </c>
      <c r="I7" s="3452">
        <v>0</v>
      </c>
      <c r="J7" s="3452">
        <v>72191</v>
      </c>
      <c r="K7" s="3452">
        <v>11422782</v>
      </c>
      <c r="L7" s="3451">
        <v>44556</v>
      </c>
    </row>
    <row r="8" spans="1:14" ht="41.25" thickBot="1">
      <c r="A8" s="3452" t="s">
        <v>3421</v>
      </c>
      <c r="B8" s="3454" t="s">
        <v>3407</v>
      </c>
      <c r="C8" s="3454" t="s">
        <v>3422</v>
      </c>
      <c r="D8" s="3454" t="s">
        <v>3409</v>
      </c>
      <c r="E8" s="3454">
        <v>260.51</v>
      </c>
      <c r="F8" s="3454" t="s">
        <v>3394</v>
      </c>
      <c r="G8" s="3454">
        <v>2</v>
      </c>
      <c r="H8" s="3455" t="s">
        <v>3413</v>
      </c>
      <c r="I8" s="3454">
        <v>0</v>
      </c>
      <c r="J8" s="3454">
        <v>78220</v>
      </c>
      <c r="K8" s="3454">
        <v>20377092</v>
      </c>
      <c r="L8" s="3456">
        <v>44533</v>
      </c>
    </row>
    <row r="11" spans="1:14">
      <c r="J11" s="3457" t="s">
        <v>3423</v>
      </c>
      <c r="K11">
        <v>211.84</v>
      </c>
      <c r="L11">
        <v>84969.79</v>
      </c>
      <c r="M11" s="3457" t="s">
        <v>3424</v>
      </c>
      <c r="N11" s="3457" t="s">
        <v>3425</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93"/>
      <c r="B3" s="3493"/>
      <c r="C3" s="3493"/>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0" t="s">
        <v>949</v>
      </c>
      <c r="B1" s="3500"/>
      <c r="C1" s="3500"/>
      <c r="D1" s="3500"/>
    </row>
    <row r="2" spans="1:4" ht="18">
      <c r="A2" s="3501" t="s">
        <v>933</v>
      </c>
      <c r="B2" s="3501"/>
      <c r="C2" s="3501"/>
      <c r="D2" s="350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1" t="s">
        <v>939</v>
      </c>
      <c r="B6" s="3501"/>
      <c r="C6" s="3501"/>
      <c r="D6" s="350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4" t="s">
        <v>956</v>
      </c>
      <c r="B15" s="3509" t="s">
        <v>109</v>
      </c>
      <c r="C15" s="3510"/>
    </row>
    <row r="16" spans="1:7" ht="13.5">
      <c r="A16" s="3515"/>
      <c r="B16" s="3509" t="s">
        <v>42</v>
      </c>
      <c r="C16" s="3510"/>
    </row>
    <row r="17" spans="1:3" ht="13.5">
      <c r="A17" s="3515"/>
      <c r="B17" s="3512" t="s">
        <v>957</v>
      </c>
      <c r="C17" s="1531" t="s">
        <v>956</v>
      </c>
    </row>
    <row r="18" spans="1:3" ht="13.5">
      <c r="A18" s="3515"/>
      <c r="B18" s="3512"/>
      <c r="C18" s="1531" t="s">
        <v>958</v>
      </c>
    </row>
    <row r="19" spans="1:3" ht="13.5">
      <c r="A19" s="3515"/>
      <c r="B19" s="3512"/>
      <c r="C19" s="1531" t="s">
        <v>959</v>
      </c>
    </row>
    <row r="20" spans="1:3" ht="13.5">
      <c r="A20" s="3516"/>
      <c r="B20" s="3511" t="s">
        <v>960</v>
      </c>
      <c r="C20" s="3510"/>
    </row>
    <row r="21" spans="1:3" ht="13.5">
      <c r="A21" s="1532" t="s">
        <v>961</v>
      </c>
      <c r="B21" s="1533"/>
      <c r="C21" s="1534"/>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1" t="s">
        <v>967</v>
      </c>
    </row>
    <row r="26" spans="1:3" ht="13.5">
      <c r="A26" s="3513"/>
      <c r="B26" s="3512"/>
      <c r="C26" s="1531" t="s">
        <v>968</v>
      </c>
    </row>
    <row r="27" spans="1:3" ht="13.5">
      <c r="A27" s="3513"/>
      <c r="B27" s="3512"/>
      <c r="C27" s="1531" t="s">
        <v>969</v>
      </c>
    </row>
    <row r="28" spans="1:3" ht="13.5">
      <c r="A28" s="3513"/>
      <c r="B28" s="3512"/>
      <c r="C28" s="1531" t="s">
        <v>970</v>
      </c>
    </row>
    <row r="29" spans="1:3" ht="13.5">
      <c r="A29" s="3513"/>
      <c r="B29" s="3512"/>
      <c r="C29" s="1531" t="s">
        <v>971</v>
      </c>
    </row>
    <row r="30" spans="1:3" ht="13.5">
      <c r="A30" s="3513"/>
      <c r="B30" s="3512"/>
      <c r="C30" s="1531" t="s">
        <v>972</v>
      </c>
    </row>
    <row r="31" spans="1:3" ht="13.5">
      <c r="A31" s="3513"/>
      <c r="B31" s="3512"/>
      <c r="C31" s="1531" t="s">
        <v>973</v>
      </c>
    </row>
    <row r="32" spans="1:3" ht="13.5">
      <c r="A32" s="3513"/>
      <c r="B32" s="3512"/>
      <c r="C32" s="1531" t="s">
        <v>974</v>
      </c>
    </row>
    <row r="33" spans="1:3" ht="13.5">
      <c r="A33" s="3513"/>
      <c r="B33" s="351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44993</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39"/>
      <c r="E18" s="3519" t="s">
        <v>2162</v>
      </c>
      <c r="F18" s="3518"/>
      <c r="G18" s="3518"/>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2023-03-08T08:11:11Z</dcterms:modified>
</cp:coreProperties>
</file>