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品牌清单" sheetId="84" r:id="rId12"/>
    <sheet name="2023年出租率+营业额" sheetId="83" r:id="rId13"/>
    <sheet name="收入台账" sheetId="82" r:id="rId14"/>
    <sheet name="面积指标" sheetId="81" r:id="rId15"/>
    <sheet name="Sheet0" sheetId="80"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典型户型修正" sheetId="31" state="hidden" r:id="rId39"/>
    <sheet name="基准地价（汇总）" sheetId="76" state="hidden"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品牌清单!$A$2:$D$2</definedName>
    <definedName name="_xlnm._FilterDatabase" localSheetId="13" hidden="1">收入台账!$B$3:$C$488</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5">'[1]比较法-办公'!$B$119:$M$119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4">[1]定义!$V$1:$V$3</definedName>
    <definedName name="单价内涵">定义!$V$1:$V$3</definedName>
    <definedName name="地类判定" localSheetId="15">[1]定义!$H$1:$H$9</definedName>
    <definedName name="地类判定" localSheetId="14">[1]定义!$H$1:$H$9</definedName>
    <definedName name="地类判定">定义!$H$1:$H$9</definedName>
    <definedName name="二级">区片价!$J$1:$J$21</definedName>
    <definedName name="二级分类" localSheetId="15">[1]修正!$C$19:$C$51</definedName>
    <definedName name="二级分类" localSheetId="14">[1]修正!$C$19:$C$51</definedName>
    <definedName name="二级分类">修正!$C$19:$C$51</definedName>
    <definedName name="法定最高年限" localSheetId="15">[1]定义!$G$1:$G$6</definedName>
    <definedName name="法定最高年限" localSheetId="14">[1]定义!$G$1:$G$6</definedName>
    <definedName name="法定最高年限">定义!$G$1:$G$6</definedName>
    <definedName name="工业公共部分装修" localSheetId="15">'[1]比较法-工业'!$B$95:$M$95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4">[1]定义!$Q$1:$Q$6</definedName>
    <definedName name="公共配套设施">定义!$Q$1:$Q$6</definedName>
    <definedName name="估价范围判定" localSheetId="15">[1]定义!$D$1:$D$4</definedName>
    <definedName name="估价范围判定" localSheetId="14">[1]定义!$D$1:$D$4</definedName>
    <definedName name="估价范围判定">定义!$D$1:$D$4</definedName>
    <definedName name="估价方法" localSheetId="15">[1]定义!$B$1:$B$50</definedName>
    <definedName name="估价方法" localSheetId="14">[1]定义!$B$1:$B$50</definedName>
    <definedName name="估价方法">定义!$B$1:$B$50</definedName>
    <definedName name="环境" localSheetId="15">[1]定义!$S$1:$S$6</definedName>
    <definedName name="环境" localSheetId="14">[1]定义!$S$1:$S$6</definedName>
    <definedName name="环境">定义!$S$1:$S$6</definedName>
    <definedName name="基础设施水平" localSheetId="15">[1]定义!$R$1:$R$6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4">[1]定义!$B$54:$B$56</definedName>
    <definedName name="价值类型2">定义!$B$54:$B$56</definedName>
    <definedName name="交通便捷度" localSheetId="15">[1]定义!$O$1:$O$6</definedName>
    <definedName name="交通便捷度" localSheetId="14">[1]定义!$O$1:$O$6</definedName>
    <definedName name="交通便捷度">定义!$O$1:$O$6</definedName>
    <definedName name="九级">区片价!$Q$1:$Q$51</definedName>
    <definedName name="居住社区成熟度" localSheetId="15">[1]定义!$K$1:$K$6</definedName>
    <definedName name="居住社区成熟度" localSheetId="14">[1]定义!$K$1:$K$6</definedName>
    <definedName name="居住社区成熟度">定义!$K$1:$K$6</definedName>
    <definedName name="类别" localSheetId="15">[1]定义!$J$1:$J$3</definedName>
    <definedName name="类别" localSheetId="14">[1]定义!$J$1:$J$3</definedName>
    <definedName name="类别">定义!$J$1:$J$3</definedName>
    <definedName name="临街状况" localSheetId="15">[1]定义!$T$1:$T$5</definedName>
    <definedName name="临街状况" localSheetId="14">[1]定义!$T$1:$T$5</definedName>
    <definedName name="临街状况">定义!$T$1:$T$5</definedName>
    <definedName name="六级">区片价!$N$1:$N$64</definedName>
    <definedName name="内部装修维护情况" localSheetId="15">[1]定义!$U$1:$U$6</definedName>
    <definedName name="内部装修维护情况" localSheetId="14">[1]定义!$U$1:$U$6</definedName>
    <definedName name="内部装修维护情况">定义!$U$1:$U$6</definedName>
    <definedName name="七级">区片价!$O$1:$O$45</definedName>
    <definedName name="七通一平" localSheetId="15">[1]修正!$A$8:$A$16</definedName>
    <definedName name="七通一平" localSheetId="14">[1]修正!$A$8:$A$16</definedName>
    <definedName name="七通一平">修正!$A$8:$A$16</definedName>
    <definedName name="区域土地利用方向" localSheetId="15">[1]定义!$P$1:$P$6</definedName>
    <definedName name="区域土地利用方向" localSheetId="14">[1]定义!$P$1:$P$6</definedName>
    <definedName name="区域土地利用方向">定义!$P$1:$P$6</definedName>
    <definedName name="三级">区片价!$K$1:$K$26</definedName>
    <definedName name="商业层高" localSheetId="15">'[1]比较法-商业'!$B$116:$M$116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4">'[1]比较法-商业'!$A$61:$M$61</definedName>
    <definedName name="商业交易情况">'比较法-商业'!$A$61:$M$61</definedName>
    <definedName name="商业街名称" localSheetId="15">[1]修正!$C$71:$C$138</definedName>
    <definedName name="商业街名称" localSheetId="14">[1]修正!$C$71:$C$138</definedName>
    <definedName name="商业街名称">修正!$C$71:$C$138</definedName>
    <definedName name="商业进深比" localSheetId="15">'[1]比较法-商业'!$B$120:$M$120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5">'[1]土地比较法-工业'!$B$97:$M$97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'[1]土地比较法-住宅、综合'!$A$72:$M$72</definedName>
    <definedName name="套工交易情况" localSheetId="14">'[1]土地比较法-住宅、综合'!$A$72:$M$72</definedName>
    <definedName name="套工交易情况">'土地比较法-住宅、综合'!$A$72:$M$72</definedName>
    <definedName name="套工土地级别" localSheetId="15">'[1]土地比较法-工业'!$B$99:$M$99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5">'[1]土地比较法-住宅、综合'!$B$124:$M$124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5">'[1]土地比较法-住宅、综合'!$A$72:$M$72</definedName>
    <definedName name="套综交易情况" localSheetId="14">'[1]土地比较法-住宅、综合'!$A$72:$M$72</definedName>
    <definedName name="套综交易情况">'土地比较法-住宅、综合'!$A$72:$M$72</definedName>
    <definedName name="套综临街宽度及深度" localSheetId="15">'[1]土地比较法-住宅、综合'!$B$120:$M$120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5">'[1]土地比较法-住宅、综合'!$B$107:$M$107</definedName>
    <definedName name="套综土地级别" localSheetId="14">'[1]土地比较法-住宅、综合'!$B$107:$M$107</definedName>
    <definedName name="套综土地级别">'土地比较法-住宅、综合'!$B$107:$M$107</definedName>
    <definedName name="套综用途" localSheetId="15">'[1]土地比较法-住宅、综合'!$B$74:$M$74</definedName>
    <definedName name="套综用途" localSheetId="14">'[1]土地比较法-住宅、综合'!$B$74:$M$74</definedName>
    <definedName name="套综用途">'土地比较法-住宅、综合'!$B$74:$M$74</definedName>
    <definedName name="套综宗地内开发程度" localSheetId="15">'[1]土地比较法-住宅、综合'!$B$122:$M$122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5">'[1]土地比较法-住宅、综合'!$B$118:$M$118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5">[1]定义!$E$2:$E$4</definedName>
    <definedName name="位置" localSheetId="14">[1]定义!$E$2:$E$4</definedName>
    <definedName name="位置">定义!$E$2:$E$4</definedName>
    <definedName name="五等判定" localSheetId="15">[1]定义!$W$1:$W$6</definedName>
    <definedName name="五等判定" localSheetId="14">[1]定义!$W$1:$W$6</definedName>
    <definedName name="五等判定">定义!$W$1:$W$6</definedName>
    <definedName name="五级">区片价!$M$1:$M$41</definedName>
    <definedName name="项目类型" localSheetId="15">'[1]数据-汇总表'!$C$17:$C$26</definedName>
    <definedName name="项目类型" localSheetId="14">'[1]数据-汇总表'!$C$17:$C$26</definedName>
    <definedName name="项目类型" localSheetId="28">'[2]数据-汇总表'!$C$17:$C$26</definedName>
    <definedName name="项目类型">'数据-汇总表'!$C$17:$C$26</definedName>
    <definedName name="写字楼等级" localSheetId="15">'[1]比较法-办公'!$B$113:$M$113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5">[1]典型户型修正!$5:$5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4">[1]定义!$A$1:$A$50</definedName>
    <definedName name="用途明细">定义!$A$1:$A$50</definedName>
    <definedName name="有无电梯" localSheetId="15">'[1]比较法-仓储'!$B$84:$M$84</definedName>
    <definedName name="有无电梯" localSheetId="14">'[1]比较法-仓储'!$B$84:$M$84</definedName>
    <definedName name="有无电梯">'比较法-仓储'!$B$84:$M$84</definedName>
    <definedName name="主用途" localSheetId="15">[1]定义!$F$1:$F$12</definedName>
    <definedName name="主用途" localSheetId="14">[1]定义!$F$1:$F$12</definedName>
    <definedName name="主用途">定义!$F$1:$F$12</definedName>
    <definedName name="住宅朝向" localSheetId="15">'[1]比较法-住宅'!$B$88:$M$88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8" i="43" l="1"/>
  <c r="D37" i="43"/>
  <c r="G44" i="43"/>
  <c r="U3" i="43"/>
  <c r="U4" i="43"/>
  <c r="U5" i="43"/>
  <c r="U6" i="43"/>
  <c r="U7" i="43"/>
  <c r="S7" i="43"/>
  <c r="U2" i="43"/>
  <c r="B21" i="1"/>
  <c r="H14" i="81"/>
  <c r="G14" i="81"/>
  <c r="F14" i="81"/>
  <c r="F28" i="81"/>
  <c r="C489" i="82" l="1"/>
  <c r="C14" i="74" l="1"/>
  <c r="B14" i="74"/>
  <c r="N33" i="81" l="1"/>
  <c r="K6" i="81"/>
  <c r="K3" i="81"/>
  <c r="G51" i="43" l="1"/>
  <c r="G52" i="43"/>
  <c r="G53" i="43"/>
  <c r="G54" i="43"/>
  <c r="G55" i="43"/>
  <c r="G56" i="43"/>
  <c r="G57" i="43"/>
  <c r="G58" i="43"/>
  <c r="G50" i="43"/>
  <c r="D42" i="43"/>
  <c r="D33" i="43"/>
  <c r="I46" i="39"/>
  <c r="G46" i="39"/>
  <c r="E46" i="39"/>
  <c r="I38" i="39"/>
  <c r="G38" i="39"/>
  <c r="E38" i="39"/>
  <c r="C38" i="39"/>
  <c r="C11" i="39"/>
  <c r="I7" i="39"/>
  <c r="G7" i="39"/>
  <c r="E7" i="39"/>
  <c r="I5" i="39"/>
  <c r="G5" i="39"/>
  <c r="E5" i="39"/>
  <c r="E70" i="39"/>
  <c r="F70" i="39" s="1"/>
  <c r="G70" i="39" s="1"/>
  <c r="H70" i="39" s="1"/>
  <c r="I70" i="39" s="1"/>
  <c r="J70" i="39" s="1"/>
  <c r="K70" i="39" s="1"/>
  <c r="L70" i="39" s="1"/>
  <c r="M70" i="39" s="1"/>
  <c r="D70" i="39"/>
  <c r="E58" i="39"/>
  <c r="E57" i="39"/>
  <c r="Y6" i="1"/>
  <c r="N6" i="1"/>
  <c r="L26" i="1"/>
  <c r="L37" i="1" s="1"/>
  <c r="L25" i="1"/>
  <c r="M29" i="1" s="1"/>
  <c r="L24" i="1"/>
  <c r="M28" i="1" s="1"/>
  <c r="L23" i="1"/>
  <c r="G19" i="6"/>
  <c r="F19" i="6"/>
  <c r="M13" i="3"/>
  <c r="K13" i="3"/>
  <c r="I13" i="3"/>
  <c r="C338" i="81"/>
  <c r="C37" i="81"/>
  <c r="M33" i="81"/>
  <c r="M32" i="81"/>
  <c r="L32" i="81"/>
  <c r="M31" i="81"/>
  <c r="L31" i="81"/>
  <c r="M30" i="81"/>
  <c r="L30" i="81"/>
  <c r="M29" i="81"/>
  <c r="L29" i="81"/>
  <c r="M28" i="81"/>
  <c r="L28" i="81"/>
  <c r="M27" i="81"/>
  <c r="L27" i="81"/>
  <c r="M26" i="81"/>
  <c r="L26" i="81"/>
  <c r="H20" i="81"/>
  <c r="F19" i="81"/>
  <c r="F21" i="81" s="1"/>
  <c r="F18" i="81"/>
  <c r="F17" i="81"/>
  <c r="H13" i="81"/>
  <c r="H12" i="81"/>
  <c r="F36" i="81" s="1"/>
  <c r="H11" i="81"/>
  <c r="N29" i="81" s="1"/>
  <c r="O29" i="81" s="1"/>
  <c r="H10" i="81"/>
  <c r="F34" i="81" s="1"/>
  <c r="H9" i="81"/>
  <c r="F33" i="81" s="1"/>
  <c r="H8" i="81"/>
  <c r="N26" i="81" s="1"/>
  <c r="O26" i="81" s="1"/>
  <c r="H7" i="81"/>
  <c r="F31" i="81" s="1"/>
  <c r="H6" i="81"/>
  <c r="G37" i="81" s="1"/>
  <c r="H5" i="81"/>
  <c r="G18" i="81" s="1"/>
  <c r="H4" i="81"/>
  <c r="G17" i="81" s="1"/>
  <c r="D3" i="4"/>
  <c r="N29" i="1" l="1"/>
  <c r="N27" i="1" s="1"/>
  <c r="O33" i="81"/>
  <c r="L35" i="1"/>
  <c r="L36" i="1"/>
  <c r="H17" i="81"/>
  <c r="O27" i="81"/>
  <c r="P31" i="81"/>
  <c r="N31" i="81"/>
  <c r="O31" i="81" s="1"/>
  <c r="K4" i="81"/>
  <c r="P29" i="81"/>
  <c r="P26" i="81"/>
  <c r="H18" i="81"/>
  <c r="P27" i="81"/>
  <c r="G19" i="81"/>
  <c r="G21" i="81" s="1"/>
  <c r="H21" i="81" s="1"/>
  <c r="N27" i="81"/>
  <c r="N30" i="81"/>
  <c r="P30" i="81" s="1"/>
  <c r="F32" i="81"/>
  <c r="F37" i="81" s="1"/>
  <c r="H37" i="81" s="1"/>
  <c r="F35" i="81"/>
  <c r="N25" i="81"/>
  <c r="N28" i="81"/>
  <c r="O28" i="81" s="1"/>
  <c r="I7" i="79"/>
  <c r="K5" i="81" l="1"/>
  <c r="K7" i="81" s="1"/>
  <c r="N32" i="81"/>
  <c r="H19" i="81"/>
  <c r="P28" i="81"/>
  <c r="O25" i="81"/>
  <c r="N34" i="81"/>
  <c r="P25" i="81"/>
  <c r="O30" i="81"/>
  <c r="I29" i="79"/>
  <c r="I28" i="79"/>
  <c r="N28" i="79"/>
  <c r="M28" i="79"/>
  <c r="P28" i="79" s="1"/>
  <c r="L28" i="79"/>
  <c r="N29" i="79"/>
  <c r="M29" i="79"/>
  <c r="L29" i="79"/>
  <c r="P6" i="79"/>
  <c r="O6" i="79"/>
  <c r="N6" i="79"/>
  <c r="M6" i="79"/>
  <c r="L6" i="79"/>
  <c r="K6" i="79"/>
  <c r="O7" i="79"/>
  <c r="N7" i="79"/>
  <c r="M7" i="79"/>
  <c r="P7" i="79" s="1"/>
  <c r="L7" i="79"/>
  <c r="K7" i="79"/>
  <c r="O32" i="81" l="1"/>
  <c r="P32" i="81"/>
  <c r="P34" i="81" s="1"/>
  <c r="L34" i="81" s="1"/>
  <c r="O34" i="81"/>
  <c r="M34" i="81"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C24" i="12"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F34" i="39" s="1"/>
  <c r="AA34" i="39" s="1"/>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s="1"/>
  <c r="F27" i="39"/>
  <c r="S27" i="39" s="1"/>
  <c r="F11" i="21"/>
  <c r="S11" i="21" s="1"/>
  <c r="S40" i="21"/>
  <c r="U34"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9" i="39"/>
  <c r="W8" i="39"/>
  <c r="J19" i="40"/>
  <c r="AC19" i="40"/>
  <c r="J50" i="40"/>
  <c r="H103" i="9"/>
  <c r="D8" i="53" s="1"/>
  <c r="B16" i="53"/>
  <c r="B33" i="72" s="1"/>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31" i="39"/>
  <c r="J21" i="39"/>
  <c r="W21" i="39" s="1"/>
  <c r="F21" i="39"/>
  <c r="S21" i="39" s="1"/>
  <c r="H21"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U11" i="39"/>
  <c r="AA27" i="39"/>
  <c r="W17" i="39"/>
  <c r="W31" i="39"/>
  <c r="AC31" i="39"/>
  <c r="S23" i="39"/>
  <c r="AA45"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244" i="3"/>
  <c r="E148" i="3"/>
  <c r="E212" i="3"/>
  <c r="E197" i="3"/>
  <c r="E173" i="3"/>
  <c r="E141" i="3"/>
  <c r="E312" i="3"/>
  <c r="E575" i="3"/>
  <c r="E499" i="3"/>
  <c r="E534" i="3"/>
  <c r="T6" i="3"/>
  <c r="E552" i="3"/>
  <c r="E421" i="3"/>
  <c r="E442" i="3"/>
  <c r="E466" i="3"/>
  <c r="E469" i="3"/>
  <c r="E512" i="3"/>
  <c r="E398" i="3"/>
  <c r="E416" i="3"/>
  <c r="E449" i="3"/>
  <c r="E255" i="3"/>
  <c r="E360" i="3"/>
  <c r="I3" i="6"/>
  <c r="E556" i="3"/>
  <c r="AP6" i="3"/>
  <c r="E497" i="3"/>
  <c r="E554" i="3"/>
  <c r="E13" i="3"/>
  <c r="E517" i="3"/>
  <c r="E494" i="3"/>
  <c r="E435" i="3"/>
  <c r="E452" i="3"/>
  <c r="E491" i="3"/>
  <c r="E470" i="3"/>
  <c r="E417" i="3"/>
  <c r="E420" i="3"/>
  <c r="E479" i="3"/>
  <c r="E26" i="3"/>
  <c r="E56" i="3"/>
  <c r="E104" i="3"/>
  <c r="E37" i="3"/>
  <c r="E41" i="3"/>
  <c r="E95" i="3"/>
  <c r="E115" i="3"/>
  <c r="E152" i="3"/>
  <c r="E198" i="3"/>
  <c r="E132" i="3"/>
  <c r="E139" i="3"/>
  <c r="E192" i="3"/>
  <c r="E225" i="3"/>
  <c r="E258" i="3"/>
  <c r="E281" i="3"/>
  <c r="E241" i="3"/>
  <c r="E243"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E13" i="76"/>
  <c r="J15" i="15"/>
  <c r="F38" i="67"/>
  <c r="F20" i="31"/>
  <c r="F7" i="73"/>
  <c r="D6" i="73"/>
  <c r="F43" i="67"/>
  <c r="F9" i="67"/>
  <c r="M8" i="15"/>
  <c r="D3" i="73"/>
  <c r="F42" i="15"/>
  <c r="F36" i="67"/>
  <c r="F6" i="67"/>
  <c r="F3" i="73"/>
  <c r="F9" i="15"/>
  <c r="F5" i="73"/>
  <c r="L48" i="15"/>
  <c r="E12" i="76"/>
  <c r="M8" i="67"/>
  <c r="F13" i="67"/>
  <c r="L47" i="67"/>
  <c r="M6" i="15"/>
  <c r="C76" i="15"/>
  <c r="B11" i="76"/>
  <c r="D5" i="73"/>
  <c r="B13" i="76"/>
  <c r="E9" i="76"/>
  <c r="M26" i="67"/>
  <c r="M22" i="67"/>
  <c r="E2" i="69"/>
  <c r="C76" i="67"/>
  <c r="F13" i="15"/>
  <c r="M29" i="67"/>
  <c r="E2" i="68"/>
  <c r="F40" i="67"/>
  <c r="F4" i="73"/>
  <c r="F8" i="15"/>
  <c r="B8" i="76"/>
  <c r="D4" i="73"/>
  <c r="M23" i="15"/>
  <c r="B9" i="76"/>
  <c r="AO13" i="1"/>
  <c r="F6" i="73"/>
  <c r="M26" i="15"/>
  <c r="F7" i="67"/>
  <c r="M6" i="67"/>
  <c r="B10" i="76"/>
  <c r="M24" i="67"/>
  <c r="F6" i="15"/>
  <c r="B7" i="76"/>
  <c r="F26" i="15"/>
  <c r="M28" i="67"/>
  <c r="F16" i="15"/>
  <c r="J15" i="67"/>
  <c r="F42" i="67"/>
  <c r="F7" i="15"/>
  <c r="F36" i="15"/>
  <c r="M9" i="15"/>
  <c r="D7" i="73"/>
  <c r="E7" i="76"/>
  <c r="F37" i="67"/>
  <c r="M22" i="15"/>
  <c r="F37" i="15"/>
  <c r="M23" i="67"/>
  <c r="M24" i="15"/>
  <c r="E11" i="76"/>
  <c r="F16" i="67"/>
  <c r="L47" i="15"/>
  <c r="M9" i="67"/>
  <c r="F43" i="15"/>
  <c r="F40" i="15"/>
  <c r="F8" i="67"/>
  <c r="M29" i="15"/>
  <c r="E10" i="76"/>
  <c r="B12" i="76"/>
  <c r="E8" i="76"/>
  <c r="M28" i="15"/>
  <c r="F38" i="15"/>
  <c r="F11" i="39" l="1"/>
  <c r="AA11" i="39" s="1"/>
  <c r="J11" i="39"/>
  <c r="D22" i="15"/>
  <c r="D23" i="15"/>
  <c r="C7" i="34"/>
  <c r="G6" i="1"/>
  <c r="I24" i="43"/>
  <c r="J51" i="15"/>
  <c r="C7" i="35"/>
  <c r="C48" i="35" s="1"/>
  <c r="D48" i="35" s="1"/>
  <c r="C7" i="40"/>
  <c r="C63" i="40" s="1"/>
  <c r="C7" i="39"/>
  <c r="C67" i="39" s="1"/>
  <c r="C7" i="37"/>
  <c r="C52" i="37" s="1"/>
  <c r="D52" i="37" s="1"/>
  <c r="F7" i="1"/>
  <c r="M47" i="9"/>
  <c r="C7" i="21"/>
  <c r="F108" i="39"/>
  <c r="G108" i="39" s="1"/>
  <c r="H108" i="39" s="1"/>
  <c r="I108" i="39" s="1"/>
  <c r="J108" i="39" s="1"/>
  <c r="K108" i="39" s="1"/>
  <c r="L108" i="39" s="1"/>
  <c r="M108" i="39" s="1"/>
  <c r="D54" i="43"/>
  <c r="D50" i="43"/>
  <c r="H50" i="43"/>
  <c r="U19" i="39"/>
  <c r="W19" i="39"/>
  <c r="H123" i="39"/>
  <c r="I123" i="39" s="1"/>
  <c r="J123" i="39" s="1"/>
  <c r="K123" i="39" s="1"/>
  <c r="L123" i="39" s="1"/>
  <c r="M123" i="39" s="1"/>
  <c r="J41" i="39"/>
  <c r="W41" i="39" s="1"/>
  <c r="F41" i="39"/>
  <c r="S41" i="39" s="1"/>
  <c r="U41" i="39"/>
  <c r="S40" i="39"/>
  <c r="W27" i="39"/>
  <c r="W40" i="39"/>
  <c r="S42" i="39"/>
  <c r="W34" i="39"/>
  <c r="AB34" i="39"/>
  <c r="S34" i="39"/>
  <c r="AB27" i="39"/>
  <c r="U25" i="39"/>
  <c r="AA21" i="39"/>
  <c r="S17" i="39"/>
  <c r="S15" i="39"/>
  <c r="U12" i="39"/>
  <c r="AA12" i="39"/>
  <c r="W12" i="39"/>
  <c r="AB8" i="39"/>
  <c r="U42" i="39"/>
  <c r="AC41" i="39"/>
  <c r="U40" i="39"/>
  <c r="AB39" i="39"/>
  <c r="AA39" i="39"/>
  <c r="S11" i="39"/>
  <c r="B87" i="43"/>
  <c r="C29" i="39"/>
  <c r="B77" i="43"/>
  <c r="B73" i="43"/>
  <c r="B76" i="43"/>
  <c r="B68" i="43"/>
  <c r="B79" i="43"/>
  <c r="B75" i="43"/>
  <c r="B57" i="43"/>
  <c r="C21" i="68"/>
  <c r="C40" i="69"/>
  <c r="E205"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59" i="3"/>
  <c r="E408" i="3"/>
  <c r="E541" i="3"/>
  <c r="E464" i="3"/>
  <c r="E405" i="3"/>
  <c r="R6" i="3"/>
  <c r="AD6" i="3"/>
  <c r="E369" i="3"/>
  <c r="E199" i="3"/>
  <c r="E149" i="3"/>
  <c r="E296" i="3"/>
  <c r="E539" i="3"/>
  <c r="E259" i="3"/>
  <c r="E297" i="3"/>
  <c r="E240" i="3"/>
  <c r="E155" i="3"/>
  <c r="E187" i="3"/>
  <c r="E131" i="3"/>
  <c r="E57" i="3"/>
  <c r="E90" i="3"/>
  <c r="E39" i="3"/>
  <c r="E436" i="3"/>
  <c r="E520" i="3"/>
  <c r="E460" i="3"/>
  <c r="E413" i="3"/>
  <c r="E582" i="3"/>
  <c r="E500" i="3"/>
  <c r="E566" i="3"/>
  <c r="E374" i="3"/>
  <c r="E451" i="3"/>
  <c r="E430" i="3"/>
  <c r="E487" i="3"/>
  <c r="E456" i="3"/>
  <c r="E502" i="3"/>
  <c r="E542" i="3"/>
  <c r="E525" i="3"/>
  <c r="E286" i="3"/>
  <c r="E167" i="3"/>
  <c r="E140" i="3"/>
  <c r="E536" i="3"/>
  <c r="E490" i="3"/>
  <c r="E440" i="3"/>
  <c r="E422" i="3"/>
  <c r="E507" i="3"/>
  <c r="E486" i="3"/>
  <c r="E427" i="3"/>
  <c r="E543" i="3"/>
  <c r="E564" i="3"/>
  <c r="E493" i="3"/>
  <c r="E393" i="3"/>
  <c r="E105" i="3"/>
  <c r="E116" i="3"/>
  <c r="E223" i="3"/>
  <c r="E188" i="3"/>
  <c r="E16" i="3"/>
  <c r="E329" i="3"/>
  <c r="G28" i="6"/>
  <c r="D21" i="53"/>
  <c r="B39" i="72" s="1"/>
  <c r="D19" i="53"/>
  <c r="B38"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G1" i="73"/>
  <c r="C16" i="67"/>
  <c r="W11" i="39" l="1"/>
  <c r="AC11" i="39"/>
  <c r="J57" i="67"/>
  <c r="J55" i="67" s="1"/>
  <c r="J58" i="67" s="1"/>
  <c r="Q50" i="67" s="1"/>
  <c r="L56" i="67"/>
  <c r="J53" i="67"/>
  <c r="I54" i="67"/>
  <c r="L58" i="67"/>
  <c r="Q60" i="67" s="1"/>
  <c r="J7" i="37"/>
  <c r="AC7" i="37" s="1"/>
  <c r="V42" i="37" s="1"/>
  <c r="I42" i="37" s="1"/>
  <c r="G7" i="1"/>
  <c r="G16" i="1" s="1"/>
  <c r="F10" i="39" s="1"/>
  <c r="E50" i="43"/>
  <c r="B48" i="43" s="1"/>
  <c r="G26" i="43"/>
  <c r="AA41"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Q73" i="6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AA7" i="21" l="1"/>
  <c r="R48" i="21" s="1"/>
  <c r="AC7" i="21"/>
  <c r="V48" i="21" s="1"/>
  <c r="I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7" i="1"/>
  <c r="AO8" i="1"/>
  <c r="AO11" i="1"/>
  <c r="AO10" i="1"/>
  <c r="R48" i="3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2" i="9" l="1"/>
  <c r="D21" i="9"/>
  <c r="B6" i="70"/>
  <c r="B2" i="70" s="1"/>
  <c r="B3" i="70"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s="1"/>
  <c r="C52" i="68" s="1"/>
  <c r="B2" i="68" l="1"/>
  <c r="C57" i="68"/>
  <c r="C56" i="68" s="1"/>
  <c r="C19" i="9"/>
  <c r="C102" i="9" l="1"/>
  <c r="C21" i="9"/>
  <c r="D22" i="9"/>
  <c r="G19" i="9"/>
  <c r="D14" i="74" s="1"/>
  <c r="G14" i="74" s="1"/>
  <c r="B6" i="74" s="1"/>
  <c r="D6" i="74" s="1"/>
  <c r="B3" i="68"/>
  <c r="D35" i="9"/>
  <c r="C20" i="9"/>
  <c r="D34" i="9"/>
  <c r="B5" i="74" l="1"/>
  <c r="D5" i="74" s="1"/>
  <c r="F14" i="74"/>
  <c r="E14" i="74"/>
  <c r="C103" i="9"/>
  <c r="G20" i="9"/>
  <c r="G21" i="9"/>
  <c r="C32" i="9"/>
  <c r="C35" i="9" l="1"/>
  <c r="H118" i="9"/>
  <c r="I118" i="9" l="1"/>
  <c r="H119" i="9"/>
  <c r="H5" i="52" s="1"/>
  <c r="H101" i="9"/>
  <c r="C104" i="9"/>
  <c r="H4" i="52"/>
  <c r="C34" i="9"/>
  <c r="D118" i="9" s="1"/>
  <c r="F118" i="9"/>
  <c r="F119" i="9" l="1"/>
  <c r="F5" i="52" s="1"/>
  <c r="B53" i="72" s="1"/>
  <c r="G118" i="9"/>
  <c r="G4" i="52" s="1"/>
  <c r="B52" i="72" s="1"/>
  <c r="F4" i="52"/>
  <c r="B51" i="72" s="1"/>
  <c r="D45" i="9"/>
  <c r="M48" i="9"/>
  <c r="D5" i="53"/>
  <c r="H107" i="9"/>
  <c r="D4" i="52"/>
  <c r="B47" i="72" s="1"/>
  <c r="D119" i="9"/>
  <c r="D5" i="52" s="1"/>
  <c r="B49" i="72" s="1"/>
  <c r="L4" i="81"/>
  <c r="M4" i="81" s="1"/>
  <c r="L6" i="81"/>
  <c r="M6" i="81" s="1"/>
  <c r="L3" i="81"/>
  <c r="L5" i="81"/>
  <c r="M5" i="81" s="1"/>
  <c r="C105" i="9"/>
  <c r="I4" i="52"/>
  <c r="H102" i="9"/>
  <c r="E118" i="9"/>
  <c r="E4" i="52" s="1"/>
  <c r="B48" i="72" s="1"/>
  <c r="D7" i="53" l="1"/>
  <c r="B21" i="72" s="1"/>
  <c r="C5" i="74"/>
  <c r="D52" i="9"/>
  <c r="C64" i="9"/>
  <c r="C63" i="9" s="1"/>
  <c r="C67" i="9" s="1"/>
  <c r="D55" i="9"/>
  <c r="M53" i="9" s="1"/>
  <c r="C72" i="9"/>
  <c r="C93" i="9"/>
  <c r="C86" i="9" s="1"/>
  <c r="D53" i="9"/>
  <c r="C85" i="9"/>
  <c r="C78" i="9"/>
  <c r="C73" i="9" s="1"/>
  <c r="H108" i="9"/>
  <c r="M49" i="9"/>
  <c r="D122" i="9"/>
  <c r="D13" i="53"/>
  <c r="L7" i="81"/>
  <c r="M3" i="81"/>
  <c r="B20" i="72"/>
  <c r="D6" i="53"/>
  <c r="B22" i="72" s="1"/>
  <c r="D59" i="9" l="1"/>
  <c r="M55" i="9" s="1"/>
  <c r="C68" i="9"/>
  <c r="D54" i="9" s="1"/>
  <c r="D15" i="53"/>
  <c r="B31" i="72" s="1"/>
  <c r="C6" i="74"/>
  <c r="B30" i="72"/>
  <c r="D14" i="53"/>
  <c r="B32" i="72" s="1"/>
  <c r="C79" i="9"/>
  <c r="L65" i="9"/>
  <c r="M65" i="9" s="1"/>
  <c r="L67" i="9"/>
  <c r="M67" i="9" s="1"/>
  <c r="L66" i="9"/>
  <c r="M66" i="9" s="1"/>
  <c r="L64" i="9"/>
  <c r="M64" i="9" s="1"/>
  <c r="L63" i="9"/>
  <c r="M63" i="9" s="1"/>
  <c r="L68" i="9"/>
  <c r="M68" i="9" s="1"/>
  <c r="D123" i="9"/>
  <c r="D9" i="52" s="1"/>
  <c r="D8" i="52"/>
  <c r="C95" i="9"/>
  <c r="M69" i="9" l="1"/>
  <c r="N69" i="9" s="1"/>
  <c r="C80" i="9"/>
  <c r="E80" i="9" s="1"/>
  <c r="E81" i="9" s="1"/>
  <c r="C96" i="9"/>
  <c r="E96" i="9" s="1"/>
  <c r="E97" i="9" s="1"/>
  <c r="C81" i="9" l="1"/>
  <c r="C97" i="9"/>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<sst xmlns="http://schemas.openxmlformats.org/spreadsheetml/2006/main" count="9633" uniqueCount="4827">
  <si>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</si>
  <si>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</si>
  <si>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</si>
  <si>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</si>
  <si>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</si>
  <si>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</si>
  <si>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</si>
  <si>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</si>
  <si>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</si>
  <si>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</si>
  <si>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</si>
  <si>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</si>
  <si>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</si>
  <si>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</si>
  <si>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</si>
  <si>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</si>
  <si>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</si>
  <si>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</si>
  <si>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</si>
  <si>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</si>
  <si>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</si>
  <si>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</si>
  <si>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</si>
  <si>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</si>
  <si>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</si>
  <si>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</si>
  <si>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</si>
  <si>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</si>
  <si>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</si>
  <si>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</si>
  <si>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</si>
  <si>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</si>
  <si>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</si>
  <si>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</si>
  <si>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</si>
  <si>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</si>
  <si>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</si>
  <si>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</si>
  <si>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</si>
  <si>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</si>
  <si>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</si>
  <si>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</si>
  <si>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</si>
  <si>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</si>
  <si>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</si>
  <si>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</si>
  <si>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</si>
  <si>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</si>
  <si>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</si>
  <si>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</si>
  <si>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</si>
  <si>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</si>
  <si>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</si>
  <si>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</si>
  <si>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</si>
  <si>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</si>
  <si>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</si>
  <si>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</si>
  <si>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</si>
  <si>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</si>
  <si>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</si>
  <si>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</si>
  <si>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</si>
  <si>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</si>
  <si>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</si>
  <si>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</si>
  <si>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</si>
  <si>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</si>
  <si>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</si>
  <si>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</si>
  <si>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</si>
  <si>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</si>
  <si>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</si>
  <si>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</si>
  <si>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</si>
  <si>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</si>
  <si>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</si>
  <si>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</si>
  <si>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</si>
  <si>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</si>
  <si>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</si>
  <si>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</si>
  <si>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</si>
  <si>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</si>
  <si>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</si>
  <si>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</si>
  <si>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</si>
  <si>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</si>
  <si>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</si>
  <si>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</si>
  <si>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</si>
  <si>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</si>
  <si>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</si>
  <si>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</si>
  <si>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</si>
  <si>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</si>
  <si>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</si>
  <si>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</si>
  <si>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</si>
  <si>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</si>
  <si>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</si>
  <si>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</si>
  <si>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</si>
  <si>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</si>
  <si>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</si>
  <si>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</si>
  <si>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</si>
  <si>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</si>
  <si>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</si>
  <si>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</si>
  <si>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</si>
  <si>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</si>
  <si>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</si>
  <si>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</si>
  <si>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</si>
  <si>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</si>
  <si>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</si>
  <si>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</si>
  <si>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</si>
  <si>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</si>
  <si>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</si>
  <si>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</si>
  <si>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</si>
  <si>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</si>
  <si>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</si>
  <si>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</si>
  <si>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</si>
  <si>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</si>
  <si>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</si>
  <si>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</si>
  <si>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</si>
  <si>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</si>
  <si>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</si>
  <si>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</si>
  <si>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</si>
  <si>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</si>
  <si>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</si>
  <si>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</si>
  <si>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</si>
  <si>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</si>
  <si>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</si>
  <si>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</si>
  <si>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</si>
  <si>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</si>
  <si>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</si>
  <si>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</si>
  <si>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</si>
  <si>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</si>
  <si>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</si>
  <si>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</si>
  <si>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</si>
  <si>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</si>
  <si>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</si>
  <si>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</si>
  <si>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</si>
  <si>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</si>
  <si>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</si>
  <si>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</si>
  <si>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</si>
  <si>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</si>
  <si>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</si>
  <si>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</si>
  <si>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</si>
  <si>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</si>
  <si>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</si>
  <si>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</si>
  <si>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</si>
  <si>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</si>
  <si>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</si>
  <si>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</si>
  <si>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</si>
  <si>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</si>
  <si>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</si>
  <si>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</si>
  <si>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</si>
  <si>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</si>
  <si>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</si>
  <si>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</si>
  <si>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</si>
  <si>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</si>
  <si>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</si>
  <si>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</si>
  <si>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</si>
  <si>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</si>
  <si>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</si>
  <si>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</si>
  <si>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</si>
  <si>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</si>
  <si>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</si>
  <si>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</si>
  <si>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</si>
  <si>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</si>
  <si>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</si>
  <si>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</si>
  <si>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</si>
  <si>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</si>
  <si>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</si>
  <si>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</si>
  <si>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</si>
  <si>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</si>
  <si>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</si>
  <si>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</si>
  <si>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</si>
  <si>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</si>
  <si>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</si>
  <si>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</si>
  <si>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</si>
  <si>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</si>
  <si>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</si>
  <si>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</si>
  <si>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</si>
  <si>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</si>
  <si>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</si>
  <si>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</si>
  <si>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</si>
  <si>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</si>
  <si>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</si>
  <si>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</si>
  <si>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</si>
  <si>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</si>
  <si>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</si>
  <si>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</si>
  <si>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</si>
  <si>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</si>
  <si>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</si>
  <si>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</si>
  <si>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</si>
  <si>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</si>
  <si>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</si>
  <si>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</si>
  <si>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</si>
  <si>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</si>
  <si>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</si>
  <si>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</si>
  <si>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</si>
  <si>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</si>
  <si>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</si>
  <si>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</si>
  <si>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</si>
  <si>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</si>
  <si>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</si>
  <si>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</si>
  <si>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</si>
  <si>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</si>
  <si>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</si>
  <si>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</si>
  <si>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</si>
  <si>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</si>
  <si>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</si>
  <si>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</si>
  <si>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</si>
  <si>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</si>
  <si>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</si>
  <si>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</si>
  <si>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</si>
  <si>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</si>
  <si>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</si>
  <si>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</si>
  <si>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</si>
  <si>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</si>
  <si>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</si>
  <si>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</si>
  <si>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</si>
  <si>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</si>
  <si>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</si>
  <si>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</si>
  <si>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</si>
  <si>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</si>
  <si>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</si>
  <si>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</si>
  <si>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</si>
  <si>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</si>
  <si>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</si>
  <si>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</si>
  <si>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</si>
  <si>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</si>
  <si>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</si>
  <si>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</si>
  <si>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</si>
  <si>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</si>
  <si>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</si>
  <si>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</si>
  <si>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</si>
  <si>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</si>
  <si>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</si>
  <si>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</si>
  <si>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</si>
  <si>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</si>
  <si>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</si>
  <si>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</si>
  <si>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</si>
  <si>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</si>
  <si>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</si>
  <si>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</si>
  <si>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</si>
  <si>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</si>
  <si>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</si>
  <si>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</si>
  <si>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</si>
  <si>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</si>
  <si>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</si>
  <si>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</si>
  <si>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</si>
  <si>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</si>
  <si>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</si>
  <si>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</si>
  <si>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</si>
  <si>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</si>
  <si>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</si>
  <si>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</si>
  <si>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</si>
  <si>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</si>
  <si>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</si>
  <si>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</si>
  <si>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</si>
  <si>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</si>
  <si>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</si>
  <si>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</si>
  <si>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</si>
  <si>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</si>
  <si>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</si>
  <si>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</si>
  <si>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</si>
  <si>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</si>
  <si>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</si>
  <si>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</si>
  <si>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</si>
  <si>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</si>
  <si>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</si>
  <si>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</si>
  <si>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</si>
  <si>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</si>
  <si>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</si>
  <si>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</si>
  <si>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</si>
  <si>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</si>
  <si>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</si>
  <si>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</si>
  <si>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</si>
  <si>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</si>
  <si>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</si>
  <si>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</si>
  <si>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</si>
  <si>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</si>
  <si>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</si>
  <si>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</si>
  <si>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</si>
  <si>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</si>
  <si>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</si>
  <si>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</si>
  <si>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</si>
  <si>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</si>
  <si>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</si>
  <si>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</si>
  <si>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</si>
  <si>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</si>
  <si>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</si>
  <si>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</si>
  <si>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</si>
  <si>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</si>
  <si>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</si>
  <si>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</si>
  <si>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</si>
  <si>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</si>
  <si>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</si>
  <si>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</si>
  <si>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</si>
  <si>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</si>
  <si>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</si>
  <si>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</si>
  <si>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</si>
  <si>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</si>
  <si>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</si>
  <si>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</si>
  <si>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</si>
  <si>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</si>
  <si>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</si>
  <si>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</si>
  <si>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</si>
  <si>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</si>
  <si>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</si>
  <si>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</si>
  <si>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</si>
  <si>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</si>
  <si>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</si>
  <si>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</si>
  <si>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</si>
  <si>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</si>
  <si>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</si>
  <si>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</si>
  <si>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</si>
  <si>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</si>
  <si>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</si>
  <si>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</si>
  <si>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</si>
  <si>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</si>
  <si>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</si>
  <si>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</si>
  <si>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</si>
  <si>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</si>
  <si>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</si>
  <si>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</si>
  <si>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</si>
  <si>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</si>
  <si>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</si>
  <si>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</si>
  <si>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</si>
  <si>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</si>
  <si>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</si>
  <si>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</si>
  <si>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</si>
  <si>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</si>
  <si>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</si>
  <si>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</si>
  <si>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</si>
  <si>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</si>
  <si>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</si>
  <si>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</si>
  <si>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</si>
  <si>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</si>
  <si>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</si>
  <si>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</si>
  <si>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</si>
  <si>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</si>
  <si>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</si>
  <si>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</si>
  <si>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</si>
  <si>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</si>
  <si>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</si>
  <si>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</si>
  <si>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</si>
  <si>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</si>
  <si>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</si>
  <si>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</si>
  <si>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</si>
  <si>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</si>
  <si>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</si>
  <si>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</si>
  <si>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</si>
  <si>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</si>
  <si>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</si>
  <si>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</si>
  <si>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</si>
  <si>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</si>
  <si>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</si>
  <si>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</si>
  <si>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</si>
  <si>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</si>
  <si>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</si>
  <si>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</si>
  <si>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</si>
  <si>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</si>
  <si>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</si>
  <si>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</si>
  <si>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</si>
  <si>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</si>
  <si>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</si>
  <si>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</si>
  <si>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</si>
  <si>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</si>
  <si>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</si>
  <si>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</si>
  <si>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</si>
  <si>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</si>
  <si>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</si>
  <si>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</si>
  <si>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</si>
  <si>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</si>
  <si>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</si>
  <si>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</si>
  <si>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</si>
  <si>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</si>
  <si>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</si>
  <si>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</si>
  <si>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</si>
  <si>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</si>
  <si>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</si>
  <si>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</si>
  <si>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</si>
  <si>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</si>
  <si>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</si>
  <si>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</si>
  <si>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</si>
  <si>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</si>
  <si>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</si>
  <si>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</si>
  <si>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</si>
  <si>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</si>
  <si>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</si>
  <si>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</si>
  <si>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</si>
  <si>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</si>
  <si>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</si>
  <si>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</si>
  <si>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</si>
  <si>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</si>
  <si>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</si>
  <si>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</si>
  <si>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</si>
  <si>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</si>
  <si>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</si>
  <si>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</si>
  <si>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</si>
  <si>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</si>
  <si>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</si>
  <si>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</si>
  <si>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</si>
  <si>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</si>
  <si>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</si>
  <si>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</si>
  <si>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</si>
  <si>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</si>
  <si>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</si>
  <si>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</si>
  <si>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</si>
  <si>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</si>
  <si>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</si>
  <si>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</si>
  <si>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</si>
  <si>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</si>
  <si>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</si>
  <si>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</si>
  <si>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</si>
  <si>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</si>
  <si>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</si>
  <si>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</si>
  <si>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</si>
  <si>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</si>
  <si>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</si>
  <si>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</si>
  <si>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</si>
  <si>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</si>
  <si>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</si>
  <si>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</si>
  <si>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</si>
  <si>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</si>
  <si>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</si>
  <si>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</si>
  <si>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</si>
  <si>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</si>
  <si>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</si>
  <si>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</si>
  <si>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</si>
  <si>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</si>
  <si>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</si>
  <si>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</si>
  <si>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</si>
  <si>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</si>
  <si>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</si>
  <si>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</si>
  <si>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</si>
  <si>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</si>
  <si>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</si>
  <si>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</si>
  <si>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</si>
  <si>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</si>
  <si>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</si>
  <si>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</si>
  <si>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</si>
  <si>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</si>
  <si>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</si>
  <si>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</si>
  <si>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</si>
  <si>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</si>
  <si>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</si>
  <si>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</si>
  <si>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</si>
  <si>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</si>
  <si>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</si>
  <si>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</si>
  <si>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</si>
  <si>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</si>
  <si>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</si>
  <si>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</si>
  <si>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</si>
  <si>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</si>
  <si>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</si>
  <si>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</si>
  <si>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</si>
  <si>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</si>
  <si>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</si>
  <si>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</si>
  <si>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</si>
  <si>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</si>
  <si>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</si>
  <si>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</si>
  <si>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</si>
  <si>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</si>
  <si>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</si>
  <si>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</si>
  <si>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</si>
  <si>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</si>
  <si>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</si>
  <si>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</si>
  <si>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</si>
  <si>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</si>
  <si>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</si>
  <si>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</si>
  <si>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</si>
  <si>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</si>
  <si>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</si>
  <si>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</si>
  <si>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</si>
  <si>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</si>
  <si>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</si>
  <si>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</si>
  <si>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</si>
  <si>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</si>
  <si>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</si>
  <si>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</si>
  <si>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</si>
  <si>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</si>
  <si>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</si>
  <si>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</si>
  <si>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</si>
  <si>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</si>
  <si>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</si>
  <si>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</si>
  <si>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</si>
  <si>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</si>
  <si>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</si>
  <si>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</si>
  <si>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</si>
  <si>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</si>
  <si>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</si>
  <si>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</si>
  <si>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</si>
  <si>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</si>
  <si>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</si>
  <si>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</si>
  <si>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</si>
  <si>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</si>
  <si>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</si>
  <si>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</si>
  <si>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</si>
  <si>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</si>
  <si>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</si>
  <si>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</si>
  <si>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</si>
  <si>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</si>
  <si>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</si>
  <si>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</si>
  <si>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</si>
  <si>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</si>
  <si>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</si>
  <si>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</si>
  <si>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</si>
  <si>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</si>
  <si>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</si>
  <si>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</si>
  <si>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</si>
  <si>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</si>
  <si>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</si>
  <si>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</si>
  <si>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</si>
  <si>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</si>
  <si>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</si>
  <si>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</si>
  <si>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</si>
  <si>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</si>
  <si>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</si>
  <si>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</si>
  <si>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</si>
  <si>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</si>
  <si>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</si>
  <si>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</si>
  <si>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</si>
  <si>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</si>
  <si>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</si>
  <si>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</si>
  <si>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</si>
  <si>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</si>
  <si>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</si>
  <si>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</si>
  <si>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</si>
  <si>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</si>
  <si>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</si>
  <si>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</si>
  <si>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</si>
  <si>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</si>
  <si>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</si>
  <si>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</si>
  <si>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</si>
  <si>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</si>
  <si>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</si>
  <si>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</si>
  <si>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</si>
  <si>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</si>
  <si>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</si>
  <si>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</si>
  <si>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</si>
  <si>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</si>
  <si>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</si>
  <si>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</si>
  <si>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</si>
  <si>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</si>
  <si>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</si>
  <si>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</si>
  <si>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</si>
  <si>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</si>
  <si>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</si>
  <si>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</si>
  <si>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</si>
  <si>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</si>
  <si>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</si>
  <si>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</si>
  <si>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</si>
  <si>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</si>
  <si>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</si>
  <si>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</si>
  <si>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</si>
  <si>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</si>
  <si>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</si>
  <si>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</si>
  <si>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</si>
  <si>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</si>
  <si>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</si>
  <si>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</si>
  <si>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</si>
  <si>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</si>
  <si>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</si>
  <si>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</si>
  <si>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</si>
  <si>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</si>
  <si>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</si>
  <si>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</si>
  <si>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</si>
  <si>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</si>
  <si>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</si>
  <si>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</si>
  <si>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</si>
  <si>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</si>
  <si>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</si>
  <si>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</si>
  <si>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</si>
  <si>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</si>
  <si>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</si>
  <si>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</si>
  <si>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</si>
  <si>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</si>
  <si>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</si>
  <si>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</si>
  <si>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</si>
  <si>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</si>
  <si>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</si>
  <si>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</si>
  <si>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</si>
  <si>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</si>
  <si>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</si>
  <si>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</si>
  <si>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</si>
  <si>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</si>
  <si>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</si>
  <si>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</si>
  <si>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</si>
  <si>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</si>
  <si>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</si>
  <si>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</si>
  <si>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</si>
  <si>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</si>
  <si>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</si>
  <si>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</si>
  <si>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</si>
  <si>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</si>
  <si>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</si>
  <si>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</si>
  <si>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</si>
  <si>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</si>
  <si>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</si>
  <si>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</si>
  <si>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</si>
  <si>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</si>
  <si>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</si>
  <si>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</si>
  <si>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</si>
  <si>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</si>
  <si>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</si>
  <si>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</si>
  <si>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</si>
  <si>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</si>
  <si>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</si>
  <si>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</si>
  <si>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</si>
  <si>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</si>
  <si>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</si>
  <si>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</si>
  <si>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</si>
  <si>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</si>
  <si>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</si>
  <si>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</si>
  <si>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</si>
  <si>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</si>
  <si>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</si>
  <si>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</si>
  <si>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</si>
  <si>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</si>
  <si>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</si>
  <si>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</si>
  <si>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</si>
  <si>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</si>
  <si>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</si>
  <si>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</si>
  <si>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</si>
  <si>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</si>
  <si>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</si>
  <si>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</si>
  <si>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</si>
  <si>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</si>
  <si>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</si>
  <si>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</si>
  <si>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</si>
  <si>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</si>
  <si>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</si>
  <si>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</si>
  <si>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</si>
  <si>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</si>
  <si>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</si>
  <si>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</si>
  <si>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</si>
  <si>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</si>
  <si>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</si>
  <si>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</si>
  <si>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</si>
  <si>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</si>
  <si>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</si>
  <si>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</si>
  <si>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</si>
  <si>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</si>
  <si>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</si>
  <si>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</si>
  <si>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</si>
  <si>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</si>
  <si>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</si>
  <si>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</si>
  <si>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</si>
  <si>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</si>
  <si>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</si>
  <si>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</si>
  <si>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</si>
  <si>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</si>
  <si>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</si>
  <si>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</si>
  <si>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</si>
  <si>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</si>
  <si>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</si>
  <si>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</si>
  <si>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</si>
  <si>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</si>
  <si>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</si>
  <si>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</si>
  <si>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</si>
  <si>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</si>
  <si>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</si>
  <si>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</si>
  <si>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</si>
  <si>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</si>
  <si>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</si>
  <si>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</si>
  <si>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</si>
  <si>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</si>
  <si>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</si>
  <si>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</si>
  <si>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</si>
  <si>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</si>
  <si>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</si>
  <si>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</si>
  <si>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</si>
  <si>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</si>
  <si>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</si>
  <si>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</si>
  <si>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</si>
  <si>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</si>
  <si>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</si>
  <si>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</si>
  <si>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</si>
  <si>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</si>
  <si>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</si>
  <si>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</si>
  <si>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</si>
  <si>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</si>
  <si>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</si>
  <si>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</si>
  <si>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</si>
  <si>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</si>
  <si>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</si>
  <si>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</si>
  <si>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</si>
  <si>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</si>
  <si>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</si>
  <si>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</si>
  <si>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</si>
  <si>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</si>
  <si>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</si>
  <si>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</si>
  <si>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</si>
  <si>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</si>
  <si>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</si>
  <si>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</si>
  <si>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</si>
  <si>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</si>
  <si>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</si>
  <si>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</si>
  <si>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</si>
  <si>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</si>
  <si>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</si>
  <si>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</si>
  <si>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</si>
  <si>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</si>
  <si>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</si>
  <si>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</si>
  <si>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</si>
  <si>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</si>
  <si>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</si>
  <si>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</si>
  <si>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</si>
  <si>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</si>
  <si>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</si>
  <si>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</si>
  <si>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</si>
  <si>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</si>
  <si>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</si>
  <si>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</si>
  <si>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</si>
  <si>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</si>
  <si>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</si>
  <si>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</si>
  <si>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</si>
  <si>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</si>
  <si>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</si>
  <si>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</si>
  <si>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</si>
  <si>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</si>
  <si>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</si>
  <si>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</si>
  <si>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</si>
  <si>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</si>
  <si>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</si>
  <si>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</si>
  <si>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</si>
  <si>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</si>
  <si>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</si>
  <si>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</si>
  <si>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</si>
  <si>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</si>
  <si>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</si>
  <si>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</si>
  <si>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</si>
  <si>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</si>
  <si>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</si>
  <si>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</si>
  <si>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</si>
  <si>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</si>
  <si>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</si>
  <si>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</si>
  <si>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</si>
  <si>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</si>
  <si>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</si>
  <si>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</si>
  <si>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</si>
  <si>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</si>
  <si>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</si>
  <si>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</si>
  <si>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</si>
  <si>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</si>
  <si>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</si>
  <si>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</si>
  <si>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</si>
  <si>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</si>
  <si>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</si>
  <si>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</si>
  <si>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</si>
  <si>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</si>
  <si>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</si>
  <si>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</si>
  <si>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</si>
  <si>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</si>
  <si>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</si>
  <si>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</si>
  <si>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</si>
  <si>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</si>
  <si>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</si>
  <si>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</si>
  <si>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</si>
  <si>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</si>
  <si>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</si>
  <si>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</si>
  <si>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</si>
  <si>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</si>
  <si>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</si>
  <si>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</si>
  <si>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</si>
  <si>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</si>
  <si>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</si>
  <si>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</si>
  <si>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</si>
  <si>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</si>
  <si>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</si>
  <si>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</si>
  <si>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</si>
  <si>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</si>
  <si>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</si>
  <si>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</si>
  <si>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</si>
  <si>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</si>
  <si>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</si>
  <si>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</si>
  <si>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</si>
  <si>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</si>
  <si>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</si>
  <si>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</si>
  <si>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</si>
  <si>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</si>
  <si>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</si>
  <si>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</si>
  <si>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</si>
  <si>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</si>
  <si>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</si>
  <si>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</si>
  <si>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</si>
  <si>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</si>
  <si>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</si>
  <si>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</si>
  <si>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</si>
  <si>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</si>
  <si>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</si>
  <si>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</si>
  <si>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</si>
  <si>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</si>
  <si>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</si>
  <si>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</si>
  <si>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</si>
  <si>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</si>
  <si>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</si>
  <si>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</si>
  <si>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</si>
  <si>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</si>
  <si>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</si>
  <si>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</si>
  <si>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</si>
  <si>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</si>
  <si>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</si>
  <si>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</si>
  <si>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</si>
  <si>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</si>
  <si>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</si>
  <si>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</si>
  <si>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</si>
  <si>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</si>
  <si>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</si>
  <si>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</si>
  <si>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</si>
  <si>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</si>
  <si>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</si>
  <si>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</si>
  <si>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</si>
  <si>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</si>
  <si>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</si>
  <si>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</si>
  <si>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</si>
  <si>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</si>
  <si>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</si>
  <si>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</si>
  <si>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</si>
  <si>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</si>
  <si>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</si>
  <si>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</si>
  <si>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</si>
  <si>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</si>
  <si>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</si>
  <si>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</si>
  <si>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</si>
  <si>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</si>
  <si>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</si>
  <si>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</si>
  <si>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</si>
  <si>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</si>
  <si>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</si>
  <si>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</si>
  <si>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</si>
  <si>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</si>
  <si>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</si>
  <si>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</si>
  <si>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</si>
  <si>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</si>
  <si>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</si>
  <si>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</si>
  <si>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</si>
  <si>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</si>
  <si>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</si>
  <si>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</si>
  <si>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</si>
  <si>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</si>
  <si>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</si>
  <si>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</si>
  <si>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</si>
  <si>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</si>
  <si>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</si>
  <si>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</si>
  <si>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</si>
  <si>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</si>
  <si>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</si>
  <si>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</si>
  <si>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</si>
  <si>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</si>
  <si>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</si>
  <si>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</si>
  <si>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</si>
  <si>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</si>
  <si>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</si>
  <si>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</si>
  <si>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</si>
  <si>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</si>
  <si>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</si>
  <si>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</si>
  <si>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</si>
  <si>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</si>
  <si>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</si>
  <si>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</si>
  <si>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</si>
  <si>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</si>
  <si>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</si>
  <si>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</si>
  <si>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</si>
  <si>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</si>
  <si>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</si>
  <si>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</si>
  <si>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</si>
  <si>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</si>
  <si>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</si>
  <si>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</si>
  <si>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</si>
  <si>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</si>
  <si>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</si>
  <si>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</si>
  <si>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</si>
  <si>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</si>
  <si>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</si>
  <si>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</si>
  <si>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</si>
  <si>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</si>
  <si>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</si>
  <si>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</si>
  <si>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</si>
  <si>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</si>
  <si>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</si>
  <si>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</si>
  <si>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</si>
  <si>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</si>
  <si>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</si>
  <si>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</si>
  <si>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</si>
  <si>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</si>
  <si>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</si>
  <si>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</si>
  <si>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</si>
  <si>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</si>
  <si>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</si>
  <si>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</si>
  <si>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</si>
  <si>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</si>
  <si>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</si>
  <si>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</si>
  <si>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</si>
  <si>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</si>
  <si>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</si>
  <si>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</si>
  <si>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</si>
  <si>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</si>
  <si>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</si>
  <si>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</si>
  <si>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</si>
  <si>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</si>
  <si>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</si>
  <si>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</si>
  <si>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</si>
  <si>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</si>
  <si>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</si>
  <si>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</si>
  <si>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</si>
  <si>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</si>
  <si>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</si>
  <si>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</si>
  <si>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</si>
  <si>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</si>
  <si>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</si>
  <si>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</si>
  <si>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</si>
  <si>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</si>
  <si>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</si>
  <si>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</si>
  <si>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</si>
  <si>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</si>
  <si>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</si>
  <si>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</si>
  <si>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</si>
  <si>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</si>
  <si>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</si>
  <si>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</si>
  <si>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</si>
  <si>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</si>
  <si>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</si>
  <si>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</si>
  <si>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</si>
  <si>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</si>
  <si>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</si>
  <si>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</si>
  <si>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</si>
  <si>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</si>
  <si>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</si>
  <si>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</si>
  <si>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</si>
  <si>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</si>
  <si>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</si>
  <si>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</si>
  <si>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</si>
  <si>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</si>
  <si>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</si>
  <si>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</si>
  <si>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</si>
  <si>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</si>
  <si>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</si>
  <si>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</si>
  <si>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</si>
  <si>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</si>
  <si>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</si>
  <si>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</si>
  <si>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</si>
  <si>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</si>
  <si>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</si>
  <si>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</si>
  <si>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</si>
  <si>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</si>
  <si>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</si>
  <si>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</si>
  <si>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</si>
  <si>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</si>
  <si>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</si>
  <si>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</si>
  <si>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</si>
  <si>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</si>
  <si>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</si>
  <si>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</si>
  <si>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</si>
  <si>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</si>
  <si>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</si>
  <si>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</si>
  <si>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</si>
  <si>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</si>
  <si>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</si>
  <si>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</si>
  <si>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</si>
  <si>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</si>
  <si>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</si>
  <si>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</si>
  <si>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</si>
  <si>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</si>
  <si>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</si>
  <si>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</si>
  <si>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</si>
  <si>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</si>
  <si>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</si>
  <si>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</si>
  <si>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</si>
  <si>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</si>
  <si>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</si>
  <si>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</si>
  <si>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</si>
  <si>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</si>
  <si>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</si>
  <si>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</si>
  <si>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</si>
  <si>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</si>
  <si>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</si>
  <si>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</si>
  <si>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</si>
  <si>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</si>
  <si>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</si>
  <si>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</si>
  <si>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</si>
  <si>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</si>
  <si>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</si>
  <si>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</si>
  <si>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</si>
  <si>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</si>
  <si>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</si>
  <si>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</si>
  <si>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</si>
  <si>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</si>
  <si>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</si>
  <si>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</si>
  <si>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</si>
  <si>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</si>
  <si>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</si>
  <si>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</si>
  <si>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</si>
  <si>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</si>
  <si>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</si>
  <si>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</si>
  <si>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</si>
  <si>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</si>
  <si>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</si>
  <si>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</si>
  <si>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</si>
  <si>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</si>
  <si>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</si>
  <si>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</si>
  <si>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</si>
  <si>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</si>
  <si>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</si>
  <si>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</si>
  <si>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</si>
  <si>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</si>
  <si>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</si>
  <si>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</si>
  <si>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</si>
  <si>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</si>
  <si>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</si>
  <si>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</si>
  <si>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</si>
  <si>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</si>
  <si>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</si>
  <si>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</si>
  <si>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</si>
  <si>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</si>
  <si>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</si>
  <si>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</si>
  <si>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</si>
  <si>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</si>
  <si>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</si>
  <si>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</si>
  <si>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</si>
  <si>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</si>
  <si>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</si>
  <si>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</si>
  <si>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</si>
  <si>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</si>
  <si>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</si>
  <si>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</si>
  <si>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</si>
  <si>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</si>
  <si>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</si>
  <si>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</si>
  <si>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</si>
  <si>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</si>
  <si>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</si>
  <si>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</si>
  <si>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</si>
  <si>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</si>
  <si>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</si>
  <si>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</si>
  <si>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</si>
  <si>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</si>
  <si>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</si>
  <si>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</si>
  <si>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</si>
  <si>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</si>
  <si>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</si>
  <si>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</si>
  <si>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</si>
  <si>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</si>
  <si>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</si>
  <si>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</si>
  <si>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</si>
  <si>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</si>
  <si>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</si>
  <si>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</si>
  <si>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</si>
  <si>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</si>
  <si>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</si>
  <si>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</si>
  <si>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</si>
  <si>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</si>
  <si>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</si>
  <si>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</si>
  <si>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</si>
  <si>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</si>
  <si>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</si>
  <si>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</si>
  <si>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</si>
  <si>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</si>
  <si>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</si>
  <si>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</si>
  <si>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</si>
  <si>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</si>
  <si>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</si>
  <si>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</si>
  <si>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</si>
  <si>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</si>
  <si>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</si>
  <si>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</si>
  <si>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</si>
  <si>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</si>
  <si>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</si>
  <si>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</si>
  <si>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</si>
  <si>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</si>
  <si>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</si>
  <si>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</si>
  <si>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</si>
  <si>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</si>
  <si>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</si>
  <si>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</si>
  <si>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</si>
  <si>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</si>
  <si>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</si>
  <si>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</si>
  <si>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</si>
  <si>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</si>
  <si>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</si>
  <si>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</si>
  <si>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</si>
  <si>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</si>
  <si>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</si>
  <si>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</si>
  <si>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</si>
  <si>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</si>
  <si>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</si>
  <si>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</si>
  <si>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</si>
  <si>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</si>
  <si>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</si>
  <si>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</si>
  <si>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</si>
  <si>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</si>
  <si>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</si>
  <si>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</si>
  <si>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</si>
  <si>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</si>
  <si>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</si>
  <si>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</si>
  <si>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</si>
  <si>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</si>
  <si>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</si>
  <si>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</si>
  <si>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</si>
  <si>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</si>
  <si>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</si>
  <si>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</si>
  <si>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</si>
  <si>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</si>
  <si>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</si>
  <si>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</si>
  <si>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</si>
  <si>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</si>
  <si>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</si>
  <si>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</si>
  <si>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</si>
  <si>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</si>
  <si>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</si>
  <si>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</si>
  <si>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</si>
  <si>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</si>
  <si>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</si>
  <si>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</si>
  <si>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</si>
  <si>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</si>
  <si>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</si>
  <si>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</si>
  <si>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</si>
  <si>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</si>
  <si>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</si>
  <si>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</si>
  <si>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</si>
  <si>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</si>
  <si>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</si>
  <si>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</si>
  <si>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</si>
  <si>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</si>
  <si>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</si>
  <si>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</si>
  <si>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</si>
  <si>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</si>
  <si>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</si>
  <si>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</si>
  <si>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</si>
  <si>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</si>
  <si>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</si>
  <si>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</si>
  <si>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</si>
  <si>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</si>
  <si>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</si>
  <si>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</si>
  <si>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</si>
  <si>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</si>
  <si>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</si>
  <si>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</si>
  <si>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</si>
  <si>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</si>
  <si>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</si>
  <si>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</si>
  <si>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</si>
  <si>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</si>
  <si>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</si>
  <si>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</si>
  <si>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</si>
  <si>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</si>
  <si>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</si>
  <si>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</si>
  <si>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</si>
  <si>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</si>
  <si>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</si>
  <si>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</si>
  <si>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</si>
  <si>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</si>
  <si>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</si>
  <si>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</si>
  <si>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</si>
  <si>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</si>
  <si>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</si>
  <si>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</si>
  <si>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</si>
  <si>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</si>
  <si>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</si>
  <si>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</si>
  <si>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</si>
  <si>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</si>
  <si>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</si>
  <si>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</si>
  <si>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</si>
  <si>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</si>
  <si>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</si>
  <si>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</si>
  <si>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</si>
  <si>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</si>
  <si>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</si>
  <si>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</si>
  <si>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</si>
  <si>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</si>
  <si>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</si>
  <si>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</si>
  <si>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</si>
  <si>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</si>
  <si>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</si>
  <si>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</si>
  <si>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</si>
  <si>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</si>
  <si>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</si>
  <si>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</si>
  <si>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</si>
  <si>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</si>
  <si>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</si>
  <si>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</si>
  <si>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</si>
  <si>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</si>
  <si>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</si>
  <si>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</si>
  <si>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</si>
  <si>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</si>
  <si>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</si>
  <si>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</si>
  <si>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</si>
  <si>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</si>
  <si>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</si>
  <si>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</si>
  <si>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</si>
  <si>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</si>
  <si>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</si>
  <si>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</si>
  <si>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</si>
  <si>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</si>
  <si>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</si>
  <si>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</si>
  <si>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</si>
  <si>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</si>
  <si>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</si>
  <si>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</si>
  <si>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</si>
  <si>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</si>
  <si>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</si>
  <si>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</si>
  <si>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</si>
  <si>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</si>
  <si>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</si>
  <si>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</si>
  <si>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</si>
  <si>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</si>
  <si>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</si>
  <si>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</si>
  <si>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</si>
  <si>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</si>
  <si>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</si>
  <si>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</si>
  <si>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</si>
  <si>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</si>
  <si>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</si>
  <si>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</si>
  <si>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</si>
  <si>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</si>
  <si>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</si>
  <si>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</si>
  <si>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</si>
  <si>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</si>
  <si>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</si>
  <si>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</si>
  <si>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</si>
  <si>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</si>
  <si>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</si>
  <si>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</si>
  <si>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</si>
  <si>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</si>
  <si>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</si>
  <si>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</si>
  <si>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</si>
  <si>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</si>
  <si>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</si>
  <si>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</si>
  <si>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</si>
  <si>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</si>
  <si>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</si>
  <si>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</si>
  <si>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</si>
  <si>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</si>
  <si>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</si>
  <si>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</si>
  <si>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</si>
  <si>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</si>
  <si>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</si>
  <si>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</si>
  <si>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</si>
  <si>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</si>
  <si>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</si>
  <si>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</si>
  <si>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</si>
  <si>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</si>
  <si>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</si>
  <si>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</si>
  <si>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</si>
  <si>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</si>
  <si>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</si>
  <si>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</si>
  <si>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</si>
  <si>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</si>
  <si>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</si>
  <si>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</si>
  <si>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</si>
  <si>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</si>
  <si>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</si>
  <si>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</si>
  <si>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</si>
  <si>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</si>
  <si>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</si>
  <si>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</si>
  <si>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</si>
  <si>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</si>
  <si>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</si>
  <si>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</si>
  <si>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</si>
  <si>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</si>
  <si>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</si>
  <si>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</si>
  <si>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</si>
  <si>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</si>
  <si>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</si>
  <si>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</si>
  <si>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</si>
  <si>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</si>
  <si>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</si>
  <si>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</si>
  <si>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</si>
  <si>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</si>
  <si>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</si>
  <si>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</si>
  <si>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</si>
  <si>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</si>
  <si>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</si>
  <si>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</si>
  <si>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</si>
  <si>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</si>
  <si>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</si>
  <si>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</si>
  <si>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</si>
  <si>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</si>
  <si>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</si>
  <si>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</si>
  <si>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</si>
  <si>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</si>
  <si>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</si>
  <si>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</si>
  <si>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</si>
  <si>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</si>
  <si>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</si>
  <si>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</si>
  <si>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</si>
  <si>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</si>
  <si>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</si>
  <si>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</si>
  <si>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</si>
  <si>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</si>
  <si>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</si>
  <si>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</si>
  <si>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</si>
  <si>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</si>
  <si>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</si>
  <si>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</si>
  <si>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</si>
  <si>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</si>
  <si>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</si>
  <si>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</si>
  <si>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</si>
  <si>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</si>
  <si>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</si>
  <si>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</si>
  <si>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</si>
  <si>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</si>
  <si>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</si>
  <si>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</si>
  <si>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</si>
  <si>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</si>
  <si>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</si>
  <si>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</si>
  <si>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</si>
  <si>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</si>
  <si>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</si>
  <si>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</si>
  <si>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</si>
  <si>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</si>
  <si>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</si>
  <si>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</si>
  <si>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</si>
  <si>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</si>
  <si>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</si>
  <si>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</si>
  <si>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</si>
  <si>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</si>
  <si>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</si>
  <si>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</si>
  <si>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</si>
  <si>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</si>
  <si>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</si>
  <si>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</si>
  <si>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</si>
  <si>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</si>
  <si>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</si>
  <si>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</si>
  <si>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</si>
  <si>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</si>
  <si>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</si>
  <si>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</si>
  <si>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</si>
  <si>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</si>
  <si>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</si>
  <si>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</si>
  <si>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</si>
  <si>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</si>
  <si>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</si>
  <si>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</si>
  <si>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</si>
  <si>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</si>
  <si>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</si>
  <si>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</si>
  <si>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</si>
  <si>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</si>
  <si>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</si>
  <si>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</si>
  <si>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</si>
  <si>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</si>
  <si>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</si>
  <si>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</si>
  <si>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</si>
  <si>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</si>
  <si>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</si>
  <si>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</si>
  <si>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</si>
  <si>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</si>
  <si>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</si>
  <si>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</si>
  <si>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</si>
  <si>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</si>
  <si>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</si>
  <si>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</si>
  <si>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</si>
  <si>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</si>
  <si>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</si>
  <si>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</si>
  <si>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</si>
  <si>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</si>
  <si>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</si>
  <si>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</si>
  <si>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</si>
  <si>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</si>
  <si>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</si>
  <si>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</si>
  <si>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</si>
  <si>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</si>
  <si>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</si>
  <si>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</si>
  <si>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</si>
  <si>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</si>
  <si>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</si>
  <si>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</si>
  <si>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</si>
  <si>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</si>
  <si>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</si>
  <si>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</si>
  <si>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</si>
  <si>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</si>
  <si>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</si>
  <si>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</si>
  <si>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</si>
  <si>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</si>
  <si>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</si>
  <si>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</si>
  <si>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</si>
  <si>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</si>
  <si>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</si>
  <si>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</si>
  <si>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</si>
  <si>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</si>
  <si>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</si>
  <si>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</si>
  <si>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</si>
  <si>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</si>
  <si>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</si>
  <si>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</si>
  <si>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</si>
  <si>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</si>
  <si>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</si>
  <si>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</si>
  <si>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</si>
  <si>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</si>
  <si>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</si>
  <si>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</si>
  <si>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</si>
  <si>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</si>
  <si>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</si>
  <si>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</si>
  <si>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</si>
  <si>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</si>
  <si>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</si>
  <si>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</si>
  <si>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</si>
  <si>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</si>
  <si>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</si>
  <si>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</si>
  <si>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</si>
  <si>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</si>
  <si>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</si>
  <si>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</si>
  <si>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</si>
  <si>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</si>
  <si>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</si>
  <si>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</si>
  <si>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</si>
  <si>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</si>
  <si>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</si>
  <si>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</si>
  <si>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</si>
  <si>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</si>
  <si>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</si>
  <si>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</si>
  <si>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</si>
  <si>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</si>
  <si>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</si>
  <si>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</si>
  <si>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</si>
  <si>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</si>
  <si>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</si>
  <si>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</si>
  <si>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</si>
  <si>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</si>
  <si>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</si>
  <si>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</si>
  <si>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</si>
  <si>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</si>
  <si>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</si>
  <si>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</si>
  <si>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</si>
  <si>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</si>
  <si>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</si>
  <si>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</si>
  <si>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</si>
  <si>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</si>
  <si>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</si>
  <si>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</si>
  <si>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</si>
  <si>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</si>
  <si>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</si>
  <si>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</si>
  <si>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</si>
  <si>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</si>
  <si>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</si>
  <si>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</si>
  <si>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</si>
  <si>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</si>
  <si>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</si>
  <si>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</si>
  <si>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</si>
  <si>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</si>
  <si>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</si>
  <si>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</si>
  <si>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</si>
  <si>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</si>
  <si>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</si>
  <si>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</si>
  <si>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</si>
  <si>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</si>
  <si>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</si>
  <si>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</si>
  <si>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</si>
  <si>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</si>
  <si>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</si>
  <si>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</si>
  <si>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</si>
  <si>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</si>
  <si>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</si>
  <si>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</si>
  <si>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</si>
  <si>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</si>
  <si>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</si>
  <si>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</si>
  <si>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</si>
  <si>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</si>
  <si>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</si>
  <si>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</si>
  <si>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</si>
  <si>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</si>
  <si>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</si>
  <si>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</si>
  <si>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</si>
  <si>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</si>
  <si>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</si>
  <si>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</si>
  <si>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</si>
  <si>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</si>
  <si>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</si>
  <si>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</si>
  <si>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</si>
  <si>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</si>
  <si>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</si>
  <si>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</si>
  <si>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</si>
  <si>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</si>
  <si>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</si>
  <si>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</si>
  <si>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</si>
  <si>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</si>
  <si>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</si>
  <si>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</si>
  <si>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</si>
  <si>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</si>
  <si>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</si>
  <si>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</si>
  <si>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</si>
  <si>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</si>
  <si>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</si>
  <si>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</si>
  <si>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</si>
  <si>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</si>
  <si>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</si>
  <si>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</si>
  <si>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</si>
  <si>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</si>
  <si>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</si>
  <si>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</si>
  <si>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</si>
  <si>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</si>
  <si>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</si>
  <si>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</si>
  <si>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</si>
  <si>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</si>
  <si>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</si>
  <si>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</si>
  <si>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</si>
  <si>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</si>
  <si>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</si>
  <si>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</si>
  <si>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</si>
  <si>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</si>
  <si>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</si>
  <si>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</si>
  <si>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</si>
  <si>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</si>
  <si>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</si>
  <si>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</si>
  <si>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</si>
  <si>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</si>
  <si>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</si>
  <si>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</si>
  <si>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</si>
  <si>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</si>
  <si>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</si>
  <si>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</si>
  <si>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</si>
  <si>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</si>
  <si>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</si>
  <si>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</si>
  <si>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</si>
  <si>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</si>
  <si>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</si>
  <si>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</si>
  <si>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</si>
  <si>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</si>
  <si>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</si>
  <si>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</si>
  <si>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</si>
  <si>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</si>
  <si>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</si>
  <si>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</si>
  <si>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</si>
  <si>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</si>
  <si>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</si>
  <si>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</si>
  <si>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</si>
  <si>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</si>
  <si>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</si>
  <si>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</si>
  <si>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</si>
  <si>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</si>
  <si>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</si>
  <si>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</si>
  <si>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</si>
  <si>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</si>
  <si>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</si>
  <si>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</si>
  <si>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</si>
  <si>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</si>
  <si>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</si>
  <si>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</si>
  <si>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</si>
  <si>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</si>
  <si>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</si>
  <si>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</si>
  <si>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</si>
  <si>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</si>
  <si>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</si>
  <si>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</si>
  <si>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</si>
  <si>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</si>
  <si>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</si>
  <si>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</si>
  <si>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</si>
  <si>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</si>
  <si>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</si>
  <si>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</si>
  <si>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</si>
  <si>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</si>
  <si>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</si>
  <si>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</si>
  <si>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</si>
  <si>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</si>
  <si>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</si>
  <si>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</si>
  <si>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</si>
  <si>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</si>
  <si>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</si>
  <si>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</si>
  <si>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</si>
  <si>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</si>
  <si>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</si>
  <si>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</si>
  <si>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</si>
  <si>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</si>
  <si>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</si>
  <si>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</si>
  <si>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</si>
  <si>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</si>
  <si>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</si>
  <si>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</si>
  <si>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</si>
  <si>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</si>
  <si>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</si>
  <si>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</si>
  <si>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</si>
  <si>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</si>
  <si>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</si>
  <si>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</si>
  <si>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</si>
  <si>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</si>
  <si>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</si>
  <si>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</si>
  <si>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</si>
  <si>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</si>
  <si>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</si>
  <si>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</si>
  <si>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</si>
  <si>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</si>
  <si>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</si>
  <si>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</si>
  <si>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</si>
  <si>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</si>
  <si>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</si>
  <si>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</si>
  <si>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</si>
  <si>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</si>
  <si>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</si>
  <si>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</si>
  <si>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</si>
  <si>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</si>
  <si>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</si>
  <si>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</si>
  <si>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</si>
  <si>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</si>
  <si>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</si>
  <si>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</si>
  <si>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</si>
  <si>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</si>
  <si>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</si>
  <si>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</si>
  <si>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</si>
  <si>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</si>
  <si>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</si>
  <si>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</si>
  <si>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</si>
  <si>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</si>
  <si>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</si>
  <si>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</si>
  <si>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</si>
  <si>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</si>
  <si>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</si>
  <si>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</si>
  <si>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</si>
  <si>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</si>
  <si>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</si>
  <si>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</si>
  <si>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</si>
  <si>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</si>
  <si>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</si>
  <si>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</si>
  <si>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</si>
  <si>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</si>
  <si>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</si>
  <si>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</si>
  <si>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</si>
  <si>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</si>
  <si>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</si>
  <si>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</si>
  <si>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</si>
  <si>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</si>
  <si>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</si>
  <si>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</si>
  <si>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</si>
  <si>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</si>
  <si>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</si>
  <si>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</si>
  <si>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</si>
  <si>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</si>
  <si>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</si>
  <si>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</si>
  <si>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</si>
  <si>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</si>
  <si>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</si>
  <si>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</si>
  <si>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</si>
  <si>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</si>
  <si>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</si>
  <si>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</si>
  <si>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</si>
  <si>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</si>
  <si>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</si>
  <si>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</si>
  <si>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</si>
  <si>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</si>
  <si>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</si>
  <si>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</si>
  <si>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</si>
  <si>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</si>
  <si>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</si>
  <si>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</si>
  <si>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</si>
  <si>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</si>
  <si>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</si>
  <si>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</si>
  <si>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</si>
  <si>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</si>
  <si>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</si>
  <si>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</si>
  <si>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</si>
  <si>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</si>
  <si>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</si>
  <si>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</si>
  <si>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</si>
  <si>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</si>
  <si>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</si>
  <si>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</si>
  <si>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</si>
  <si>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</si>
  <si>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</si>
  <si>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</si>
  <si>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</si>
  <si>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</si>
  <si>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</si>
  <si>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</si>
  <si>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</si>
  <si>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</si>
  <si>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</si>
  <si>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</si>
  <si>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</si>
  <si>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</si>
  <si>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</si>
  <si>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</si>
  <si>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</si>
  <si>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</si>
  <si>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</si>
  <si>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</si>
  <si>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</si>
  <si>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</si>
  <si>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</si>
  <si>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</si>
  <si>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</si>
  <si>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</si>
  <si>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</si>
  <si>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</si>
  <si>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</si>
  <si>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</si>
  <si>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</si>
  <si>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</si>
  <si>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</si>
  <si>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</si>
  <si>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</si>
  <si>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</si>
  <si>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</si>
  <si>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</si>
  <si>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</si>
  <si>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</si>
  <si>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</si>
  <si>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</si>
  <si>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</si>
  <si>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</si>
  <si>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</si>
  <si>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</si>
  <si>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</si>
  <si>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</si>
  <si>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</si>
  <si>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</si>
  <si>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</si>
  <si>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</si>
  <si>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</si>
  <si>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</si>
  <si>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</si>
  <si>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</si>
  <si>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</si>
  <si>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</si>
  <si>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</si>
  <si>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</si>
  <si>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</si>
  <si>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</si>
  <si>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</si>
  <si>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</si>
  <si>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</si>
  <si>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</si>
  <si>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</si>
  <si>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</si>
  <si>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</si>
  <si>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</si>
  <si>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</si>
  <si>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</si>
  <si>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</si>
  <si>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</si>
  <si>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</si>
  <si>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</si>
  <si>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</si>
  <si>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</si>
  <si>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</si>
  <si>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</si>
  <si>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</si>
  <si>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</si>
  <si>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</si>
  <si>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</si>
  <si>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</si>
  <si>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</si>
  <si>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</si>
  <si>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</si>
  <si>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</si>
  <si>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</si>
  <si>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</si>
  <si>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</si>
  <si>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</si>
  <si>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</si>
  <si>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</si>
  <si>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</si>
  <si>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</si>
  <si>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</si>
  <si>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</si>
  <si>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</si>
  <si>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</si>
  <si>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</si>
  <si>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</si>
  <si>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</si>
  <si>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</si>
  <si>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</si>
  <si>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</si>
  <si>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</si>
  <si>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</si>
  <si>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</si>
  <si>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</si>
  <si>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</si>
  <si>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</si>
  <si>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</si>
  <si>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</si>
  <si>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</si>
  <si>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</si>
  <si>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</si>
  <si>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</si>
  <si>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</si>
  <si>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</si>
  <si>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</si>
  <si>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</si>
  <si>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</si>
  <si>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</si>
  <si>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</si>
  <si>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</si>
  <si>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</si>
  <si>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</si>
  <si>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</si>
  <si>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</si>
  <si>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</si>
  <si>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</si>
  <si>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</si>
  <si>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</si>
  <si>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</si>
  <si>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</si>
  <si>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</si>
  <si>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</si>
  <si>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</si>
  <si>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</si>
  <si>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</si>
  <si>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</si>
  <si>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</si>
  <si>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</si>
  <si>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</si>
  <si>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</si>
  <si>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</si>
  <si>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</si>
  <si>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</si>
  <si>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</si>
  <si>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</si>
  <si>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</si>
  <si>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</si>
  <si>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</si>
  <si>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</si>
  <si>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</si>
  <si>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</si>
  <si>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</si>
  <si>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</si>
  <si>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</si>
  <si>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</si>
  <si>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</si>
  <si>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</si>
  <si>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</si>
  <si>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</si>
  <si>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</si>
  <si>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</si>
  <si>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</si>
  <si>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</si>
  <si>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</si>
  <si>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</si>
  <si>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</si>
  <si>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</si>
  <si>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</si>
  <si>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</si>
  <si>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</si>
  <si>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</si>
  <si>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</si>
  <si>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</si>
  <si>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</si>
  <si>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</si>
  <si>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</si>
  <si>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</si>
  <si>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</si>
  <si>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</si>
  <si>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</si>
  <si>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</si>
  <si>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</si>
  <si>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</si>
  <si>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</si>
  <si>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</si>
  <si>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</si>
  <si>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</si>
  <si>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</si>
  <si>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</si>
  <si>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</si>
  <si>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</si>
  <si>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</si>
  <si>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</si>
  <si>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</si>
  <si>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</si>
  <si>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</si>
  <si>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</si>
  <si>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</si>
  <si>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</si>
  <si>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</si>
  <si>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</si>
  <si>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</si>
  <si>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</si>
  <si>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</si>
  <si>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</si>
  <si>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</si>
  <si>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</si>
  <si>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</si>
  <si>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</si>
  <si>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</si>
  <si>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</si>
  <si>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</si>
  <si>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</si>
  <si>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</si>
  <si>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</si>
  <si>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</si>
  <si>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</si>
  <si>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</si>
  <si>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</si>
  <si>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</si>
  <si>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</si>
  <si>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</si>
  <si>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</si>
  <si>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</si>
  <si>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</si>
  <si>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</si>
  <si>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</si>
  <si>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</si>
  <si>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</si>
  <si>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</si>
  <si>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</si>
  <si>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</si>
  <si>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</si>
  <si>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</si>
  <si>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</si>
  <si>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</si>
  <si>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</si>
  <si>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</si>
  <si>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</si>
  <si>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</si>
  <si>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</si>
  <si>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</si>
  <si>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</si>
  <si>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</si>
  <si>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</si>
  <si>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</si>
  <si>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</si>
  <si>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</si>
  <si>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</si>
  <si>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</si>
  <si>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</si>
  <si>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</si>
  <si>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</si>
  <si>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</si>
  <si>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</si>
  <si>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</si>
  <si>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</si>
  <si>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</si>
  <si>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</si>
  <si>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</si>
  <si>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</si>
  <si>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</si>
  <si>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</si>
  <si>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</si>
  <si>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</si>
  <si>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</si>
  <si>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</si>
  <si>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</si>
  <si>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</si>
  <si>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</si>
  <si>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</si>
  <si>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</si>
  <si>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</si>
  <si>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</si>
  <si>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</si>
  <si>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</si>
  <si>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</si>
  <si>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</si>
  <si>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</si>
  <si>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</si>
  <si>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</si>
  <si>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</si>
  <si>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</si>
  <si>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</si>
  <si>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</si>
  <si>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</si>
  <si>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</si>
  <si>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</si>
  <si>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</si>
  <si>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</si>
  <si>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</si>
  <si>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</si>
  <si>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</si>
  <si>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</si>
  <si>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</si>
  <si>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</si>
  <si>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</si>
  <si>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</si>
  <si>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</si>
  <si>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</si>
  <si>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</si>
  <si>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</si>
  <si>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</si>
  <si>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</si>
  <si>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</si>
  <si>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</si>
  <si>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</si>
  <si>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</si>
  <si>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</si>
  <si>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</si>
  <si>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</si>
  <si>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</si>
  <si>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</si>
  <si>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</si>
  <si>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</si>
  <si>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</si>
  <si>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</si>
  <si>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</si>
  <si>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</si>
  <si>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</si>
  <si>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</si>
  <si>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</si>
  <si>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</si>
  <si>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</si>
  <si>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</si>
  <si>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</si>
  <si>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</si>
  <si>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</si>
  <si>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</si>
  <si>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</si>
  <si>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</si>
  <si>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</si>
  <si>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</si>
  <si>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</si>
  <si>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</si>
  <si>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</si>
  <si>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</si>
  <si>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</si>
  <si>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</si>
  <si>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</si>
  <si>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</si>
  <si>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</si>
  <si>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</si>
  <si>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</si>
  <si>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</si>
  <si>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</si>
  <si>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</si>
  <si>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</si>
  <si>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</si>
  <si>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</si>
  <si>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</si>
  <si>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</si>
  <si>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</si>
  <si>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</si>
  <si>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</si>
  <si>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</si>
  <si>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</si>
  <si>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</si>
  <si>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</si>
  <si>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</si>
  <si>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</si>
  <si>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</si>
  <si>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</si>
  <si>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</si>
  <si>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</si>
  <si>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</si>
  <si>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</si>
  <si>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</si>
  <si>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</si>
  <si>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</si>
  <si>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</si>
  <si>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</si>
  <si>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</si>
  <si>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</si>
  <si>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</si>
  <si>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</si>
  <si>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</si>
  <si>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</si>
  <si>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</si>
  <si>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</si>
  <si>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</si>
  <si>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</si>
  <si>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</si>
  <si>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</si>
  <si>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</si>
  <si>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</si>
  <si>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</si>
  <si>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</si>
  <si>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</si>
  <si>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</si>
  <si>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</si>
  <si>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</si>
  <si>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</si>
  <si>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</si>
  <si>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</si>
  <si>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</si>
  <si>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</si>
  <si>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</si>
  <si>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</si>
  <si>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</si>
  <si>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</si>
  <si>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</si>
  <si>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</si>
  <si>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</si>
  <si>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</si>
  <si>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</si>
  <si>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</si>
  <si>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</si>
  <si>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</si>
  <si>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</si>
  <si>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</si>
  <si>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</si>
  <si>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</si>
  <si>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</si>
  <si>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</si>
  <si>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</si>
  <si>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</si>
  <si>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</si>
  <si>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</si>
  <si>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</si>
  <si>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</si>
  <si>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</si>
  <si>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</si>
  <si>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</si>
  <si>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</si>
  <si>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</si>
  <si>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</si>
  <si>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</si>
  <si>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</si>
  <si>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</si>
  <si>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</si>
  <si>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</si>
  <si>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</si>
  <si>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</si>
  <si>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</si>
  <si>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</si>
  <si>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</si>
  <si>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</si>
  <si>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</si>
  <si>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</si>
  <si>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</si>
  <si>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</si>
  <si>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</si>
  <si>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</si>
  <si>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</si>
  <si>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</si>
  <si>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</si>
  <si>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</si>
  <si>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</si>
  <si>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</si>
  <si>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</si>
  <si>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</si>
  <si>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</si>
  <si>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</si>
  <si>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</si>
  <si>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</si>
  <si>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</si>
  <si>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</si>
  <si>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</si>
  <si>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</si>
  <si>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</si>
  <si>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</si>
  <si>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</si>
  <si>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</si>
  <si>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</si>
  <si>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</si>
  <si>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</si>
  <si>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</si>
  <si>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</si>
  <si>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</si>
  <si>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</si>
  <si>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</si>
  <si>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</si>
  <si>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</si>
  <si>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</si>
  <si>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</si>
  <si>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</si>
  <si>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</si>
  <si>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</si>
  <si>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</si>
  <si>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</si>
  <si>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</si>
  <si>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</si>
  <si>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</si>
  <si>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</si>
  <si>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</si>
  <si>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</si>
  <si>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</si>
  <si>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</si>
  <si>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</si>
  <si>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</si>
  <si>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</si>
  <si>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</si>
  <si>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</si>
  <si>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</si>
  <si>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</si>
  <si>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</si>
  <si>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</si>
  <si>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</si>
  <si>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</si>
  <si>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</si>
  <si>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</si>
  <si>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</si>
  <si>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</si>
  <si>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</si>
  <si>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</si>
  <si>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</si>
  <si>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</si>
  <si>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</si>
  <si>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</si>
  <si>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</si>
  <si>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</si>
  <si>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</si>
  <si>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</si>
  <si>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</si>
  <si>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</si>
  <si>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</si>
  <si>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</si>
  <si>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</si>
  <si>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</si>
  <si>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</si>
  <si>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</si>
  <si>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</si>
  <si>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</si>
  <si>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</si>
  <si>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</si>
  <si>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</si>
  <si>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</si>
  <si>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</si>
  <si>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</si>
  <si>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</si>
  <si>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</si>
  <si>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</si>
  <si>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</si>
  <si>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</si>
  <si>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</si>
  <si>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</si>
  <si>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</si>
  <si>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</si>
  <si>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</si>
  <si>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</si>
  <si>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</si>
  <si>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</si>
  <si>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</si>
  <si>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</si>
  <si>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</si>
  <si>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</si>
  <si>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</si>
  <si>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</si>
  <si>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</si>
  <si>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</si>
  <si>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</si>
  <si>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</si>
  <si>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</si>
  <si>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</si>
  <si>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</si>
  <si>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</si>
  <si>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</si>
  <si>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</si>
  <si>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</si>
  <si>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</si>
  <si>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</si>
  <si>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</si>
  <si>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</si>
  <si>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</si>
  <si>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</si>
  <si>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</si>
  <si>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</si>
  <si>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</si>
  <si>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</si>
  <si>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</si>
  <si>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</si>
  <si>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</si>
  <si>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</si>
  <si>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</si>
  <si>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</si>
  <si>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</si>
  <si>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</si>
  <si>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</si>
  <si>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</si>
  <si>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</si>
  <si>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</si>
  <si>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</si>
  <si>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</si>
  <si>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</si>
  <si>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</si>
  <si>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</si>
  <si>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</si>
  <si>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</si>
  <si>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</si>
  <si>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</si>
  <si>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</si>
  <si>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</si>
  <si>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</si>
  <si>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</si>
  <si>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</si>
  <si>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</si>
  <si>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</si>
  <si>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</si>
  <si>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</si>
  <si>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</si>
  <si>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</si>
  <si>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</si>
  <si>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</si>
  <si>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</si>
  <si>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</si>
  <si>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</si>
  <si>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</si>
  <si>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</si>
  <si>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</si>
  <si>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</si>
  <si>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</si>
  <si>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</si>
  <si>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</si>
  <si>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</si>
  <si>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</si>
  <si>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</si>
  <si>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</si>
  <si>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</si>
  <si>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</si>
  <si>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</si>
  <si>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</si>
  <si>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</si>
  <si>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</si>
  <si>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</si>
  <si>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</si>
  <si>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</si>
  <si>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</si>
  <si>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</si>
  <si>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</si>
  <si>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</si>
  <si>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</si>
  <si>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</si>
  <si>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</si>
  <si>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</si>
  <si>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</si>
  <si>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</si>
  <si>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</si>
  <si>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</si>
  <si>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</si>
  <si>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</si>
  <si>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</si>
  <si>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</si>
  <si>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</si>
  <si>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</si>
  <si>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</si>
  <si>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</si>
  <si>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</si>
  <si>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</si>
  <si>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</si>
  <si>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</si>
  <si>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</si>
  <si>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</si>
  <si>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</si>
  <si>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</si>
  <si>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</si>
  <si>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</si>
  <si>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</si>
  <si>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</si>
  <si>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</si>
  <si>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</si>
  <si>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</si>
  <si>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</si>
  <si>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</si>
  <si>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</si>
  <si>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</si>
  <si>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</si>
  <si>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</si>
  <si>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</si>
  <si>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</si>
  <si>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</si>
  <si>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</si>
  <si>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</si>
  <si>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</si>
  <si>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</si>
  <si>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</si>
  <si>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</si>
  <si>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</si>
  <si>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</si>
  <si>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</si>
  <si>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</si>
  <si>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</si>
  <si>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</si>
  <si>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</si>
  <si>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</si>
  <si>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</si>
  <si>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</si>
  <si>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</si>
  <si>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</si>
  <si>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</si>
  <si>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</si>
  <si>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</si>
  <si>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</si>
  <si>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</si>
  <si>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</si>
  <si>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</si>
  <si>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</si>
  <si>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</si>
  <si>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</si>
  <si>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</si>
  <si>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</si>
  <si>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</si>
  <si>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</si>
  <si>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</si>
  <si>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</si>
  <si>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</si>
  <si>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</si>
  <si>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</si>
  <si>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</si>
  <si>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</si>
  <si>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</si>
  <si>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</si>
  <si>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</si>
  <si>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</si>
  <si>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</si>
  <si>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</si>
  <si>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</si>
  <si>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</si>
  <si>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</si>
  <si>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</si>
  <si>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</si>
  <si>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</si>
  <si>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</si>
  <si>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</si>
  <si>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</si>
  <si>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</si>
  <si>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</si>
  <si>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</si>
  <si>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</si>
  <si>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</si>
  <si>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</si>
  <si>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</si>
  <si>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</si>
  <si>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</si>
  <si>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</si>
  <si>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</si>
  <si>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</si>
  <si>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</si>
  <si>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</si>
  <si>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</si>
  <si>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</si>
  <si>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</si>
  <si>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</si>
  <si>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</si>
  <si>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</si>
  <si>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</si>
  <si>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</si>
  <si>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</si>
  <si>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</si>
  <si>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</si>
  <si>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</si>
  <si>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</si>
  <si>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</si>
  <si>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</si>
  <si>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</si>
  <si>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</si>
  <si>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</si>
  <si>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</si>
  <si>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</si>
  <si>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</si>
  <si>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</si>
  <si>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</si>
  <si>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</si>
  <si>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</si>
  <si>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</si>
  <si>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</si>
  <si>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</si>
  <si>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</si>
  <si>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</si>
  <si>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</si>
  <si>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</si>
  <si>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</si>
  <si>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</si>
  <si>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</si>
  <si>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</si>
  <si>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</si>
  <si>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</si>
  <si>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</si>
  <si>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</si>
  <si>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</si>
  <si>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</si>
  <si>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</si>
  <si>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</si>
  <si>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</si>
  <si>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</si>
  <si>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</si>
  <si>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</si>
  <si>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</si>
  <si>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</si>
  <si>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</si>
  <si>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</si>
  <si>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</si>
  <si>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</si>
  <si>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</si>
  <si>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</si>
  <si>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</si>
  <si>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</si>
  <si>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</si>
  <si>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</si>
  <si>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</si>
  <si>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</si>
  <si>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</si>
  <si>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</si>
  <si>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</si>
  <si>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</si>
  <si>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</si>
  <si>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</si>
  <si>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</si>
  <si>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</si>
  <si>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</si>
  <si>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</si>
  <si>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</si>
  <si>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</si>
  <si>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</si>
  <si>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</si>
  <si>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</si>
  <si>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</si>
  <si>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</si>
  <si>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</si>
  <si>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</si>
  <si>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</si>
  <si>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</si>
  <si>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</si>
  <si>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</si>
  <si>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</si>
  <si>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</si>
  <si>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</si>
  <si>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</si>
  <si>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</si>
  <si>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</si>
  <si>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</si>
  <si>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</si>
  <si>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</si>
  <si>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</si>
  <si>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</si>
  <si>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</si>
  <si>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</si>
  <si>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</si>
  <si>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</si>
  <si>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</si>
  <si>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</si>
  <si>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</si>
  <si>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</si>
  <si>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</si>
  <si>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</si>
  <si>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</si>
  <si>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</si>
  <si>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</si>
  <si>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</si>
  <si>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</si>
  <si>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</si>
  <si>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</si>
  <si>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</si>
  <si>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</si>
  <si>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</si>
  <si>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</si>
  <si>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</si>
  <si>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</si>
  <si>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</si>
  <si>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</si>
  <si>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</si>
  <si>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</si>
  <si>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</si>
  <si>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</si>
  <si>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</si>
  <si>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</si>
  <si>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</si>
  <si>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</si>
  <si>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</si>
  <si>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</si>
  <si>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</si>
  <si>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</si>
  <si>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</si>
  <si>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</si>
  <si>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</si>
  <si>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</si>
  <si>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</si>
  <si>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</si>
  <si>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</si>
  <si>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</si>
  <si>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</si>
  <si>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</si>
  <si>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</si>
  <si>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</si>
  <si>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</si>
  <si>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</si>
  <si>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</si>
  <si>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</si>
  <si>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</si>
  <si>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</si>
  <si>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</si>
  <si>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</si>
  <si>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</si>
  <si>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</si>
  <si>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</si>
  <si>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</si>
  <si>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</si>
  <si>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</si>
  <si>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</si>
  <si>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</si>
  <si>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</si>
  <si>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</si>
  <si>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</si>
  <si>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</si>
  <si>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</si>
  <si>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</si>
  <si>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</si>
  <si>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</si>
  <si>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</si>
  <si>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</si>
  <si>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</si>
  <si>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</si>
  <si>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</si>
  <si>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</si>
  <si>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</si>
  <si>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</si>
  <si>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</si>
  <si>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</si>
  <si>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</si>
  <si>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</si>
  <si>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</si>
  <si>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</si>
  <si>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</si>
  <si>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</si>
  <si>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</si>
  <si>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</si>
  <si>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</si>
  <si>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</si>
  <si>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</si>
  <si>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</si>
  <si>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</si>
  <si>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</si>
  <si>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</si>
  <si>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</si>
  <si>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</si>
  <si>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</si>
  <si>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</si>
  <si>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</si>
  <si>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</si>
  <si>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</si>
  <si>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</si>
  <si>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</si>
  <si>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</si>
  <si>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</si>
  <si>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</si>
  <si>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</si>
  <si>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</si>
  <si>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</si>
  <si>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</si>
  <si>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</si>
  <si>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</si>
  <si>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</si>
  <si>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</si>
  <si>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</si>
  <si>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</si>
  <si>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</si>
  <si>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</si>
  <si>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</si>
  <si>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</si>
  <si>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</si>
  <si>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</si>
  <si>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</si>
  <si>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</si>
  <si>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</si>
  <si>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</si>
  <si>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</si>
  <si>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</si>
  <si>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</si>
  <si>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</si>
  <si>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</si>
  <si>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</si>
  <si>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</si>
  <si>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</si>
  <si>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</si>
  <si>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</si>
  <si>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</si>
  <si>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</si>
  <si>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</si>
  <si>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</si>
  <si>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</si>
  <si>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</si>
  <si>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</si>
  <si>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</si>
  <si>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</si>
  <si>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</si>
  <si>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</si>
  <si>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</si>
  <si>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</si>
  <si>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</si>
  <si>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</si>
  <si>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</si>
  <si>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</si>
  <si>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</si>
  <si>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</si>
  <si>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</si>
  <si>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</si>
  <si>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</si>
  <si>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</si>
  <si>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</si>
  <si>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</si>
  <si>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</si>
  <si>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</si>
  <si>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</si>
  <si>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</si>
  <si>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</si>
  <si>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</si>
  <si>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</si>
  <si>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</si>
  <si>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</si>
  <si>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</si>
  <si>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</si>
  <si>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</si>
  <si>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</si>
  <si>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</si>
  <si>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</si>
  <si>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</si>
  <si>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</si>
  <si>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</si>
  <si>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</si>
  <si>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</si>
  <si>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</si>
  <si>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</si>
  <si>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</si>
  <si>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</si>
  <si>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</si>
  <si>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</si>
  <si>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</si>
  <si>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</si>
  <si>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</si>
  <si>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</si>
  <si>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</si>
  <si>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</si>
  <si>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</si>
  <si>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</si>
  <si>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</si>
  <si>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</si>
  <si>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</si>
  <si>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</si>
  <si>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</si>
  <si>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</si>
  <si>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</si>
  <si>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</si>
  <si>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</si>
  <si>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</si>
  <si>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</si>
  <si>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</si>
  <si>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</si>
  <si>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</si>
  <si>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</si>
  <si>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</si>
  <si>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</si>
  <si>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</si>
  <si>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</si>
  <si>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</si>
  <si>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</si>
  <si>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</si>
  <si>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</si>
  <si>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</si>
  <si>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</si>
  <si>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</si>
  <si>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</si>
  <si>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</si>
  <si>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</si>
  <si>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</si>
  <si>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</si>
  <si>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</si>
  <si>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</si>
  <si>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</si>
  <si>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</si>
  <si>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</si>
  <si>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</si>
  <si>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</si>
  <si>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</si>
  <si>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</si>
  <si>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</si>
  <si>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</si>
  <si>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</si>
  <si>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</si>
  <si>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</si>
  <si>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</si>
  <si>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</si>
  <si>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</si>
  <si>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</si>
  <si>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</si>
  <si>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</si>
  <si>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</si>
  <si>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</si>
  <si>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</si>
  <si>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</si>
  <si>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</si>
  <si>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</si>
  <si>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</si>
  <si>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</si>
  <si>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</si>
  <si>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</si>
  <si>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</si>
  <si>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</si>
  <si>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</si>
  <si>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</si>
  <si>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</si>
  <si>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</si>
  <si>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</si>
  <si>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</si>
  <si>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</si>
  <si>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</si>
  <si>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</si>
  <si>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</si>
  <si>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</si>
  <si>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</si>
  <si>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</si>
  <si>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</si>
  <si>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</si>
  <si>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</si>
  <si>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</si>
  <si>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</si>
  <si>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</si>
  <si>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</si>
  <si>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</si>
  <si>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</si>
  <si>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</si>
  <si>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</si>
  <si>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</si>
  <si>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</si>
  <si>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</si>
  <si>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</si>
  <si>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</si>
  <si>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</si>
  <si>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</si>
  <si>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</si>
  <si>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</si>
  <si>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</si>
  <si>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</si>
  <si>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</si>
  <si>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</si>
  <si>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</si>
  <si>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</si>
  <si>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</si>
  <si>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</si>
  <si>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</si>
  <si>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</si>
  <si>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</si>
  <si>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</si>
  <si>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</si>
  <si>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</si>
  <si>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</si>
  <si>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</si>
  <si>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</si>
  <si>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</si>
  <si>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</si>
  <si>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</si>
  <si>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</si>
  <si>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</si>
  <si>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</si>
  <si>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</si>
  <si>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</si>
  <si>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</si>
  <si>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</si>
  <si>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</si>
  <si>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</si>
  <si>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</si>
  <si>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</si>
  <si>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</si>
  <si>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</si>
  <si>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</si>
  <si>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</si>
  <si>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</si>
  <si>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</si>
  <si>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</si>
  <si>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</si>
  <si>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</si>
  <si>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</si>
  <si>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</si>
  <si>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</si>
  <si>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</si>
  <si>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</si>
  <si>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</si>
  <si>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</si>
  <si>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</si>
  <si>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</si>
  <si>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</si>
  <si>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</si>
  <si>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</si>
  <si>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</si>
  <si>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</si>
  <si>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</si>
  <si>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</si>
  <si>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</si>
  <si>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</si>
  <si>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</si>
  <si>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</si>
  <si>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</si>
  <si>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</si>
  <si>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</si>
  <si>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</si>
  <si>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</si>
  <si>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</si>
  <si>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龙湖天街</t>
    <phoneticPr fontId="4" type="noConversion"/>
  </si>
  <si>
    <t>是</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</si>
  <si>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</si>
  <si>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</si>
  <si>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</si>
  <si>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</si>
  <si>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</si>
  <si>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</si>
  <si>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</si>
  <si>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</si>
  <si>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</si>
  <si>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</si>
  <si>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</si>
  <si>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</si>
  <si>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</si>
  <si>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</si>
  <si>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</si>
  <si>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</si>
  <si>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</si>
  <si>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</si>
  <si>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</si>
  <si>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</si>
  <si>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</si>
  <si>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</si>
  <si>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</si>
  <si>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</si>
  <si>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</si>
  <si>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</si>
  <si>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</si>
  <si>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</si>
  <si>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</si>
  <si>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</si>
  <si>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</si>
  <si>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</si>
  <si>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</si>
  <si>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</si>
  <si>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</si>
  <si>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</si>
  <si>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</si>
  <si>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</si>
  <si>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</si>
  <si>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</si>
  <si>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</si>
  <si>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</si>
  <si>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</si>
  <si>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</si>
  <si>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</si>
  <si>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受让单位</t>
  </si>
  <si>
    <t>拿地企业</t>
  </si>
  <si>
    <t>北京市房山区窦店镇高端制造业基地06街区01地块FS00-DD06-0018、0019、0023、0024地块F3其他类多功能用地</t>
  </si>
  <si>
    <t>商业/办公用地</t>
  </si>
  <si>
    <t>房山区</t>
  </si>
  <si>
    <t>窦店</t>
  </si>
  <si>
    <t>房山区窦店镇、良乡镇</t>
  </si>
  <si>
    <t>京土储挂(房)[2023]013号</t>
  </si>
  <si>
    <t>fs00-dd06-0018、0019容积率1.6;0023、0024容积率2.5</t>
  </si>
  <si>
    <t>挂牌</t>
  </si>
  <si>
    <t>F3其他类多功能用地</t>
  </si>
  <si>
    <t>40%</t>
  </si>
  <si>
    <t>30、45</t>
  </si>
  <si>
    <t>已开工</t>
  </si>
  <si>
    <t>2023-05-08</t>
  </si>
  <si>
    <t>2023-05-29</t>
  </si>
  <si>
    <t>2023-06-12</t>
  </si>
  <si>
    <t>已成交</t>
  </si>
  <si>
    <t>商业40年办公50年</t>
  </si>
  <si>
    <t>2星</t>
  </si>
  <si>
    <t>北京京东方医院有限公司</t>
  </si>
  <si>
    <t>京东方科技集团股份有限公司</t>
  </si>
  <si>
    <t>七通一平</t>
    <phoneticPr fontId="135" type="noConversion"/>
  </si>
  <si>
    <t>大兴区西红门镇集体经营性建设用地2号地2-002A地块</t>
  </si>
  <si>
    <t>大兴区</t>
  </si>
  <si>
    <t>西红门</t>
  </si>
  <si>
    <t>西红门镇</t>
  </si>
  <si>
    <t>京规自集使挂(兴)[2023]002号</t>
  </si>
  <si>
    <t>F81集体产业用地</t>
  </si>
  <si>
    <t>2023-02-21</t>
  </si>
  <si>
    <t>2023-03-12</t>
  </si>
  <si>
    <t>2023-03-27</t>
  </si>
  <si>
    <t>4星</t>
  </si>
  <si>
    <t>电建智汇(北京)运营管理有限公司</t>
  </si>
  <si>
    <t>中国中信股份有限公司,中国电建集团中南勘测设计研究院有限公司,中国电建集团贵阳勘测设计研究院有限公司,中国电力建设股份有限公司</t>
  </si>
  <si>
    <t>三通一平</t>
    <phoneticPr fontId="135" type="noConversion"/>
  </si>
  <si>
    <t>北京大兴国际机场临空经济区DX12-0105-6103地块S5加油加气站(加氢站)用地</t>
  </si>
  <si>
    <t>榆垡</t>
  </si>
  <si>
    <t>大兴区礼贤镇</t>
  </si>
  <si>
    <t>京土储挂(兴临空)[2022]072号</t>
  </si>
  <si>
    <t>≤0.4</t>
  </si>
  <si>
    <t>S5加油加气站(加氢站)用地</t>
  </si>
  <si>
    <t>2022-12-16</t>
  </si>
  <si>
    <t>2023-01-05</t>
  </si>
  <si>
    <t>2023-01-19</t>
  </si>
  <si>
    <t>商业40年</t>
  </si>
  <si>
    <t>空气(北京)氢能科技有限公司</t>
  </si>
  <si>
    <t>北京经济技术开发区亦庄新城0303街区C14C-3地块F3其他类多功能用地</t>
  </si>
  <si>
    <t>北京经济技术开发区亦庄新城0303街区C14C-3地块</t>
  </si>
  <si>
    <t>京土储挂(开)[2022]039号</t>
  </si>
  <si>
    <t>≤5.0</t>
  </si>
  <si>
    <t>≤40</t>
  </si>
  <si>
    <t>2022-05-20</t>
  </si>
  <si>
    <t>2022-06-09</t>
  </si>
  <si>
    <t>2022-06-23</t>
  </si>
  <si>
    <t>商业40*年、办公*50*年</t>
  </si>
  <si>
    <t>3星</t>
  </si>
  <si>
    <t>北京京东昆岳科技产业创新发展有限公司</t>
  </si>
  <si>
    <t>北京大兴国际机场临空经济区*DX12-0105-6006、6009*地块F3其他类多功能用地</t>
  </si>
  <si>
    <t>礼贤</t>
  </si>
  <si>
    <t>京土储挂(兴临空)[2022]020号</t>
  </si>
  <si>
    <t>≤2.2</t>
  </si>
  <si>
    <t>2022-03-28</t>
  </si>
  <si>
    <t>2022-04-18</t>
  </si>
  <si>
    <t>2022-04-29</t>
  </si>
  <si>
    <t>北京新航城建设实业发展有限公司</t>
  </si>
  <si>
    <t>北京新航城控股有限公司</t>
  </si>
  <si>
    <t>北京大兴国际机场临空经济区(北京部分)0205街区DX09-0103-0205地块B4综合性商业金融服务业用地</t>
  </si>
  <si>
    <t>大兴区榆垡镇</t>
  </si>
  <si>
    <t>京土储挂(兴临空)[2022]019号</t>
  </si>
  <si>
    <t>B4综合性商业金融服务业用地</t>
  </si>
  <si>
    <t>≤45%</t>
  </si>
  <si>
    <t>24米</t>
  </si>
  <si>
    <t>2022-01-26</t>
  </si>
  <si>
    <t>2022-02-15</t>
  </si>
  <si>
    <t>2022-03-01</t>
  </si>
  <si>
    <t>40年</t>
  </si>
  <si>
    <t>北京经济技术开发区亦庄新城0902街区JG01-07地块F3其他类多功能用地</t>
  </si>
  <si>
    <t>旧宫</t>
  </si>
  <si>
    <t>北京经济技术开发区亦庄新城0902街区JG01-07</t>
  </si>
  <si>
    <t>京土整储挂(开)[2021]099号</t>
  </si>
  <si>
    <t>2021-12-31</t>
  </si>
  <si>
    <t>2022-01-20</t>
  </si>
  <si>
    <t>2022-02-08</t>
  </si>
  <si>
    <t>商业40年、办公50年</t>
  </si>
  <si>
    <t>中国太平洋人寿保险股份有限公司</t>
  </si>
  <si>
    <t>五通一平</t>
    <phoneticPr fontId="135" type="noConversion"/>
  </si>
  <si>
    <t>北京市大兴区黄村镇DX00-0201-6001地块B14旅馆用地</t>
  </si>
  <si>
    <t>林校路街道</t>
  </si>
  <si>
    <t>大兴区黄村镇</t>
  </si>
  <si>
    <t>京土整储挂(兴)[2021]089号</t>
  </si>
  <si>
    <t>B14旅馆用地</t>
  </si>
  <si>
    <t>第三批</t>
  </si>
  <si>
    <t>已竣工</t>
  </si>
  <si>
    <t>2021-11-19</t>
  </si>
  <si>
    <t>2021-12-10</t>
  </si>
  <si>
    <t>2021-12-24</t>
  </si>
  <si>
    <t>北京大兴宾馆有限责任公司</t>
  </si>
  <si>
    <t>北京兴创投资有限公司</t>
  </si>
  <si>
    <t>分摊土地面积</t>
    <phoneticPr fontId="135" type="noConversion"/>
  </si>
  <si>
    <t>测绘分层</t>
    <phoneticPr fontId="135" type="noConversion"/>
  </si>
  <si>
    <t>建筑面积</t>
    <phoneticPr fontId="135" type="noConversion"/>
  </si>
  <si>
    <t>房地产价值</t>
    <phoneticPr fontId="135" type="noConversion"/>
  </si>
  <si>
    <t>楼面单价</t>
    <phoneticPr fontId="135" type="noConversion"/>
  </si>
  <si>
    <t>建筑面积（含人防）</t>
    <phoneticPr fontId="135" type="noConversion"/>
  </si>
  <si>
    <t>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</si>
  <si>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</si>
  <si>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</si>
  <si>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</si>
  <si>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</si>
  <si>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</si>
  <si>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</si>
  <si>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</si>
  <si>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</si>
  <si>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</si>
  <si>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</si>
  <si>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</si>
  <si>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</si>
  <si>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</si>
  <si>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</si>
  <si>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</si>
  <si>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</si>
  <si>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</si>
  <si>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</si>
  <si>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</si>
  <si>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</si>
  <si>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</si>
  <si>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</si>
  <si>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</si>
  <si>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</si>
  <si>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</si>
  <si>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</si>
  <si>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</si>
  <si>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</si>
  <si>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</si>
  <si>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</si>
  <si>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</si>
  <si>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</si>
  <si>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</si>
  <si>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</si>
  <si>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t>附属机房层</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</si>
  <si>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</si>
  <si>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</si>
  <si>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</si>
  <si>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</si>
  <si>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</si>
  <si>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</si>
  <si>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</si>
  <si>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</si>
  <si>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</si>
  <si>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</si>
  <si>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</si>
  <si>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</si>
  <si>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</si>
  <si>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</si>
  <si>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</si>
  <si>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</si>
  <si>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</si>
  <si>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</si>
  <si>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</si>
  <si>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</si>
  <si>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</si>
  <si>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</si>
  <si>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</si>
  <si>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</si>
  <si>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</si>
  <si>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</si>
  <si>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t>差值</t>
    <phoneticPr fontId="135" type="noConversion"/>
  </si>
  <si>
    <r>
      <t>-</t>
    </r>
    <r>
      <rPr>
        <sz val="11"/>
        <color theme="1"/>
        <rFont val="宋体"/>
        <family val="3"/>
        <charset val="134"/>
        <scheme val="minor"/>
      </rPr>
      <t>1124</t>
    </r>
    <phoneticPr fontId="135" type="noConversion"/>
  </si>
  <si>
    <t>地下一层商业</t>
    <phoneticPr fontId="135" type="noConversion"/>
  </si>
  <si>
    <r>
      <t>-</t>
    </r>
    <r>
      <rPr>
        <sz val="11"/>
        <color theme="1"/>
        <rFont val="宋体"/>
        <family val="3"/>
        <charset val="134"/>
        <scheme val="minor"/>
      </rPr>
      <t>1125</t>
    </r>
    <r>
      <rPr>
        <sz val="11"/>
        <color theme="1"/>
        <rFont val="宋体"/>
        <family val="2"/>
        <charset val="134"/>
        <scheme val="minor"/>
      </rPr>
      <t/>
    </r>
  </si>
  <si>
    <t>2层</t>
    <phoneticPr fontId="135" type="noConversion"/>
  </si>
  <si>
    <t>地下二层商业</t>
    <phoneticPr fontId="135" type="noConversion"/>
  </si>
  <si>
    <r>
      <t>-</t>
    </r>
    <r>
      <rPr>
        <sz val="11"/>
        <color theme="1"/>
        <rFont val="宋体"/>
        <family val="3"/>
        <charset val="134"/>
        <scheme val="minor"/>
      </rPr>
      <t>1126</t>
    </r>
    <r>
      <rPr>
        <sz val="11"/>
        <color theme="1"/>
        <rFont val="宋体"/>
        <family val="2"/>
        <charset val="134"/>
        <scheme val="minor"/>
      </rPr>
      <t/>
    </r>
  </si>
  <si>
    <t>3层</t>
    <phoneticPr fontId="135" type="noConversion"/>
  </si>
  <si>
    <t>地下车库</t>
    <phoneticPr fontId="135" type="noConversion"/>
  </si>
  <si>
    <r>
      <t>-</t>
    </r>
    <r>
      <rPr>
        <sz val="11"/>
        <color theme="1"/>
        <rFont val="宋体"/>
        <family val="3"/>
        <charset val="134"/>
        <scheme val="minor"/>
      </rPr>
      <t>1144</t>
    </r>
    <phoneticPr fontId="135" type="noConversion"/>
  </si>
  <si>
    <t>4层</t>
    <phoneticPr fontId="135" type="noConversion"/>
  </si>
  <si>
    <r>
      <t>-</t>
    </r>
    <r>
      <rPr>
        <sz val="11"/>
        <color theme="1"/>
        <rFont val="宋体"/>
        <family val="3"/>
        <charset val="134"/>
        <scheme val="minor"/>
      </rPr>
      <t>1145</t>
    </r>
    <phoneticPr fontId="135" type="noConversion"/>
  </si>
  <si>
    <t>5层</t>
    <phoneticPr fontId="135" type="noConversion"/>
  </si>
  <si>
    <r>
      <t>-</t>
    </r>
    <r>
      <rPr>
        <sz val="11"/>
        <color theme="1"/>
        <rFont val="宋体"/>
        <family val="3"/>
        <charset val="134"/>
        <scheme val="minor"/>
      </rPr>
      <t>1146</t>
    </r>
    <phoneticPr fontId="135" type="noConversion"/>
  </si>
  <si>
    <t>6层</t>
    <phoneticPr fontId="135" type="noConversion"/>
  </si>
  <si>
    <t>-3层合计</t>
    <phoneticPr fontId="135" type="noConversion"/>
  </si>
  <si>
    <t>地下商业</t>
    <phoneticPr fontId="135" type="noConversion"/>
  </si>
  <si>
    <r>
      <t>-</t>
    </r>
    <r>
      <rPr>
        <sz val="11"/>
        <color theme="1"/>
        <rFont val="宋体"/>
        <family val="3"/>
        <charset val="134"/>
        <scheme val="minor"/>
      </rPr>
      <t>2层</t>
    </r>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</si>
  <si>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</si>
  <si>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</si>
  <si>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</si>
  <si>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</si>
  <si>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</si>
  <si>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</si>
  <si>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</si>
  <si>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</si>
  <si>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</si>
  <si>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</si>
  <si>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</si>
  <si>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</si>
  <si>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</si>
  <si>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</si>
  <si>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</si>
  <si>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</si>
  <si>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</si>
  <si>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</si>
  <si>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</si>
  <si>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</si>
  <si>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</si>
  <si>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</si>
  <si>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</si>
  <si>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</si>
  <si>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</si>
  <si>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</si>
  <si>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</si>
  <si>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</si>
  <si>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</si>
  <si>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</si>
  <si>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</si>
  <si>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</si>
  <si>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</si>
  <si>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</si>
  <si>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</si>
  <si>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</si>
  <si>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</si>
  <si>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</si>
  <si>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</si>
  <si>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</si>
  <si>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</si>
  <si>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</si>
  <si>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</si>
  <si>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</si>
  <si>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</si>
  <si>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</si>
  <si>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</si>
  <si>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</si>
  <si>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</si>
  <si>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</si>
  <si>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</si>
  <si>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</si>
  <si>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</si>
  <si>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</si>
  <si>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</si>
  <si>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</si>
  <si>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</si>
  <si>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</si>
  <si>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</si>
  <si>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</si>
  <si>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</si>
  <si>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</si>
  <si>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</si>
  <si>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</si>
  <si>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</si>
  <si>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</si>
  <si>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</si>
  <si>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</si>
  <si>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</si>
  <si>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</si>
  <si>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</si>
  <si>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</si>
  <si>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</si>
  <si>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</si>
  <si>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</si>
  <si>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</si>
  <si>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</si>
  <si>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</si>
  <si>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</si>
  <si>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</si>
  <si>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</si>
  <si>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</si>
  <si>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</si>
  <si>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</si>
  <si>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</si>
  <si>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</si>
  <si>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</si>
  <si>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</si>
  <si>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</si>
  <si>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</si>
  <si>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</si>
  <si>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</si>
  <si>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</si>
  <si>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</si>
  <si>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</si>
  <si>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</si>
  <si>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</si>
  <si>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</si>
  <si>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</si>
  <si>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</si>
  <si>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</si>
  <si>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</si>
  <si>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</si>
  <si>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</si>
  <si>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</si>
  <si>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</si>
  <si>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</si>
  <si>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</si>
  <si>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</si>
  <si>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</si>
  <si>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</si>
  <si>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</si>
  <si>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</si>
  <si>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</si>
  <si>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</si>
  <si>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</si>
  <si>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</si>
  <si>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</si>
  <si>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</si>
  <si>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</si>
  <si>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</si>
  <si>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</si>
  <si>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</si>
  <si>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</si>
  <si>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</si>
  <si>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</si>
  <si>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</si>
  <si>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</si>
  <si>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</si>
  <si>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</si>
  <si>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</si>
  <si>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</si>
  <si>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</si>
  <si>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</si>
  <si>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</si>
  <si>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</si>
  <si>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</si>
  <si>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</si>
  <si>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</si>
  <si>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</si>
  <si>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</si>
  <si>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</si>
  <si>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</si>
  <si>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</si>
  <si>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</si>
  <si>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</si>
  <si>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</si>
  <si>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</si>
  <si>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</si>
  <si>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</si>
  <si>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</si>
  <si>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</si>
  <si>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</si>
  <si>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</si>
  <si>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</si>
  <si>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</si>
  <si>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</si>
  <si>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</si>
  <si>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</si>
  <si>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</si>
  <si>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</si>
  <si>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</si>
  <si>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</si>
  <si>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</si>
  <si>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</si>
  <si>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</si>
  <si>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</si>
  <si>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</si>
  <si>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</si>
  <si>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</si>
  <si>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</si>
  <si>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</si>
  <si>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</si>
  <si>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</si>
  <si>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</si>
  <si>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</si>
  <si>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</si>
  <si>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</si>
  <si>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</si>
  <si>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</si>
  <si>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</si>
  <si>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</si>
  <si>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</si>
  <si>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</si>
  <si>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</si>
  <si>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</si>
  <si>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</si>
  <si>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</si>
  <si>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</si>
  <si>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</si>
  <si>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</si>
  <si>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</si>
  <si>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</si>
  <si>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</si>
  <si>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</si>
  <si>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</si>
  <si>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</si>
  <si>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</si>
  <si>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</si>
  <si>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</si>
  <si>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</si>
  <si>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</si>
  <si>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</si>
  <si>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</si>
  <si>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</si>
  <si>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</si>
  <si>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</si>
  <si>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</si>
  <si>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</si>
  <si>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</si>
  <si>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</si>
  <si>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</si>
  <si>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</si>
  <si>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</si>
  <si>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</si>
  <si>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</si>
  <si>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</si>
  <si>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</si>
  <si>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</si>
  <si>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</si>
  <si>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</si>
  <si>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</si>
  <si>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</si>
  <si>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</si>
  <si>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</si>
  <si>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</si>
  <si>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</si>
  <si>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</si>
  <si>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</si>
  <si>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</si>
  <si>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</si>
  <si>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</si>
  <si>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</si>
  <si>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</si>
  <si>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</si>
  <si>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</si>
  <si>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</si>
  <si>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</si>
  <si>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</si>
  <si>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</si>
  <si>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</si>
  <si>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</si>
  <si>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</si>
  <si>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</si>
  <si>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</si>
  <si>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</si>
  <si>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</si>
  <si>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</si>
  <si>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</si>
  <si>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</si>
  <si>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</si>
  <si>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</si>
  <si>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</si>
  <si>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</si>
  <si>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</si>
  <si>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</si>
  <si>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</si>
  <si>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</si>
  <si>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</si>
  <si>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</si>
  <si>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</si>
  <si>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</si>
  <si>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</si>
  <si>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</si>
  <si>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</si>
  <si>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</si>
  <si>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</si>
  <si>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</si>
  <si>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</si>
  <si>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</si>
  <si>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</si>
  <si>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</si>
  <si>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</si>
  <si>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</si>
  <si>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</si>
  <si>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</si>
  <si>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</si>
  <si>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</si>
  <si>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</si>
  <si>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</si>
  <si>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</si>
  <si>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</si>
  <si>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</si>
  <si>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</si>
  <si>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</si>
  <si>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</si>
  <si>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</si>
  <si>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</si>
  <si>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</si>
  <si>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</si>
  <si>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</si>
  <si>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</si>
  <si>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</si>
  <si>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</si>
  <si>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</si>
  <si>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</si>
  <si>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</si>
  <si>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</si>
  <si>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</si>
  <si>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</si>
  <si>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</si>
  <si>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</si>
  <si>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</si>
  <si>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</si>
  <si>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</si>
  <si>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</si>
  <si>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</si>
  <si>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</si>
  <si>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</si>
  <si>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</si>
  <si>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</si>
  <si>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r>
      <rPr>
        <sz val="11"/>
        <color theme="1"/>
        <rFont val="宋体"/>
        <family val="2"/>
        <charset val="134"/>
      </rPr>
      <t>项目类型</t>
    </r>
    <phoneticPr fontId="248" type="noConversion"/>
  </si>
  <si>
    <t>购物中心</t>
    <phoneticPr fontId="248" type="noConversion"/>
  </si>
  <si>
    <r>
      <rPr>
        <sz val="11"/>
        <color theme="1"/>
        <rFont val="宋体"/>
        <family val="2"/>
        <charset val="134"/>
      </rPr>
      <t>建筑类型</t>
    </r>
    <phoneticPr fontId="248" type="noConversion"/>
  </si>
  <si>
    <t>多层</t>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</si>
  <si>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</si>
  <si>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</si>
  <si>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</si>
  <si>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</si>
  <si>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</si>
  <si>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</si>
  <si>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</si>
  <si>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</si>
  <si>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</si>
  <si>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</si>
  <si>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</si>
  <si>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</si>
  <si>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</si>
  <si>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</si>
  <si>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</si>
  <si>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成新度</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</si>
  <si>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</si>
  <si>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</si>
  <si>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</si>
  <si>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</si>
  <si>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</si>
  <si>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</si>
  <si>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五级</t>
    <phoneticPr fontId="4" type="noConversion"/>
  </si>
  <si>
    <t>六级</t>
    <phoneticPr fontId="4" type="noConversion"/>
  </si>
  <si>
    <t>七级</t>
    <phoneticPr fontId="4" type="noConversion"/>
  </si>
  <si>
    <t>较规则</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</si>
  <si>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</si>
  <si>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</si>
  <si>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</si>
  <si>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</si>
  <si>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</si>
  <si>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</si>
  <si>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</si>
  <si>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正常</t>
  </si>
  <si>
    <t>B4</t>
  </si>
  <si>
    <t>F81</t>
  </si>
  <si>
    <t xml:space="preserve">F3 </t>
  </si>
  <si>
    <t xml:space="preserve">B14 </t>
  </si>
  <si>
    <t>自持限制</t>
    <phoneticPr fontId="31" type="noConversion"/>
  </si>
  <si>
    <r>
      <t>40%</t>
    </r>
    <r>
      <rPr>
        <sz val="11"/>
        <color indexed="8"/>
        <rFont val="宋体"/>
        <family val="3"/>
        <charset val="134"/>
      </rPr>
      <t>商业永久自持</t>
    </r>
    <phoneticPr fontId="31" type="noConversion"/>
  </si>
  <si>
    <t>无自持</t>
    <phoneticPr fontId="31" type="noConversion"/>
  </si>
  <si>
    <t>较好</t>
  </si>
  <si>
    <t>一般</t>
  </si>
  <si>
    <t>七通</t>
  </si>
  <si>
    <t>较规则</t>
  </si>
  <si>
    <t>较适宜</t>
  </si>
  <si>
    <t>三通</t>
  </si>
  <si>
    <t>五通</t>
  </si>
  <si>
    <t>自定义容积率</t>
  </si>
  <si>
    <t>不临65条商业街</t>
  </si>
  <si>
    <t>与级别开发程度一致</t>
  </si>
  <si>
    <t>Ⅶ-房1</t>
  </si>
  <si>
    <t>未包含在土地购买价格中</t>
  </si>
  <si>
    <t>全部缴纳</t>
  </si>
  <si>
    <t>已包含在土地取得成本中</t>
  </si>
  <si>
    <t>押一</t>
  </si>
  <si>
    <t>钢混</t>
  </si>
  <si>
    <t>非生产用房</t>
  </si>
  <si>
    <t>否</t>
  </si>
  <si>
    <t>中心城区以外</t>
  </si>
  <si>
    <t>成本比率</t>
  </si>
  <si>
    <t>ZS2023112010288</t>
  </si>
  <si>
    <t>ZS2023111610096</t>
  </si>
  <si>
    <t>ZS2023111010014</t>
  </si>
  <si>
    <t>ZS2023110910022</t>
  </si>
  <si>
    <t>ZS2023110710210</t>
  </si>
  <si>
    <t>ZS2023110710161</t>
  </si>
  <si>
    <t>ZS2023110610020</t>
  </si>
  <si>
    <t>ZS2023110310042</t>
  </si>
  <si>
    <t>ZS2023110310036</t>
  </si>
  <si>
    <t>ZS2023110310019</t>
  </si>
  <si>
    <t>ZS2023110310007</t>
  </si>
  <si>
    <t>ZS2023102510050</t>
  </si>
  <si>
    <t>ZS2023102410022</t>
  </si>
  <si>
    <t>ZS2023102410010</t>
  </si>
  <si>
    <t>ZS2023102310206</t>
  </si>
  <si>
    <t>ZS2023101910187</t>
  </si>
  <si>
    <t>ZS2023101810075</t>
  </si>
  <si>
    <t>ZS2023101610142</t>
  </si>
  <si>
    <t>ZS2023101310150</t>
  </si>
  <si>
    <t>ZS2023101210125</t>
  </si>
  <si>
    <t>ZS2023100810019</t>
  </si>
  <si>
    <t>ZS2023092710017</t>
  </si>
  <si>
    <t>ZS2023092610050</t>
  </si>
  <si>
    <t>ZS2023092510124</t>
  </si>
  <si>
    <t>ZS2023092510041</t>
  </si>
  <si>
    <t>ZS2023092510024</t>
  </si>
  <si>
    <t>ZS2023092110180</t>
  </si>
  <si>
    <t>ZS2023092010157</t>
  </si>
  <si>
    <t>ZS2023091810074</t>
  </si>
  <si>
    <t>ZS2023091510144</t>
  </si>
  <si>
    <t>ZS2023091410204</t>
  </si>
  <si>
    <t>ZS2023091310110</t>
  </si>
  <si>
    <t>ZS2023090810051</t>
  </si>
  <si>
    <t>ZS2023090810043</t>
  </si>
  <si>
    <t>ZS2023090810036</t>
  </si>
  <si>
    <t>ZS2023090710050</t>
  </si>
  <si>
    <t>ZS2023090710049</t>
  </si>
  <si>
    <t>ZS2023090610197</t>
  </si>
  <si>
    <t>ZS2023090610062</t>
  </si>
  <si>
    <t>ZS2023090510098</t>
  </si>
  <si>
    <t>ZS2023090510067</t>
  </si>
  <si>
    <t>ZS2023090510048</t>
  </si>
  <si>
    <t>ZS2023090410161</t>
  </si>
  <si>
    <t>ZS2023090410160</t>
  </si>
  <si>
    <t>ZS2023090410106</t>
  </si>
  <si>
    <t>ZS2023083110055</t>
  </si>
  <si>
    <t>ZS2023083010233</t>
  </si>
  <si>
    <t>ZS2023082910159</t>
  </si>
  <si>
    <t>ZS2023082810321</t>
  </si>
  <si>
    <t>ZS2023082710020</t>
  </si>
  <si>
    <t>ZS2023082510393</t>
  </si>
  <si>
    <t>ZS2023082510335</t>
  </si>
  <si>
    <t>ZS2023082510191</t>
  </si>
  <si>
    <t>ZS2023082510131</t>
  </si>
  <si>
    <t>ZS2023082510094</t>
  </si>
  <si>
    <t>ZS2023082310331</t>
  </si>
  <si>
    <t>ZS2023082310326</t>
  </si>
  <si>
    <t>ZS2023082310099</t>
  </si>
  <si>
    <t>ZS2023082210222</t>
  </si>
  <si>
    <t>ZS2023082110105</t>
  </si>
  <si>
    <t>ZS2023081810091</t>
  </si>
  <si>
    <t>ZS2023081810046</t>
  </si>
  <si>
    <t>ZS2023081710201</t>
  </si>
  <si>
    <t>ZS2023081710156</t>
  </si>
  <si>
    <t>ZS2023081710148</t>
  </si>
  <si>
    <t>ZS2023081710147</t>
  </si>
  <si>
    <t>ZS2023081710137</t>
  </si>
  <si>
    <t>ZS2023081710037</t>
  </si>
  <si>
    <t>ZS2023081710026</t>
  </si>
  <si>
    <t>ZS2023081510249</t>
  </si>
  <si>
    <t>ZS2023081510049</t>
  </si>
  <si>
    <t>ZS2023081410212</t>
  </si>
  <si>
    <t>ZS2023081410159</t>
  </si>
  <si>
    <t>ZS2023081410152</t>
  </si>
  <si>
    <t>ZS2023081010037</t>
  </si>
  <si>
    <t>ZS2023080910022</t>
  </si>
  <si>
    <t>ZS2023080810074</t>
  </si>
  <si>
    <t>ZS2023080710067</t>
  </si>
  <si>
    <t>ZS2023080410068</t>
  </si>
  <si>
    <t>ZS2023080110152</t>
  </si>
  <si>
    <t>ZS2023072810127</t>
  </si>
  <si>
    <t>ZS2023072810103</t>
  </si>
  <si>
    <t>ZS2023072510006</t>
  </si>
  <si>
    <t>ZS2023072010154</t>
  </si>
  <si>
    <t>ZS2023071810100</t>
  </si>
  <si>
    <t>ZS2023071710054</t>
  </si>
  <si>
    <t>ZS2023071110065</t>
  </si>
  <si>
    <t>ZS2023070910012</t>
  </si>
  <si>
    <t>ZS2023070610129</t>
  </si>
  <si>
    <t>ZS2023070610050</t>
  </si>
  <si>
    <t>ZS2023070410144</t>
  </si>
  <si>
    <t>ZS2023070310102</t>
  </si>
  <si>
    <t>ZS2023062910093</t>
  </si>
  <si>
    <t>ZS2023062810227</t>
  </si>
  <si>
    <t>ZS2023062810075</t>
  </si>
  <si>
    <t>ZS2023062510021</t>
  </si>
  <si>
    <t>ZS2023061410167</t>
  </si>
  <si>
    <t>ZS2023061410012</t>
  </si>
  <si>
    <t>ZS2023060710064</t>
  </si>
  <si>
    <t>ZS2023052410244</t>
  </si>
  <si>
    <t>ZS2023052410100</t>
  </si>
  <si>
    <t>ZS2023052410050</t>
  </si>
  <si>
    <t>ZS2023052310096</t>
  </si>
  <si>
    <t>ZS2023052310036</t>
  </si>
  <si>
    <t>ZS2023052210177</t>
  </si>
  <si>
    <t>ZS2023051910070</t>
  </si>
  <si>
    <t>ZS2023051610160</t>
  </si>
  <si>
    <t>ZS2023051610057</t>
  </si>
  <si>
    <t>ZS2023051510098</t>
  </si>
  <si>
    <t>ZS2023051210129</t>
  </si>
  <si>
    <t>ZS2023051210020</t>
  </si>
  <si>
    <t>ZS2023051110047</t>
  </si>
  <si>
    <t>ZS2023050510025</t>
  </si>
  <si>
    <t>ZS2023050410077</t>
  </si>
  <si>
    <t>2020050813409</t>
  </si>
  <si>
    <t>2020041413055</t>
  </si>
  <si>
    <t>2019091710387</t>
  </si>
  <si>
    <t>2019091210341</t>
  </si>
  <si>
    <t>2019091210316</t>
  </si>
  <si>
    <t>202308090010</t>
  </si>
  <si>
    <t>202308080013</t>
  </si>
  <si>
    <t>202308070028</t>
  </si>
  <si>
    <t>202308070025</t>
  </si>
  <si>
    <t>202308070022</t>
  </si>
  <si>
    <t>202308070021</t>
  </si>
  <si>
    <t>202308070018</t>
  </si>
  <si>
    <t>202308040019</t>
  </si>
  <si>
    <t>202308040010</t>
  </si>
  <si>
    <t>202307270005</t>
  </si>
  <si>
    <t>202307240019</t>
  </si>
  <si>
    <t>202307200013</t>
  </si>
  <si>
    <t>202307180019</t>
  </si>
  <si>
    <t>202307180017</t>
  </si>
  <si>
    <t>202307180015</t>
  </si>
  <si>
    <t>202307180007</t>
  </si>
  <si>
    <t>202307170009</t>
  </si>
  <si>
    <t>202307170007</t>
  </si>
  <si>
    <t>202307170006</t>
  </si>
  <si>
    <t>202307170002</t>
  </si>
  <si>
    <t>202307130012</t>
  </si>
  <si>
    <t>202307040015</t>
  </si>
  <si>
    <t>202307040010</t>
  </si>
  <si>
    <t>202307040007</t>
  </si>
  <si>
    <t>202307040006</t>
  </si>
  <si>
    <t>202307040005</t>
  </si>
  <si>
    <t>202307040004</t>
  </si>
  <si>
    <t>202306300009</t>
  </si>
  <si>
    <t>202306290007</t>
  </si>
  <si>
    <t>202306270006</t>
  </si>
  <si>
    <t>202306270005</t>
  </si>
  <si>
    <t>202306080013</t>
  </si>
  <si>
    <t>202306080004</t>
  </si>
  <si>
    <t>202305230025</t>
  </si>
  <si>
    <t>202305190019</t>
  </si>
  <si>
    <t>202305170013</t>
  </si>
  <si>
    <t>202305170011</t>
  </si>
  <si>
    <t>202305170006</t>
  </si>
  <si>
    <t>202305160002</t>
  </si>
  <si>
    <t>202305150007</t>
  </si>
  <si>
    <t>202305110018</t>
  </si>
  <si>
    <t>202305080006</t>
  </si>
  <si>
    <t>202304240069</t>
  </si>
  <si>
    <t>202304190034</t>
  </si>
  <si>
    <t>202304180059</t>
  </si>
  <si>
    <t>202304180013</t>
  </si>
  <si>
    <t>202304140074</t>
  </si>
  <si>
    <t>202304130046</t>
  </si>
  <si>
    <t>202304100054</t>
  </si>
  <si>
    <t>202304100052</t>
  </si>
  <si>
    <t>202304070008</t>
  </si>
  <si>
    <t>202304040047</t>
  </si>
  <si>
    <t>202304030009</t>
  </si>
  <si>
    <t>202303300082</t>
  </si>
  <si>
    <t>202303290074</t>
  </si>
  <si>
    <t>202303290055</t>
  </si>
  <si>
    <t>202303290052</t>
  </si>
  <si>
    <t>202303270118</t>
  </si>
  <si>
    <t>202303240040</t>
  </si>
  <si>
    <t>202303230063</t>
  </si>
  <si>
    <t>202303220017</t>
  </si>
  <si>
    <t>202303210081</t>
  </si>
  <si>
    <t>202303210052</t>
  </si>
  <si>
    <t>202303200105</t>
  </si>
  <si>
    <t>202303170069</t>
  </si>
  <si>
    <t>202303170032</t>
  </si>
  <si>
    <t>202303160025</t>
  </si>
  <si>
    <t>202303150031</t>
  </si>
  <si>
    <t>202303140058</t>
  </si>
  <si>
    <t>202303080018</t>
  </si>
  <si>
    <t>202303020046</t>
  </si>
  <si>
    <t>202303020038</t>
  </si>
  <si>
    <t>202302220018</t>
  </si>
  <si>
    <t>202302190009</t>
  </si>
  <si>
    <t>202302100031</t>
  </si>
  <si>
    <t>202302100013</t>
  </si>
  <si>
    <t>202302070043</t>
  </si>
  <si>
    <t>202302070029</t>
  </si>
  <si>
    <t>202302020019</t>
  </si>
  <si>
    <t>202301060015</t>
  </si>
  <si>
    <t>202301060007</t>
  </si>
  <si>
    <t>202301050032</t>
  </si>
  <si>
    <t>202301050031</t>
  </si>
  <si>
    <t>202212270014</t>
  </si>
  <si>
    <t>202212260043</t>
  </si>
  <si>
    <t>202212070021</t>
  </si>
  <si>
    <t>202211220008</t>
  </si>
  <si>
    <t>202211180023</t>
  </si>
  <si>
    <t>202211170035</t>
  </si>
  <si>
    <t>202211160048</t>
  </si>
  <si>
    <t>202211160025</t>
  </si>
  <si>
    <t>202211140041</t>
  </si>
  <si>
    <t>202211110060</t>
  </si>
  <si>
    <t>202211110019</t>
  </si>
  <si>
    <t>202211080011</t>
  </si>
  <si>
    <t>202211040064</t>
  </si>
  <si>
    <t>202211040037</t>
  </si>
  <si>
    <t>202210310035</t>
  </si>
  <si>
    <t>202210250078</t>
  </si>
  <si>
    <t>202210210053</t>
  </si>
  <si>
    <t>202210190026</t>
  </si>
  <si>
    <t>202210140017</t>
  </si>
  <si>
    <t>202210140007</t>
  </si>
  <si>
    <t>202210090012</t>
  </si>
  <si>
    <t>202210080035</t>
  </si>
  <si>
    <t>202209290035</t>
  </si>
  <si>
    <t>202209280037</t>
  </si>
  <si>
    <t>202209270045</t>
  </si>
  <si>
    <t>202209210030</t>
  </si>
  <si>
    <t>202209210018</t>
  </si>
  <si>
    <t>202209200070</t>
  </si>
  <si>
    <t>202209150017</t>
  </si>
  <si>
    <t>202209140092</t>
  </si>
  <si>
    <t>202209140088</t>
  </si>
  <si>
    <t>202209080047</t>
  </si>
  <si>
    <t>202209060036</t>
  </si>
  <si>
    <t>202208300075</t>
  </si>
  <si>
    <t>202208290053</t>
  </si>
  <si>
    <t>202208250028</t>
  </si>
  <si>
    <t>202208240080</t>
  </si>
  <si>
    <t>202208230047</t>
  </si>
  <si>
    <t>202208230027</t>
  </si>
  <si>
    <t>202208170045</t>
  </si>
  <si>
    <t>202208160016</t>
  </si>
  <si>
    <t>202208150054</t>
  </si>
  <si>
    <t>202208150042</t>
  </si>
  <si>
    <t>202208150023</t>
  </si>
  <si>
    <t>202208110051</t>
  </si>
  <si>
    <t>202208110028</t>
  </si>
  <si>
    <t>202208100067</t>
  </si>
  <si>
    <t>202208100064</t>
  </si>
  <si>
    <t>202208090046</t>
  </si>
  <si>
    <t>202208080069</t>
  </si>
  <si>
    <t>202208080028</t>
  </si>
  <si>
    <t>202208060016</t>
  </si>
  <si>
    <t>202208030064</t>
  </si>
  <si>
    <t>202208030018</t>
  </si>
  <si>
    <t>202208020056</t>
  </si>
  <si>
    <t>202208020048</t>
  </si>
  <si>
    <t>202208010069</t>
  </si>
  <si>
    <t>202208010023</t>
  </si>
  <si>
    <t>202207290086</t>
  </si>
  <si>
    <t>202207290076</t>
  </si>
  <si>
    <t>202207290028</t>
  </si>
  <si>
    <t>202207280052</t>
  </si>
  <si>
    <t>202207270004</t>
  </si>
  <si>
    <t>202207260003</t>
  </si>
  <si>
    <t>202207250095</t>
  </si>
  <si>
    <t>202207250092</t>
  </si>
  <si>
    <t>202207250063</t>
  </si>
  <si>
    <t>202207210073</t>
  </si>
  <si>
    <t>202207190046</t>
  </si>
  <si>
    <t>202207180061</t>
  </si>
  <si>
    <t>202207180055</t>
  </si>
  <si>
    <t>202207150085</t>
  </si>
  <si>
    <t>202207130053</t>
  </si>
  <si>
    <t>202207120060</t>
  </si>
  <si>
    <t>202207120002</t>
  </si>
  <si>
    <t>202207110075</t>
  </si>
  <si>
    <t>202207080038</t>
  </si>
  <si>
    <t>202207080016</t>
  </si>
  <si>
    <t>202207070048</t>
  </si>
  <si>
    <t>202207070009</t>
  </si>
  <si>
    <t>202207060063</t>
  </si>
  <si>
    <t>202207060038</t>
  </si>
  <si>
    <t>202207060037</t>
  </si>
  <si>
    <t>202207060022</t>
  </si>
  <si>
    <t>202207060015</t>
  </si>
  <si>
    <t>202207060010</t>
  </si>
  <si>
    <t>202207010043</t>
  </si>
  <si>
    <t>202206290045</t>
  </si>
  <si>
    <t>202206270003</t>
  </si>
  <si>
    <t>202206230076</t>
  </si>
  <si>
    <t>202206230075</t>
  </si>
  <si>
    <t>202206220052</t>
  </si>
  <si>
    <t>202206220044</t>
  </si>
  <si>
    <t>202206210021</t>
  </si>
  <si>
    <t>202206200049</t>
  </si>
  <si>
    <t>202206170081</t>
  </si>
  <si>
    <t>202206170063</t>
  </si>
  <si>
    <t>202206170016</t>
  </si>
  <si>
    <t>202206160043</t>
  </si>
  <si>
    <t>202206140023</t>
  </si>
  <si>
    <t>202206130065</t>
  </si>
  <si>
    <t>202206070048</t>
  </si>
  <si>
    <t>202206020034</t>
  </si>
  <si>
    <t>202206010023</t>
  </si>
  <si>
    <t>202205310008</t>
  </si>
  <si>
    <t>202205300073</t>
  </si>
  <si>
    <t>202205270008</t>
  </si>
  <si>
    <t>202205200051</t>
  </si>
  <si>
    <t>202205200032</t>
  </si>
  <si>
    <t>202205160043</t>
  </si>
  <si>
    <t>202205120085</t>
  </si>
  <si>
    <t>202205120057</t>
  </si>
  <si>
    <t>202205120030</t>
  </si>
  <si>
    <t>202205110015</t>
  </si>
  <si>
    <t>202205090021</t>
  </si>
  <si>
    <t>202205070080</t>
  </si>
  <si>
    <t>202205070022</t>
  </si>
  <si>
    <t>202205050024</t>
  </si>
  <si>
    <t>202204270016</t>
  </si>
  <si>
    <t>202204250073</t>
  </si>
  <si>
    <t>202204220091</t>
  </si>
  <si>
    <t>202204120006</t>
  </si>
  <si>
    <t>202204110057</t>
  </si>
  <si>
    <t>202204020019</t>
  </si>
  <si>
    <t>202203310031</t>
  </si>
  <si>
    <t>202203300074</t>
  </si>
  <si>
    <t>202203290062</t>
  </si>
  <si>
    <t>202203290023</t>
  </si>
  <si>
    <t>202203280108</t>
  </si>
  <si>
    <t>202203280080</t>
  </si>
  <si>
    <t>202203250032</t>
  </si>
  <si>
    <t>202203240057</t>
  </si>
  <si>
    <t>202203220067</t>
  </si>
  <si>
    <t>202203220061</t>
  </si>
  <si>
    <t>202203210028</t>
  </si>
  <si>
    <t>202203160043</t>
  </si>
  <si>
    <t>202203150073</t>
  </si>
  <si>
    <t>202203100095</t>
  </si>
  <si>
    <t>202203100088</t>
  </si>
  <si>
    <t>202203100042</t>
  </si>
  <si>
    <t>202203090074</t>
  </si>
  <si>
    <t>202203080035</t>
  </si>
  <si>
    <t>202203030063</t>
  </si>
  <si>
    <t>202203020007</t>
  </si>
  <si>
    <t>202202160002</t>
  </si>
  <si>
    <t>202202150011</t>
  </si>
  <si>
    <t>202202140039</t>
  </si>
  <si>
    <t>202202140022</t>
  </si>
  <si>
    <t>202202140005</t>
  </si>
  <si>
    <t>202202090013</t>
  </si>
  <si>
    <t>202202070041</t>
  </si>
  <si>
    <t>202201170062</t>
  </si>
  <si>
    <t>202201120062</t>
  </si>
  <si>
    <t>202201070066</t>
  </si>
  <si>
    <t>202201050061</t>
  </si>
  <si>
    <t>202112270008</t>
  </si>
  <si>
    <t>202112200037</t>
  </si>
  <si>
    <t>202112100065</t>
  </si>
  <si>
    <t>202112070037</t>
  </si>
  <si>
    <t>202111290056</t>
  </si>
  <si>
    <t>202111230063</t>
  </si>
  <si>
    <t>202111180087</t>
  </si>
  <si>
    <t>202111120014</t>
  </si>
  <si>
    <t>202111110104</t>
  </si>
  <si>
    <t>202111110040</t>
  </si>
  <si>
    <t>202110140072</t>
  </si>
  <si>
    <t>202110120120</t>
  </si>
  <si>
    <t>202109290135</t>
  </si>
  <si>
    <t>202109170017</t>
  </si>
  <si>
    <t>202108240032</t>
  </si>
  <si>
    <t>202108200094</t>
  </si>
  <si>
    <t>202108190200</t>
  </si>
  <si>
    <t>202108190130</t>
  </si>
  <si>
    <t>202108180151</t>
  </si>
  <si>
    <t>202108130083</t>
  </si>
  <si>
    <t>202108100143</t>
  </si>
  <si>
    <t>202108100120</t>
  </si>
  <si>
    <t>202108030140</t>
  </si>
  <si>
    <t>202107280177</t>
  </si>
  <si>
    <t>202107270177</t>
  </si>
  <si>
    <t>202107270176</t>
  </si>
  <si>
    <t>202107260044</t>
  </si>
  <si>
    <t>202107260027</t>
  </si>
  <si>
    <t>202107190169</t>
  </si>
  <si>
    <t>202107150046</t>
  </si>
  <si>
    <t>202107080027</t>
  </si>
  <si>
    <t>202107010049</t>
  </si>
  <si>
    <t>202107010008</t>
  </si>
  <si>
    <t>202106230163</t>
  </si>
  <si>
    <t>202106230014</t>
  </si>
  <si>
    <t>202106220022</t>
  </si>
  <si>
    <t>202106210040</t>
  </si>
  <si>
    <t>202106210038</t>
  </si>
  <si>
    <t>202106210032</t>
  </si>
  <si>
    <t>202106150112</t>
  </si>
  <si>
    <t>202106100115</t>
  </si>
  <si>
    <t>202106100050</t>
  </si>
  <si>
    <t>202106090064</t>
  </si>
  <si>
    <t>202106010074</t>
  </si>
  <si>
    <t>202105270099</t>
  </si>
  <si>
    <t>202105260004</t>
  </si>
  <si>
    <t>202105170154</t>
  </si>
  <si>
    <t>202105120177</t>
  </si>
  <si>
    <t>202105120047</t>
  </si>
  <si>
    <t>202104270154</t>
  </si>
  <si>
    <t>202104260206</t>
  </si>
  <si>
    <t>202104260128</t>
  </si>
  <si>
    <t>202104200024</t>
  </si>
  <si>
    <t>202104090034</t>
  </si>
  <si>
    <t>202104090029</t>
  </si>
  <si>
    <t>202104060153</t>
  </si>
  <si>
    <t>202104010086</t>
  </si>
  <si>
    <t>202103290029</t>
  </si>
  <si>
    <t>202103190137</t>
  </si>
  <si>
    <t>202103150108</t>
  </si>
  <si>
    <t>202103150080</t>
  </si>
  <si>
    <t>202103150026</t>
  </si>
  <si>
    <t>202103090112</t>
  </si>
  <si>
    <t>202103080156</t>
  </si>
  <si>
    <t>202103030094</t>
  </si>
  <si>
    <t>202103030076</t>
  </si>
  <si>
    <t>202101290112</t>
  </si>
  <si>
    <t>202101080019</t>
  </si>
  <si>
    <t>202101070049</t>
  </si>
  <si>
    <t>202101050019</t>
  </si>
  <si>
    <t>202012220033</t>
  </si>
  <si>
    <t>202011230144</t>
  </si>
  <si>
    <t>202009210019</t>
  </si>
  <si>
    <t>202009100021</t>
  </si>
  <si>
    <t>202008270133</t>
  </si>
  <si>
    <t>202008250163</t>
  </si>
  <si>
    <t>202008200110</t>
  </si>
  <si>
    <t>202008140082</t>
  </si>
  <si>
    <t>202008110166</t>
  </si>
  <si>
    <t>202008100131</t>
  </si>
  <si>
    <t>202008100095</t>
  </si>
  <si>
    <t>202008060105</t>
  </si>
  <si>
    <t>202007280087</t>
  </si>
  <si>
    <t>202007210064</t>
  </si>
  <si>
    <t>202007030045</t>
  </si>
  <si>
    <t>202005290034</t>
  </si>
  <si>
    <t>202005210101</t>
  </si>
  <si>
    <t>202005140108</t>
  </si>
  <si>
    <t>202005140068</t>
  </si>
  <si>
    <t>201908099727</t>
  </si>
  <si>
    <t>201907229468</t>
  </si>
  <si>
    <t>201906179044</t>
  </si>
  <si>
    <t>201807245564</t>
  </si>
  <si>
    <t>201804264809</t>
  </si>
  <si>
    <t>201804234775</t>
  </si>
  <si>
    <t>201804134690</t>
  </si>
  <si>
    <t>201803294563</t>
  </si>
  <si>
    <t>201803214441</t>
  </si>
  <si>
    <t>201803214440</t>
  </si>
  <si>
    <t>201803214428</t>
  </si>
  <si>
    <t>201802094196</t>
  </si>
  <si>
    <t>201802074172</t>
  </si>
  <si>
    <t>201802024158</t>
  </si>
  <si>
    <t>201712273864</t>
  </si>
  <si>
    <t>201712273863</t>
  </si>
  <si>
    <t>201712273860</t>
  </si>
  <si>
    <t>201712273857</t>
  </si>
  <si>
    <t>201712263838</t>
  </si>
  <si>
    <t>201712263827</t>
  </si>
  <si>
    <t>201712253797</t>
  </si>
  <si>
    <t>201712243793</t>
  </si>
  <si>
    <t>201712243792</t>
  </si>
  <si>
    <t>201712203747</t>
  </si>
  <si>
    <t>201712193735</t>
  </si>
  <si>
    <t>201712143705</t>
  </si>
  <si>
    <t>201712133692</t>
  </si>
  <si>
    <t>201712083655</t>
  </si>
  <si>
    <t>201712063598</t>
  </si>
  <si>
    <t>201712043547</t>
  </si>
  <si>
    <t>201711243413</t>
  </si>
  <si>
    <t>201711233383</t>
  </si>
  <si>
    <t>201711163294</t>
  </si>
  <si>
    <t>201711133252</t>
  </si>
  <si>
    <t>201711133243</t>
  </si>
  <si>
    <t>201711103230</t>
  </si>
  <si>
    <t>201711083203</t>
  </si>
  <si>
    <t>201711083201</t>
  </si>
  <si>
    <t>201711073187</t>
  </si>
  <si>
    <t>年收入（万元）</t>
  </si>
  <si>
    <t>合同号</t>
  </si>
  <si>
    <t>房山天街年收入</t>
  </si>
  <si>
    <t>营业额(万元）</t>
  </si>
  <si>
    <t>出租率</t>
  </si>
  <si>
    <t>累计</t>
  </si>
  <si>
    <t>12月</t>
  </si>
  <si>
    <t>11月</t>
  </si>
  <si>
    <t>10月</t>
  </si>
  <si>
    <t>9月</t>
  </si>
  <si>
    <t>8月</t>
  </si>
  <si>
    <t>7月</t>
  </si>
  <si>
    <t>6月</t>
  </si>
  <si>
    <t>5月</t>
  </si>
  <si>
    <t>4月</t>
  </si>
  <si>
    <t>3月</t>
  </si>
  <si>
    <t>2月</t>
  </si>
  <si>
    <t>1月</t>
  </si>
  <si>
    <t>月份</t>
  </si>
  <si>
    <t>北京房山天街2023年出租率及营业额</t>
  </si>
  <si>
    <t>酸奶罐罐</t>
  </si>
  <si>
    <t>野人牧坊</t>
  </si>
  <si>
    <t>思加图</t>
  </si>
  <si>
    <t>派多格</t>
  </si>
  <si>
    <t>大博文飞跃,回力</t>
  </si>
  <si>
    <t>紫涵</t>
  </si>
  <si>
    <t>诗碧曼</t>
  </si>
  <si>
    <t>雅戈尔</t>
  </si>
  <si>
    <t>童真阿呆</t>
  </si>
  <si>
    <t>燕之屋·碗燕,小罐茶</t>
  </si>
  <si>
    <t>艾诺丝雅诗</t>
  </si>
  <si>
    <t>一点点</t>
  </si>
  <si>
    <t>水云间</t>
  </si>
  <si>
    <t>lily</t>
  </si>
  <si>
    <t>古力家</t>
  </si>
  <si>
    <t>波司登</t>
  </si>
  <si>
    <t>馋百妹</t>
  </si>
  <si>
    <t>泡泡玛特</t>
  </si>
  <si>
    <t>慢赏莳光</t>
  </si>
  <si>
    <t>七度银饰7℃</t>
  </si>
  <si>
    <t>井格</t>
  </si>
  <si>
    <t>Vento Teso</t>
  </si>
  <si>
    <t>费大厨</t>
  </si>
  <si>
    <t>火炉火</t>
  </si>
  <si>
    <t>百武西</t>
  </si>
  <si>
    <t>苏小牛牛肉串</t>
  </si>
  <si>
    <t>nordic by nature VERO MODA</t>
  </si>
  <si>
    <t>片断</t>
  </si>
  <si>
    <t>戴维贝拉</t>
  </si>
  <si>
    <t>老银匠</t>
  </si>
  <si>
    <t>兰诺</t>
  </si>
  <si>
    <t>BLUEGLASS</t>
  </si>
  <si>
    <t>蓉京玖格格</t>
  </si>
  <si>
    <t>美人计</t>
  </si>
  <si>
    <t>樊文花</t>
  </si>
  <si>
    <t>匠艺臻品</t>
  </si>
  <si>
    <t>芬狄诗</t>
  </si>
  <si>
    <t>松山棉店</t>
  </si>
  <si>
    <t>彤梦奇</t>
  </si>
  <si>
    <t>彩蛋屋</t>
  </si>
  <si>
    <t>光铄童心</t>
  </si>
  <si>
    <t>艾涂图</t>
  </si>
  <si>
    <t>周生生</t>
  </si>
  <si>
    <t>星粤老广顺德菜</t>
  </si>
  <si>
    <t>周大福</t>
  </si>
  <si>
    <t>乐友</t>
  </si>
  <si>
    <t>Modsfa</t>
  </si>
  <si>
    <t>Teenie Weenie</t>
  </si>
  <si>
    <t>KidSteam</t>
  </si>
  <si>
    <t>娱非凡</t>
  </si>
  <si>
    <t>热风</t>
  </si>
  <si>
    <t>摩安珂</t>
  </si>
  <si>
    <t>my body</t>
  </si>
  <si>
    <t>茶鲜叙</t>
  </si>
  <si>
    <t>丽家宝贝</t>
  </si>
  <si>
    <t>BLUEO</t>
  </si>
  <si>
    <t>水肌后</t>
  </si>
  <si>
    <t>俄士厨房</t>
  </si>
  <si>
    <t>幻走</t>
  </si>
  <si>
    <t>海馬体</t>
  </si>
  <si>
    <t>乐客VR</t>
  </si>
  <si>
    <t>呷哺呷哺</t>
  </si>
  <si>
    <t>夸父</t>
  </si>
  <si>
    <t>希小白</t>
  </si>
  <si>
    <t>PEACEBIRD</t>
  </si>
  <si>
    <t>萨莉亚</t>
  </si>
  <si>
    <t>FILA FUSION</t>
  </si>
  <si>
    <t>科大讯飞</t>
  </si>
  <si>
    <t>憶青春</t>
  </si>
  <si>
    <t>市隐晓居</t>
  </si>
  <si>
    <t>痴毛肚</t>
  </si>
  <si>
    <t>阿布溜溜</t>
  </si>
  <si>
    <t>兰熊</t>
  </si>
  <si>
    <t>唱吧麦颂</t>
  </si>
  <si>
    <t>巴拉巴拉</t>
  </si>
  <si>
    <t>OPPO</t>
  </si>
  <si>
    <t>京娱酷秀</t>
  </si>
  <si>
    <t>The Green Party</t>
  </si>
  <si>
    <t>结绳匠人</t>
  </si>
  <si>
    <t>小朵妹妹</t>
  </si>
  <si>
    <t>斯密特保罗</t>
  </si>
  <si>
    <t>呷多多</t>
  </si>
  <si>
    <t>巧童艺荟</t>
  </si>
  <si>
    <t>宝岛眼镜</t>
  </si>
  <si>
    <t>胖哥俩肉蟹煲</t>
  </si>
  <si>
    <t>越小官</t>
  </si>
  <si>
    <t>遇见小面</t>
  </si>
  <si>
    <t>米村</t>
  </si>
  <si>
    <t>泸溪河</t>
  </si>
  <si>
    <t>珚仓</t>
  </si>
  <si>
    <t>辣哥辣妹</t>
  </si>
  <si>
    <t>Peet's Coffee</t>
  </si>
  <si>
    <t>论牛</t>
  </si>
  <si>
    <t>江博士</t>
  </si>
  <si>
    <t>aojo</t>
  </si>
  <si>
    <t>海澜之家</t>
  </si>
  <si>
    <t>茶话弄</t>
  </si>
  <si>
    <t>KISSCAT</t>
  </si>
  <si>
    <t>束野叁</t>
  </si>
  <si>
    <t>谭木匠</t>
  </si>
  <si>
    <t>英氏</t>
  </si>
  <si>
    <t>追觅</t>
  </si>
  <si>
    <t>椰莱哒</t>
  </si>
  <si>
    <t>周大生</t>
  </si>
  <si>
    <t>九月十</t>
  </si>
  <si>
    <t>辣卤世家</t>
  </si>
  <si>
    <t>NEW BALANCE 1906</t>
  </si>
  <si>
    <t>WAKeN</t>
  </si>
  <si>
    <t>漫果工坊</t>
  </si>
  <si>
    <t>Rookie</t>
  </si>
  <si>
    <t>瑞幸咖啡</t>
  </si>
  <si>
    <t>一麻一辣</t>
  </si>
  <si>
    <t>护童</t>
  </si>
  <si>
    <t>澳脯道香</t>
  </si>
  <si>
    <t>MOFAN</t>
  </si>
  <si>
    <t>南京大牌档</t>
  </si>
  <si>
    <t>KKV</t>
  </si>
  <si>
    <t>喜茶</t>
  </si>
  <si>
    <t>TINDAR</t>
  </si>
  <si>
    <t>香品时光</t>
  </si>
  <si>
    <t>USHI</t>
  </si>
  <si>
    <t>戈美其</t>
  </si>
  <si>
    <t>Darry ring</t>
  </si>
  <si>
    <t>丝域养发</t>
  </si>
  <si>
    <t>梵妳卡波</t>
  </si>
  <si>
    <t>FEEL</t>
  </si>
  <si>
    <t>酷乐潮玩</t>
  </si>
  <si>
    <t>周志萍</t>
  </si>
  <si>
    <t>杰克琼斯</t>
  </si>
  <si>
    <t>奥莉</t>
  </si>
  <si>
    <t>FILA KIDS</t>
  </si>
  <si>
    <t>包小姐与鞋先生</t>
  </si>
  <si>
    <t>美度,天梭</t>
  </si>
  <si>
    <t>六福珠宝</t>
  </si>
  <si>
    <t>百丽</t>
  </si>
  <si>
    <t>伊芙丽</t>
  </si>
  <si>
    <t>哥弟</t>
  </si>
  <si>
    <t>MLB</t>
  </si>
  <si>
    <t>播</t>
  </si>
  <si>
    <t>VANS</t>
  </si>
  <si>
    <t>翠贝卡</t>
  </si>
  <si>
    <t>贾知府</t>
  </si>
  <si>
    <t>阿吉豆</t>
  </si>
  <si>
    <t>绝味</t>
  </si>
  <si>
    <t>森林鸟</t>
  </si>
  <si>
    <t>雙美豆沙牛乳</t>
  </si>
  <si>
    <t>君羿</t>
  </si>
  <si>
    <t>木九十</t>
  </si>
  <si>
    <t>江南布衣</t>
  </si>
  <si>
    <t>小米</t>
  </si>
  <si>
    <t>书亦烧仙草</t>
  </si>
  <si>
    <t>明牌珠宝</t>
  </si>
  <si>
    <t>沙胆彪炭炉牛杂煲</t>
  </si>
  <si>
    <t>布瑞琳</t>
  </si>
  <si>
    <t>华为</t>
  </si>
  <si>
    <t>东风风行</t>
  </si>
  <si>
    <t>祥源茶</t>
  </si>
  <si>
    <t>咏巷</t>
  </si>
  <si>
    <t>D.Phone UP+</t>
  </si>
  <si>
    <t>转转</t>
  </si>
  <si>
    <t>M1&amp;M2</t>
  </si>
  <si>
    <t>中国体育彩票,中国福利彩票</t>
  </si>
  <si>
    <t>Siv RUM</t>
  </si>
  <si>
    <t>触控</t>
  </si>
  <si>
    <t>九牧王</t>
  </si>
  <si>
    <t>梅你不渴</t>
  </si>
  <si>
    <t>举个栗子</t>
  </si>
  <si>
    <t>茉酸奶</t>
  </si>
  <si>
    <t>LUSANLE</t>
  </si>
  <si>
    <t>奥飞欢乐世界,奥飞Q宠</t>
  </si>
  <si>
    <t>伽百利</t>
  </si>
  <si>
    <t>火花线下课堂</t>
  </si>
  <si>
    <t>荣耀</t>
  </si>
  <si>
    <t>LINLEE</t>
  </si>
  <si>
    <t>名见</t>
  </si>
  <si>
    <t>宝贝鱼乐</t>
  </si>
  <si>
    <t>本色塑型</t>
  </si>
  <si>
    <t>老鳯祥</t>
  </si>
  <si>
    <t>英伦</t>
  </si>
  <si>
    <t>满满韩记</t>
  </si>
  <si>
    <t>沪上阿姨</t>
  </si>
  <si>
    <t>小小科学站</t>
  </si>
  <si>
    <t>vivo</t>
  </si>
  <si>
    <t>LOHO COLLECTION</t>
  </si>
  <si>
    <t>CLEANER</t>
  </si>
  <si>
    <t>琦王</t>
  </si>
  <si>
    <t>乐百串</t>
  </si>
  <si>
    <t>村上一屋</t>
  </si>
  <si>
    <t>BOE</t>
  </si>
  <si>
    <t>小愚</t>
  </si>
  <si>
    <t>MONIK</t>
  </si>
  <si>
    <t>迷你特工队超级恐龙力量</t>
  </si>
  <si>
    <t>左庭右院</t>
  </si>
  <si>
    <t>諾魁腸粉</t>
  </si>
  <si>
    <t>洗脸猫</t>
  </si>
  <si>
    <t>美人计,BESWAN</t>
  </si>
  <si>
    <t>恐龙爱迪</t>
  </si>
  <si>
    <t>B.DUCK</t>
  </si>
  <si>
    <t>江边城外烤全鱼</t>
  </si>
  <si>
    <t>奥飞欢乐世界</t>
  </si>
  <si>
    <t>三星</t>
  </si>
  <si>
    <t>悦刻</t>
  </si>
  <si>
    <t>The Sea Life</t>
  </si>
  <si>
    <t>点兵点将</t>
  </si>
  <si>
    <t>鸡柳大人</t>
  </si>
  <si>
    <t>青年公社</t>
  </si>
  <si>
    <t>雪加</t>
  </si>
  <si>
    <t>克徕帝</t>
  </si>
  <si>
    <t>重叠派</t>
  </si>
  <si>
    <t>盈然</t>
  </si>
  <si>
    <t>周六福</t>
  </si>
  <si>
    <t>马博士</t>
  </si>
  <si>
    <t>第壹嘻哈街舞</t>
  </si>
  <si>
    <t>诺琳兰</t>
  </si>
  <si>
    <t>玛丝恩迪</t>
  </si>
  <si>
    <t>Dairy Queen</t>
  </si>
  <si>
    <t>食尖探觅 不负美好食光</t>
  </si>
  <si>
    <t>361°</t>
  </si>
  <si>
    <t>视野</t>
  </si>
  <si>
    <t>鲜果时间</t>
  </si>
  <si>
    <t>很芒の芒</t>
  </si>
  <si>
    <t>见味花甲</t>
  </si>
  <si>
    <t>凝时光</t>
  </si>
  <si>
    <t>好利来</t>
  </si>
  <si>
    <t>小隐春记</t>
  </si>
  <si>
    <t>宝文轩</t>
  </si>
  <si>
    <t>景武堂</t>
  </si>
  <si>
    <t>李宁</t>
  </si>
  <si>
    <t>树.生活</t>
  </si>
  <si>
    <t>述忘</t>
  </si>
  <si>
    <t>糖力</t>
  </si>
  <si>
    <t>玩具和朋友们</t>
  </si>
  <si>
    <t>纤美</t>
  </si>
  <si>
    <t>沃尔沃</t>
  </si>
  <si>
    <t>DW+ Beauty Salon</t>
  </si>
  <si>
    <t>周大福传承</t>
  </si>
  <si>
    <t>阳阳</t>
  </si>
  <si>
    <t>CARA BLUE</t>
  </si>
  <si>
    <t>名创优品</t>
  </si>
  <si>
    <t>鲜芋仙</t>
  </si>
  <si>
    <t>夸特世界</t>
  </si>
  <si>
    <t>安踏</t>
  </si>
  <si>
    <t>撒露</t>
  </si>
  <si>
    <t>LEGO</t>
  </si>
  <si>
    <t>茶百道</t>
  </si>
  <si>
    <t>Dream Room</t>
  </si>
  <si>
    <t>anta kids</t>
  </si>
  <si>
    <t>PANDORA</t>
  </si>
  <si>
    <t>蓝图life</t>
  </si>
  <si>
    <t>文立新</t>
  </si>
  <si>
    <t>子固路拌粉</t>
  </si>
  <si>
    <t>泥小塘</t>
  </si>
  <si>
    <t>悦指间</t>
  </si>
  <si>
    <t>樱湘</t>
  </si>
  <si>
    <t>Mini Peace</t>
  </si>
  <si>
    <t>古田森</t>
  </si>
  <si>
    <t>木屋</t>
  </si>
  <si>
    <t>Plumeria rubra</t>
  </si>
  <si>
    <t>果栗园</t>
  </si>
  <si>
    <t>煲仔皇</t>
  </si>
  <si>
    <t>乐斯国际艺术中心</t>
  </si>
  <si>
    <t>新扎师兄</t>
  </si>
  <si>
    <t>白木黑冰</t>
  </si>
  <si>
    <t>自然堂</t>
  </si>
  <si>
    <t>六桂福</t>
  </si>
  <si>
    <t>毛戈平</t>
  </si>
  <si>
    <t>觅恋</t>
  </si>
  <si>
    <t>西塔老太太</t>
  </si>
  <si>
    <t>陈香贵</t>
  </si>
  <si>
    <t>扑贝卜卜贝</t>
  </si>
  <si>
    <t>松鹤楼苏式汤面</t>
  </si>
  <si>
    <t>Talitaqoom</t>
  </si>
  <si>
    <t>28℃棉</t>
  </si>
  <si>
    <t>KICKS LOUNGE</t>
  </si>
  <si>
    <t>木北</t>
  </si>
  <si>
    <t>禾之鲜回转</t>
  </si>
  <si>
    <t>赞璞</t>
  </si>
  <si>
    <t>麻六记</t>
  </si>
  <si>
    <t>盛世雅歌</t>
  </si>
  <si>
    <t>OVV</t>
  </si>
  <si>
    <t>I.S</t>
  </si>
  <si>
    <t>X kids</t>
  </si>
  <si>
    <t>嗨特购</t>
  </si>
  <si>
    <t>CALZEDONIA</t>
  </si>
  <si>
    <t>INTIMISSIMI</t>
  </si>
  <si>
    <t>Champion</t>
  </si>
  <si>
    <t>美丽衣橱</t>
  </si>
  <si>
    <t>I Do</t>
  </si>
  <si>
    <t>胖馨螺蛳粉</t>
  </si>
  <si>
    <t>LI-NING YOUNG</t>
  </si>
  <si>
    <t>君羿射箭</t>
  </si>
  <si>
    <t>巧奇艺术空间</t>
  </si>
  <si>
    <t>天下丼屋</t>
  </si>
  <si>
    <t>霸蛮</t>
  </si>
  <si>
    <t>文和友</t>
  </si>
  <si>
    <t>小香郎</t>
  </si>
  <si>
    <t>乔丹</t>
  </si>
  <si>
    <t>尚翔国际</t>
  </si>
  <si>
    <t>半天妖</t>
  </si>
  <si>
    <t>九田家</t>
  </si>
  <si>
    <t>弄堂小笼包</t>
  </si>
  <si>
    <t>巴黎贝甜</t>
  </si>
  <si>
    <t>MISS&amp;AJIROU</t>
  </si>
  <si>
    <t>重八牛府</t>
  </si>
  <si>
    <t>太二</t>
  </si>
  <si>
    <t>丝芙兰</t>
  </si>
  <si>
    <t>异时刻</t>
  </si>
  <si>
    <t>卡尔飞车</t>
  </si>
  <si>
    <t>嘎己喃,比格披萨</t>
  </si>
  <si>
    <t>鸿运养生堂</t>
  </si>
  <si>
    <t>欢乐口腔</t>
  </si>
  <si>
    <t>马路边边</t>
  </si>
  <si>
    <t>旺顺阁鱼头泡饼</t>
  </si>
  <si>
    <t>屈臣氏</t>
  </si>
  <si>
    <t>贾国龙,西贝</t>
  </si>
  <si>
    <t>哈根达斯</t>
  </si>
  <si>
    <t>UNIQLO</t>
  </si>
  <si>
    <t>星巴克</t>
  </si>
  <si>
    <t>必胜客</t>
  </si>
  <si>
    <t>海底捞</t>
  </si>
  <si>
    <t>西西弗</t>
  </si>
  <si>
    <t>矢量咖啡</t>
  </si>
  <si>
    <t>新辣道</t>
  </si>
  <si>
    <t>肯德基</t>
  </si>
  <si>
    <t>绿茶</t>
  </si>
  <si>
    <t>耀莱成龙国际影城</t>
  </si>
  <si>
    <t>汉堡王</t>
  </si>
  <si>
    <t>大渔</t>
  </si>
  <si>
    <t>西十二街</t>
  </si>
  <si>
    <t>URBAN REVIVO（UR）</t>
  </si>
  <si>
    <t>慢电生活</t>
  </si>
  <si>
    <t>永辉超市</t>
  </si>
  <si>
    <t>滔搏运动</t>
  </si>
  <si>
    <t>计划结束日期</t>
  </si>
  <si>
    <t>开始日期</t>
  </si>
  <si>
    <t>合同面积</t>
  </si>
  <si>
    <t>品牌名称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</si>
</sst>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
      <b/>
      <sz val="11"/>
      <color theme="0"/>
      <name val="微软雅黑"/>
      <family val="2"/>
      <charset val="134"/>
    </font>
    <font>
      <b/>
      <sz val="14"/>
      <color theme="0"/>
      <name val="微软雅黑"/>
      <family val="2"/>
      <charset val="134"/>
    </font>
    <font>
      <sz val="11"/>
      <color theme="1"/>
      <name val="微软雅黑"/>
      <family val="2"/>
      <charset val="134"/>
    </font>
    <font>
      <sz val="11"/>
      <color theme="0"/>
      <name val="微软雅黑"/>
      <family val="2"/>
      <charset val="134"/>
    </font>
    <font>
      <b/>
      <sz val="16"/>
      <color theme="0"/>
      <name val="微软雅黑"/>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8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horizontal="center" vertical="center" wrapText="1"/>
      <protection locked="0"/>
    </xf>
    <xf numFmtId="0" fontId="54" fillId="0" borderId="0" xfId="19" applyAlignment="1">
      <alignment horizontal="left" vertical="center"/>
    </xf>
    <xf numFmtId="0" fontId="20" fillId="0" borderId="0" xfId="19" applyFont="1" applyAlignment="1">
      <alignment horizontal="left" vertical="center"/>
    </xf>
    <xf numFmtId="0" fontId="114" fillId="0" borderId="0" xfId="19" applyFont="1" applyAlignment="1">
      <alignment horizontal="left" vertical="center"/>
    </xf>
    <xf numFmtId="0" fontId="130" fillId="0" borderId="0" xfId="19" applyFont="1" applyAlignment="1">
      <alignment horizontal="left" vertical="center"/>
    </xf>
    <xf numFmtId="0" fontId="96" fillId="0" borderId="0" xfId="10" applyNumberFormat="1" applyFont="1" applyAlignment="1">
      <alignment horizontal="left" vertical="center"/>
    </xf>
    <xf numFmtId="0" fontId="96" fillId="0" borderId="0" xfId="10" applyNumberFormat="1" applyAlignment="1">
      <alignment horizontal="left" vertical="center"/>
    </xf>
    <xf numFmtId="0" fontId="96" fillId="0" borderId="1" xfId="10" applyNumberFormat="1" applyFont="1" applyBorder="1" applyAlignment="1">
      <alignment horizontal="left" vertical="center"/>
    </xf>
    <xf numFmtId="0" fontId="96" fillId="0" borderId="1" xfId="10" applyNumberFormat="1" applyBorder="1" applyAlignment="1">
      <alignment horizontal="left" vertical="center"/>
    </xf>
    <xf numFmtId="0" fontId="96" fillId="0" borderId="1" xfId="10" applyNumberFormat="1" applyFont="1" applyFill="1" applyBorder="1" applyAlignment="1">
      <alignment horizontal="left" vertical="center"/>
    </xf>
    <xf numFmtId="0" fontId="96" fillId="0" borderId="0" xfId="10" applyNumberFormat="1" applyBorder="1" applyAlignment="1">
      <alignment horizontal="left" vertical="center"/>
    </xf>
    <xf numFmtId="49" fontId="96" fillId="0" borderId="1" xfId="10" applyNumberFormat="1" applyFont="1" applyBorder="1" applyAlignment="1">
      <alignment horizontal="left" vertical="center"/>
    </xf>
    <xf numFmtId="49" fontId="96" fillId="0" borderId="1" xfId="10" applyNumberFormat="1" applyFont="1" applyFill="1" applyBorder="1" applyAlignment="1">
      <alignment horizontal="left" vertical="center"/>
    </xf>
    <xf numFmtId="0" fontId="96" fillId="5" borderId="1" xfId="10" applyNumberFormat="1" applyFont="1" applyFill="1" applyBorder="1" applyAlignment="1">
      <alignment horizontal="left" vertical="center"/>
    </xf>
    <xf numFmtId="0" fontId="96" fillId="5" borderId="1" xfId="10" applyNumberFormat="1" applyFill="1" applyBorder="1" applyAlignment="1">
      <alignment horizontal="left" vertical="center"/>
    </xf>
    <xf numFmtId="0" fontId="115" fillId="22" borderId="0" xfId="0" applyFont="1" applyFill="1" applyAlignment="1" applyProtection="1">
      <alignment horizontal="left" vertical="center" wrapText="1"/>
      <protection locked="0"/>
    </xf>
    <xf numFmtId="0" fontId="99" fillId="0" borderId="0" xfId="0" applyFont="1" applyAlignment="1" applyProtection="1">
      <alignment horizontal="left" vertical="center" wrapText="1"/>
      <protection locked="0"/>
    </xf>
    <xf numFmtId="0" fontId="271" fillId="0" borderId="0" xfId="0" applyFont="1" applyAlignment="1" applyProtection="1">
      <alignment horizontal="left" vertical="center" wrapText="1"/>
      <protection locked="0"/>
    </xf>
    <xf numFmtId="0" fontId="99" fillId="22" borderId="0" xfId="0" applyFont="1" applyFill="1" applyAlignment="1" applyProtection="1">
      <alignment horizontal="left" vertical="center" wrapText="1"/>
      <protection locked="0"/>
    </xf>
    <xf numFmtId="0" fontId="271" fillId="22"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4"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115" fillId="0" borderId="0" xfId="0" applyFont="1" applyAlignment="1" applyProtection="1">
      <alignment horizontal="left" vertical="center" wrapText="1"/>
      <protection locked="0"/>
    </xf>
    <xf numFmtId="181" fontId="99" fillId="0" borderId="0" xfId="17" applyNumberFormat="1" applyFont="1" applyAlignment="1" applyProtection="1">
      <alignment horizontal="lef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49" fontId="129" fillId="0" borderId="41" xfId="0" applyNumberFormat="1" applyFont="1" applyFill="1" applyBorder="1" applyAlignment="1" applyProtection="1">
      <alignment horizontal="center" vertical="center" wrapText="1"/>
      <protection locked="0"/>
    </xf>
    <xf numFmtId="49" fontId="129" fillId="0" borderId="7" xfId="0" applyNumberFormat="1" applyFont="1" applyFill="1" applyBorder="1" applyAlignment="1" applyProtection="1">
      <alignment horizontal="center" vertical="center" wrapText="1"/>
      <protection locked="0"/>
    </xf>
    <xf numFmtId="0" fontId="96" fillId="0" borderId="0" xfId="2"/>
    <xf numFmtId="196" fontId="96" fillId="0" borderId="0" xfId="2" applyNumberFormat="1"/>
    <xf numFmtId="196" fontId="273" fillId="27" borderId="176" xfId="20" applyNumberFormat="1" applyFont="1" applyFill="1" applyBorder="1" applyAlignment="1">
      <alignment horizontal="center" vertical="center"/>
    </xf>
    <xf numFmtId="49" fontId="273" fillId="27" borderId="176" xfId="2" applyNumberFormat="1" applyFont="1" applyFill="1" applyBorder="1" applyAlignment="1">
      <alignment horizontal="center" vertical="center"/>
    </xf>
    <xf numFmtId="197" fontId="275" fillId="0" borderId="176" xfId="20" applyNumberFormat="1" applyFont="1" applyBorder="1" applyAlignment="1">
      <alignment horizontal="center" vertical="center"/>
    </xf>
    <xf numFmtId="0" fontId="275" fillId="0" borderId="176" xfId="2" applyFont="1" applyBorder="1" applyAlignment="1">
      <alignment horizontal="center" vertical="center"/>
    </xf>
    <xf numFmtId="181" fontId="275" fillId="0" borderId="176" xfId="21" applyNumberFormat="1" applyFont="1" applyBorder="1" applyAlignment="1">
      <alignment horizontal="center" vertical="center"/>
    </xf>
    <xf numFmtId="0" fontId="276" fillId="27" borderId="176" xfId="2" applyFont="1" applyFill="1" applyBorder="1" applyAlignment="1">
      <alignment horizontal="center" vertical="center"/>
    </xf>
    <xf numFmtId="0" fontId="273" fillId="27" borderId="176" xfId="2" applyFont="1" applyFill="1" applyBorder="1" applyAlignment="1">
      <alignment horizontal="center" vertical="center"/>
    </xf>
    <xf numFmtId="194" fontId="96" fillId="0" borderId="0" xfId="2" applyNumberFormat="1"/>
    <xf numFmtId="0" fontId="96" fillId="0" borderId="0" xfId="2" applyAlignment="1">
      <alignment vertical="center"/>
    </xf>
    <xf numFmtId="194" fontId="96" fillId="28" borderId="0" xfId="2" applyNumberFormat="1" applyFill="1" applyAlignment="1">
      <alignment vertical="center"/>
    </xf>
    <xf numFmtId="0" fontId="96" fillId="28" borderId="0" xfId="2" applyFill="1" applyAlignment="1">
      <alignment vertical="center"/>
    </xf>
    <xf numFmtId="14" fontId="96" fillId="0" borderId="0" xfId="2" applyNumberFormat="1" applyAlignment="1">
      <alignment vertical="center"/>
    </xf>
    <xf numFmtId="194" fontId="96" fillId="0" borderId="0" xfId="2" applyNumberFormat="1" applyAlignme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277" fillId="27" borderId="0" xfId="2" applyFont="1" applyFill="1" applyAlignment="1">
      <alignment horizontal="center" vertical="center"/>
    </xf>
    <xf numFmtId="0" fontId="274" fillId="27" borderId="176" xfId="2" applyFont="1" applyFill="1" applyBorder="1" applyAlignment="1">
      <alignment horizontal="center" vertical="center"/>
    </xf>
    <xf numFmtId="196" fontId="274" fillId="27" borderId="176" xfId="2" applyNumberFormat="1" applyFont="1" applyFill="1" applyBorder="1" applyAlignment="1">
      <alignment horizontal="center"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99" fillId="0" borderId="0" xfId="0" applyFont="1" applyAlignment="1" applyProtection="1">
      <alignment horizontal="left" vertical="center" wrapText="1"/>
      <protection locked="0"/>
    </xf>
    <xf numFmtId="0" fontId="115" fillId="23"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4" fontId="114" fillId="0" borderId="13" xfId="0" applyNumberFormat="1" applyFont="1" applyFill="1" applyBorder="1" applyAlignment="1" applyProtection="1">
      <alignment horizontal="left" vertical="center"/>
      <protection locked="0"/>
    </xf>
    <xf numFmtId="181" fontId="114" fillId="0" borderId="1" xfId="0" applyNumberFormat="1" applyFont="1" applyFill="1" applyBorder="1" applyAlignment="1" applyProtection="1">
      <alignment horizontal="center" vertical="center"/>
      <protection locked="0"/>
    </xf>
    <xf numFmtId="9" fontId="114" fillId="0" borderId="5" xfId="0" applyNumberFormat="1" applyFont="1" applyFill="1" applyBorder="1" applyAlignment="1" applyProtection="1">
      <alignment horizontal="center" vertical="center"/>
      <protection locked="0"/>
    </xf>
    <xf numFmtId="176" fontId="101" fillId="0" borderId="24" xfId="1" applyNumberFormat="1" applyFont="1" applyFill="1" applyBorder="1" applyAlignment="1" applyProtection="1">
      <alignment horizontal="center" vertical="center"/>
      <protection locked="0"/>
    </xf>
    <xf numFmtId="181" fontId="101" fillId="0" borderId="1" xfId="0" applyNumberFormat="1" applyFont="1" applyBorder="1" applyAlignment="1" applyProtection="1">
      <alignment vertical="center"/>
      <protection locked="0"/>
    </xf>
    <xf numFmtId="0" fontId="114" fillId="0" borderId="1" xfId="0" applyFont="1" applyBorder="1" applyAlignment="1" applyProtection="1">
      <alignment vertical="center" wrapText="1"/>
      <protection locked="0"/>
    </xf>
    <xf numFmtId="0" fontId="171" fillId="0" borderId="1" xfId="8" applyFont="1" applyFill="1" applyBorder="1" applyAlignment="1" applyProtection="1">
      <alignment horizontal="center" vertical="center" wrapText="1"/>
      <protection locked="0"/>
    </xf>
    <xf numFmtId="0" fontId="114" fillId="0" borderId="1" xfId="0" applyFont="1" applyFill="1" applyBorder="1" applyAlignment="1" applyProtection="1">
      <alignment horizontal="center" vertical="center" wrapText="1"/>
      <protection locked="0"/>
    </xf>
    <xf numFmtId="0" fontId="171" fillId="0" borderId="3"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675591</xdr:colOff>
      <xdr:row>89</xdr:row>
      <xdr:rowOff>103866</xdr:rowOff>
    </xdr:to>
    <xdr:pic>
      <xdr:nvPicPr>
        <xdr:cNvPr id="2" name="图片 1"/>
        <xdr:cNvPicPr>
          <a:picLocks noChangeAspect="1"/>
        </xdr:cNvPicPr>
      </xdr:nvPicPr>
      <xdr:blipFill>
        <a:blip xmlns:r="http://schemas.openxmlformats.org/officeDocument/2006/relationships" r:embed="rId1"/>
        <a:stretch>
          <a:fillRect/>
        </a:stretch>
      </xdr:blipFill>
      <xdr:spPr>
        <a:xfrm>
          <a:off x="3419475" y="8086725"/>
          <a:ext cx="5476191" cy="7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69747</xdr:rowOff>
    </xdr:from>
    <xdr:to>
      <xdr:col>11</xdr:col>
      <xdr:colOff>188976</xdr:colOff>
      <xdr:row>54</xdr:row>
      <xdr:rowOff>160897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27072"/>
          <a:ext cx="10942701" cy="7377775"/>
        </a:xfrm>
        <a:prstGeom prst="rect">
          <a:avLst/>
        </a:prstGeom>
      </xdr:spPr>
    </xdr:pic>
    <xdr:clientData/>
  </xdr:twoCellAnchor>
  <xdr:twoCellAnchor>
    <xdr:from>
      <xdr:col>2</xdr:col>
      <xdr:colOff>152400</xdr:colOff>
      <xdr:row>27</xdr:row>
      <xdr:rowOff>9525</xdr:rowOff>
    </xdr:from>
    <xdr:to>
      <xdr:col>2</xdr:col>
      <xdr:colOff>533400</xdr:colOff>
      <xdr:row>29</xdr:row>
      <xdr:rowOff>47625</xdr:rowOff>
    </xdr:to>
    <xdr:sp macro="" textlink="">
      <xdr:nvSpPr>
        <xdr:cNvPr id="3" name="五角星 2"/>
        <xdr:cNvSpPr/>
      </xdr:nvSpPr>
      <xdr:spPr>
        <a:xfrm>
          <a:off x="2886075" y="4381500"/>
          <a:ext cx="381000" cy="361950"/>
        </a:xfrm>
        <a:prstGeom prst="star5">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361950</xdr:colOff>
      <xdr:row>34</xdr:row>
      <xdr:rowOff>123825</xdr:rowOff>
    </xdr:from>
    <xdr:to>
      <xdr:col>3</xdr:col>
      <xdr:colOff>19050</xdr:colOff>
      <xdr:row>36</xdr:row>
      <xdr:rowOff>95250</xdr:rowOff>
    </xdr:to>
    <xdr:sp macro="" textlink="">
      <xdr:nvSpPr>
        <xdr:cNvPr id="4" name="矩形标注 3"/>
        <xdr:cNvSpPr/>
      </xdr:nvSpPr>
      <xdr:spPr>
        <a:xfrm>
          <a:off x="2619375" y="5629275"/>
          <a:ext cx="1028700" cy="29527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5043.09</a:t>
          </a:r>
          <a:r>
            <a:rPr lang="zh-CN" altLang="en-US" sz="1100"/>
            <a:t>，</a:t>
          </a:r>
        </a:p>
      </xdr:txBody>
    </xdr:sp>
    <xdr:clientData/>
  </xdr:twoCellAnchor>
  <xdr:twoCellAnchor>
    <xdr:from>
      <xdr:col>5</xdr:col>
      <xdr:colOff>504825</xdr:colOff>
      <xdr:row>32</xdr:row>
      <xdr:rowOff>12597</xdr:rowOff>
    </xdr:from>
    <xdr:to>
      <xdr:col>6</xdr:col>
      <xdr:colOff>590550</xdr:colOff>
      <xdr:row>33</xdr:row>
      <xdr:rowOff>104775</xdr:rowOff>
    </xdr:to>
    <xdr:sp macro="" textlink="">
      <xdr:nvSpPr>
        <xdr:cNvPr id="5" name="矩形标注 4"/>
        <xdr:cNvSpPr/>
      </xdr:nvSpPr>
      <xdr:spPr>
        <a:xfrm>
          <a:off x="5343525" y="5194197"/>
          <a:ext cx="1104900" cy="254103"/>
        </a:xfrm>
        <a:prstGeom prst="wedgeRectCallout">
          <a:avLst>
            <a:gd name="adj1" fmla="val -28240"/>
            <a:gd name="adj2" fmla="val -8628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14015.44</a:t>
          </a:r>
          <a:r>
            <a:rPr lang="zh-CN" altLang="en-US" sz="1100"/>
            <a:t>，容</a:t>
          </a:r>
          <a:r>
            <a:rPr lang="en-US" altLang="zh-CN" sz="1100"/>
            <a:t>2</a:t>
          </a:r>
          <a:endParaRPr lang="zh-CN" altLang="en-US" sz="1100"/>
        </a:p>
      </xdr:txBody>
    </xdr:sp>
    <xdr:clientData/>
  </xdr:twoCellAnchor>
  <xdr:twoCellAnchor>
    <xdr:from>
      <xdr:col>5</xdr:col>
      <xdr:colOff>95251</xdr:colOff>
      <xdr:row>22</xdr:row>
      <xdr:rowOff>3072</xdr:rowOff>
    </xdr:from>
    <xdr:to>
      <xdr:col>6</xdr:col>
      <xdr:colOff>19050</xdr:colOff>
      <xdr:row>23</xdr:row>
      <xdr:rowOff>95250</xdr:rowOff>
    </xdr:to>
    <xdr:sp macro="" textlink="">
      <xdr:nvSpPr>
        <xdr:cNvPr id="6" name="矩形标注 5"/>
        <xdr:cNvSpPr/>
      </xdr:nvSpPr>
      <xdr:spPr>
        <a:xfrm>
          <a:off x="4933951" y="3565422"/>
          <a:ext cx="9429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15800</a:t>
          </a:r>
          <a:r>
            <a:rPr lang="zh-CN" altLang="en-US" sz="1100"/>
            <a:t>，容</a:t>
          </a:r>
          <a:r>
            <a:rPr lang="en-US" altLang="zh-CN" sz="1100"/>
            <a:t>2</a:t>
          </a:r>
          <a:endParaRPr lang="zh-CN" altLang="en-US" sz="1100"/>
        </a:p>
      </xdr:txBody>
    </xdr:sp>
    <xdr:clientData/>
  </xdr:twoCellAnchor>
  <xdr:twoCellAnchor>
    <xdr:from>
      <xdr:col>6</xdr:col>
      <xdr:colOff>209551</xdr:colOff>
      <xdr:row>20</xdr:row>
      <xdr:rowOff>3072</xdr:rowOff>
    </xdr:from>
    <xdr:to>
      <xdr:col>6</xdr:col>
      <xdr:colOff>1381125</xdr:colOff>
      <xdr:row>21</xdr:row>
      <xdr:rowOff>95250</xdr:rowOff>
    </xdr:to>
    <xdr:sp macro="" textlink="">
      <xdr:nvSpPr>
        <xdr:cNvPr id="7" name="矩形标注 6"/>
        <xdr:cNvSpPr/>
      </xdr:nvSpPr>
      <xdr:spPr>
        <a:xfrm>
          <a:off x="6067426" y="3241572"/>
          <a:ext cx="11715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12825.07</a:t>
          </a:r>
          <a:r>
            <a:rPr lang="zh-CN" altLang="en-US" sz="1100"/>
            <a:t>，容</a:t>
          </a:r>
          <a:r>
            <a:rPr lang="en-US" altLang="zh-CN" sz="1100"/>
            <a:t>3</a:t>
          </a:r>
          <a:endParaRPr lang="zh-CN" altLang="en-US" sz="1100"/>
        </a:p>
      </xdr:txBody>
    </xdr:sp>
    <xdr:clientData/>
  </xdr:twoCellAnchor>
  <xdr:twoCellAnchor>
    <xdr:from>
      <xdr:col>7</xdr:col>
      <xdr:colOff>571500</xdr:colOff>
      <xdr:row>25</xdr:row>
      <xdr:rowOff>126897</xdr:rowOff>
    </xdr:from>
    <xdr:to>
      <xdr:col>8</xdr:col>
      <xdr:colOff>685799</xdr:colOff>
      <xdr:row>27</xdr:row>
      <xdr:rowOff>57150</xdr:rowOff>
    </xdr:to>
    <xdr:sp macro="" textlink="">
      <xdr:nvSpPr>
        <xdr:cNvPr id="8" name="矩形标注 7"/>
        <xdr:cNvSpPr/>
      </xdr:nvSpPr>
      <xdr:spPr>
        <a:xfrm>
          <a:off x="8124825" y="4175022"/>
          <a:ext cx="1171574" cy="254103"/>
        </a:xfrm>
        <a:prstGeom prst="wedgeRectCallout">
          <a:avLst>
            <a:gd name="adj1" fmla="val -29341"/>
            <a:gd name="adj2" fmla="val -900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10561.1</a:t>
          </a:r>
          <a:r>
            <a:rPr lang="zh-CN" altLang="en-US" sz="1100"/>
            <a:t>，容</a:t>
          </a:r>
          <a:r>
            <a:rPr lang="en-US" altLang="zh-CN" sz="1100"/>
            <a:t>5</a:t>
          </a:r>
          <a:endParaRPr lang="zh-CN" altLang="en-US" sz="1100"/>
        </a:p>
      </xdr:txBody>
    </xdr:sp>
    <xdr:clientData/>
  </xdr:twoCellAnchor>
  <xdr:twoCellAnchor>
    <xdr:from>
      <xdr:col>6</xdr:col>
      <xdr:colOff>885825</xdr:colOff>
      <xdr:row>45</xdr:row>
      <xdr:rowOff>3072</xdr:rowOff>
    </xdr:from>
    <xdr:to>
      <xdr:col>7</xdr:col>
      <xdr:colOff>361949</xdr:colOff>
      <xdr:row>46</xdr:row>
      <xdr:rowOff>95250</xdr:rowOff>
    </xdr:to>
    <xdr:sp macro="" textlink="">
      <xdr:nvSpPr>
        <xdr:cNvPr id="9" name="矩形标注 8"/>
        <xdr:cNvSpPr/>
      </xdr:nvSpPr>
      <xdr:spPr>
        <a:xfrm>
          <a:off x="6743700" y="7289697"/>
          <a:ext cx="1171574" cy="254103"/>
        </a:xfrm>
        <a:prstGeom prst="wedgeRectCallout">
          <a:avLst>
            <a:gd name="adj1" fmla="val -17959"/>
            <a:gd name="adj2" fmla="val 749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10109.59</a:t>
          </a:r>
          <a:r>
            <a:rPr lang="zh-CN" altLang="en-US" sz="1100"/>
            <a:t>，容</a:t>
          </a:r>
          <a:r>
            <a:rPr lang="en-US" altLang="zh-CN" sz="1100"/>
            <a:t>2.2</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0"/>
      <sheetName val="项目基本情况"/>
      <sheetName val="面积指标"/>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3">
          <cell r="M13">
            <v>16275.06</v>
          </cell>
        </row>
      </sheetData>
      <sheetData sheetId="15">
        <row r="3">
          <cell r="E3">
            <v>119963.53</v>
          </cell>
        </row>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row r="31">
          <cell r="F31">
            <v>85551.93</v>
          </cell>
          <cell r="G31">
            <v>34411.600000000006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row r="118">
          <cell r="D118">
            <v>164636</v>
          </cell>
        </row>
      </sheetData>
      <sheetData sheetId="20"/>
      <sheetData sheetId="21"/>
      <sheetData sheetId="22"/>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56">
          <cell r="F56">
            <v>114203</v>
          </cell>
        </row>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B4</v>
          </cell>
          <cell r="D74" t="str">
            <v xml:space="preserve">F3 </v>
          </cell>
          <cell r="E74" t="str">
            <v xml:space="preserve">B14 </v>
          </cell>
          <cell r="F74" t="str">
            <v>F81</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t="str">
            <v>五级</v>
          </cell>
          <cell r="D107" t="str">
            <v>六级</v>
          </cell>
          <cell r="E107" t="str">
            <v>七级</v>
          </cell>
          <cell r="F107">
            <v>0</v>
          </cell>
          <cell r="G107">
            <v>0</v>
          </cell>
          <cell r="H107">
            <v>0</v>
          </cell>
          <cell r="I107">
            <v>0</v>
          </cell>
          <cell r="J107">
            <v>0</v>
          </cell>
          <cell r="K107">
            <v>0</v>
          </cell>
          <cell r="L107">
            <v>0</v>
          </cell>
          <cell r="M107">
            <v>0</v>
          </cell>
        </row>
        <row r="118">
          <cell r="B118" t="str">
            <v>宗地形状</v>
          </cell>
          <cell r="C118" t="str">
            <v>较规则</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较适宜</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估价对象为北京市房地产，为所有。根据《国有土地使用证》[]，估价对象（分摊）出让国有建设用地使用权面积为24498.84平方米，建筑面积为119963.53平方米。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估价对象为北京市房地产,属开发建设的，该项目尚在开发建设中。根据《国有土地使用证》[]，估价对象（分摊）出让国有建设用地使用权面积为24498.84平方米，规划建筑面积为119963.53平方米。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2024年1月26日（评估专业人员实地查勘之日）</v>
      </c>
    </row>
    <row r="13" spans="1:2" s="1201" customFormat="1">
      <c r="A13" s="1199" t="s">
        <v>529</v>
      </c>
      <c r="B13" s="1200" t="str">
        <f>'预评函-1'!A18</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286923</v>
      </c>
    </row>
    <row r="21" spans="1:2" s="1201" customFormat="1">
      <c r="A21" s="1199" t="s">
        <v>537</v>
      </c>
      <c r="B21" s="1200">
        <f ca="1">'预评函-2'!D7</f>
        <v>23918</v>
      </c>
    </row>
    <row r="22" spans="1:2" s="1201" customFormat="1">
      <c r="A22" s="1199" t="s">
        <v>538</v>
      </c>
      <c r="B22" s="1200" t="str">
        <f ca="1">'预评函-2'!D6</f>
        <v>贰拾捌亿陆仟玖佰贰拾叁万元整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286923</v>
      </c>
    </row>
    <row r="31" spans="1:2" s="1201" customFormat="1">
      <c r="A31" s="1199" t="s">
        <v>576</v>
      </c>
      <c r="B31" s="1200">
        <f ca="1">'预评函-2'!D15</f>
        <v>23918</v>
      </c>
    </row>
    <row r="32" spans="1:2" s="1201" customFormat="1">
      <c r="A32" s="1199" t="s">
        <v>543</v>
      </c>
      <c r="B32" s="1200" t="str">
        <f ca="1">'预评函-2'!D14</f>
        <v>贰拾捌亿陆仟玖佰贰拾叁万元整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119963.53</v>
      </c>
    </row>
    <row r="44" spans="1:2" s="1201" customFormat="1">
      <c r="A44" s="1199" t="s">
        <v>575</v>
      </c>
      <c r="B44" s="1200" t="str">
        <f>'预评函-3'!C2</f>
        <v>(分摊)土地面积</v>
      </c>
    </row>
    <row r="45" spans="1:2" s="1201" customFormat="1">
      <c r="A45" s="1199" t="s">
        <v>547</v>
      </c>
      <c r="B45" s="1200">
        <f>'预评函-3'!C4</f>
        <v>24498.84</v>
      </c>
    </row>
    <row r="46" spans="1:2" s="1201" customFormat="1">
      <c r="A46" s="1199" t="s">
        <v>573</v>
      </c>
      <c r="B46" s="1200" t="str">
        <f>'预评函-3'!D2</f>
        <v>出让国有建设用地使用权价值</v>
      </c>
    </row>
    <row r="47" spans="1:2" s="1201" customFormat="1">
      <c r="A47" s="1199" t="s">
        <v>548</v>
      </c>
      <c r="B47" s="1200">
        <f ca="1">'预评函-3'!D4</f>
        <v>193099</v>
      </c>
    </row>
    <row r="48" spans="1:2" s="1201" customFormat="1">
      <c r="A48" s="1199" t="s">
        <v>549</v>
      </c>
      <c r="B48" s="1200">
        <f ca="1">'预评函-3'!E4</f>
        <v>16097</v>
      </c>
    </row>
    <row r="49" spans="1:2" s="1201" customFormat="1">
      <c r="A49" s="1199" t="s">
        <v>550</v>
      </c>
      <c r="B49" s="1200" t="str">
        <f ca="1">'预评函-3'!D5</f>
        <v>壹拾玖亿叁仟零玖拾玖万元整</v>
      </c>
    </row>
    <row r="50" spans="1:2" s="1201" customFormat="1">
      <c r="A50" s="1199" t="s">
        <v>574</v>
      </c>
      <c r="B50" s="1200" t="str">
        <f>'预评函-3'!F2</f>
        <v>在建建筑物价值</v>
      </c>
    </row>
    <row r="51" spans="1:2" s="1201" customFormat="1">
      <c r="A51" s="1199" t="s">
        <v>551</v>
      </c>
      <c r="B51" s="1200">
        <f ca="1">'预评函-3'!F4</f>
        <v>93824</v>
      </c>
    </row>
    <row r="52" spans="1:2" s="1201" customFormat="1">
      <c r="A52" s="1199" t="s">
        <v>552</v>
      </c>
      <c r="B52" s="1200">
        <f ca="1">'预评函-3'!G4</f>
        <v>7821</v>
      </c>
    </row>
    <row r="53" spans="1:2" s="1201" customFormat="1">
      <c r="A53" s="1199" t="s">
        <v>580</v>
      </c>
      <c r="B53" s="1200" t="str">
        <f ca="1">'预评函-3'!F5</f>
        <v>玖亿叁仟捌佰贰拾肆万元整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2572</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2573</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2" t="s">
        <v>385</v>
      </c>
      <c r="C54" s="1549" t="s">
        <v>583</v>
      </c>
    </row>
    <row r="55" spans="1:4">
      <c r="A55" s="3532"/>
      <c r="B55" s="1552" t="s">
        <v>386</v>
      </c>
      <c r="C55" s="1549" t="s">
        <v>584</v>
      </c>
    </row>
    <row r="56" spans="1:4">
      <c r="A56" s="3532"/>
      <c r="B56" s="1552" t="s">
        <v>387</v>
      </c>
      <c r="C56" s="1549" t="s">
        <v>588</v>
      </c>
    </row>
    <row r="57" spans="1:4">
      <c r="A57" s="353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2495</v>
      </c>
      <c r="B1" s="3011"/>
      <c r="C1" s="3011"/>
      <c r="D1" s="3011"/>
      <c r="E1" s="3011"/>
      <c r="F1" s="3012"/>
      <c r="I1" s="3434" t="s">
        <v>2588</v>
      </c>
      <c r="J1" s="3223"/>
      <c r="K1" s="3223"/>
      <c r="L1" s="3223"/>
      <c r="M1" s="3223"/>
      <c r="N1" s="3435"/>
      <c r="O1" s="3435"/>
      <c r="P1" s="3435"/>
      <c r="Q1" s="3435"/>
      <c r="R1" s="3435"/>
    </row>
    <row r="2" spans="1:18">
      <c r="A2" s="3014"/>
      <c r="B2" s="3015"/>
      <c r="C2" s="3015"/>
      <c r="D2" s="3015"/>
      <c r="E2" s="3015"/>
      <c r="F2" s="3016"/>
      <c r="I2" s="3533" t="s">
        <v>2575</v>
      </c>
      <c r="J2" s="3533"/>
      <c r="K2" s="3533"/>
      <c r="L2" s="3533"/>
      <c r="M2" s="3533"/>
      <c r="N2" s="3533"/>
      <c r="O2" s="3533"/>
      <c r="P2" s="3533"/>
      <c r="Q2" s="3533"/>
      <c r="R2" s="3533"/>
    </row>
    <row r="3" spans="1:18">
      <c r="A3" s="3017" t="s">
        <v>2496</v>
      </c>
      <c r="B3" s="3018">
        <f>项目基本情况!D3</f>
        <v>45317</v>
      </c>
      <c r="C3" s="3020"/>
      <c r="D3" s="3020"/>
      <c r="E3" s="3020"/>
      <c r="F3" s="3016"/>
      <c r="I3" s="3436"/>
      <c r="J3" s="3436" t="s">
        <v>2579</v>
      </c>
      <c r="K3" s="3436" t="s">
        <v>2580</v>
      </c>
      <c r="L3" s="3436" t="s">
        <v>2581</v>
      </c>
      <c r="M3" s="3436" t="s">
        <v>2582</v>
      </c>
      <c r="N3" s="3437" t="s">
        <v>2583</v>
      </c>
      <c r="O3" s="3437" t="s">
        <v>2584</v>
      </c>
      <c r="P3" s="3437" t="s">
        <v>2585</v>
      </c>
      <c r="Q3" s="3437" t="s">
        <v>2586</v>
      </c>
      <c r="R3" s="3437" t="s">
        <v>2587</v>
      </c>
    </row>
    <row r="4" spans="1:18">
      <c r="A4" s="3017" t="s">
        <v>2497</v>
      </c>
      <c r="B4" s="3020" t="s">
        <v>2498</v>
      </c>
      <c r="C4" s="3020" t="s">
        <v>2499</v>
      </c>
      <c r="D4" s="3020" t="s">
        <v>2500</v>
      </c>
      <c r="E4" s="3020" t="s">
        <v>2501</v>
      </c>
      <c r="F4" s="3016"/>
      <c r="I4" s="3436" t="s">
        <v>2576</v>
      </c>
      <c r="J4" s="3436">
        <v>80</v>
      </c>
      <c r="K4" s="3436">
        <v>70</v>
      </c>
      <c r="L4" s="3436">
        <v>20</v>
      </c>
      <c r="M4" s="3436">
        <v>30</v>
      </c>
      <c r="N4" s="3020">
        <v>45</v>
      </c>
      <c r="O4" s="3020">
        <v>60</v>
      </c>
      <c r="P4" s="3020">
        <v>50</v>
      </c>
      <c r="Q4" s="3020">
        <v>20</v>
      </c>
      <c r="R4" s="3020">
        <v>375</v>
      </c>
    </row>
    <row r="5" spans="1:18">
      <c r="A5" s="3021">
        <v>40</v>
      </c>
      <c r="B5" s="3018">
        <v>46375</v>
      </c>
      <c r="C5" s="3020">
        <f>ROUNDDOWN(MIN((B5-B3)/365,A5),2)</f>
        <v>2.89</v>
      </c>
      <c r="D5" s="3022">
        <f>IF(ISERROR(ROUND(POWER(1+E5,A5-C5)*(POWER(1+E5,C5)-1)/(POWER(1+E5,A5)-1),3)),0,ROUND(POWER(1+E5,A5-C5)*(POWER(1+E5,C5)-1)/(POWER(1+E5,A5)-1),4))</f>
        <v>0.13539999999999999</v>
      </c>
      <c r="E5" s="3023">
        <v>0.04</v>
      </c>
      <c r="F5" s="3016"/>
      <c r="I5" s="3436" t="s">
        <v>2577</v>
      </c>
      <c r="J5" s="3436">
        <v>70</v>
      </c>
      <c r="K5" s="3436">
        <v>60</v>
      </c>
      <c r="L5" s="3436">
        <v>15</v>
      </c>
      <c r="M5" s="3436">
        <v>25</v>
      </c>
      <c r="N5" s="3020">
        <v>40</v>
      </c>
      <c r="O5" s="3020">
        <v>50</v>
      </c>
      <c r="P5" s="3020">
        <v>40</v>
      </c>
      <c r="Q5" s="3020">
        <v>15</v>
      </c>
      <c r="R5" s="3020">
        <v>315</v>
      </c>
    </row>
    <row r="6" spans="1:18">
      <c r="A6" s="3021">
        <v>50</v>
      </c>
      <c r="B6" s="3018">
        <v>50028</v>
      </c>
      <c r="C6" s="3020">
        <f>ROUNDDOWN(MIN((B6-B3)/365,A6),2)</f>
        <v>12.9</v>
      </c>
      <c r="D6" s="3022">
        <f>IF(ISERROR(ROUND(POWER(1+E6,A6-C6)*(POWER(1+E6,C6)-1)/(POWER(1+E6,A6)-1),3)),0,ROUND(POWER(1+E6,A6-C6)*(POWER(1+E6,C6)-1)/(POWER(1+E6,A6)-1),4))</f>
        <v>0.46210000000000001</v>
      </c>
      <c r="E6" s="3023">
        <v>0.04</v>
      </c>
      <c r="F6" s="3016"/>
      <c r="I6" s="3436" t="s">
        <v>2578</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2502</v>
      </c>
      <c r="B9" s="3020"/>
      <c r="C9" s="3020"/>
      <c r="D9" s="3020"/>
      <c r="E9" s="3020"/>
      <c r="F9" s="3024"/>
    </row>
    <row r="10" spans="1:18">
      <c r="A10" s="3017" t="s">
        <v>2503</v>
      </c>
      <c r="B10" s="3020"/>
      <c r="C10" s="3020"/>
      <c r="D10" s="3020" t="s">
        <v>2501</v>
      </c>
      <c r="E10" s="3020"/>
      <c r="F10" s="3024" t="s">
        <v>2500</v>
      </c>
    </row>
    <row r="11" spans="1:18">
      <c r="A11" s="3017" t="s">
        <v>2504</v>
      </c>
      <c r="B11" s="3025">
        <v>70</v>
      </c>
      <c r="C11" s="3020" t="s">
        <v>2505</v>
      </c>
      <c r="D11" s="3026">
        <v>4.4999999999999998E-2</v>
      </c>
      <c r="E11" s="3020" t="s">
        <v>2506</v>
      </c>
      <c r="F11" s="3027">
        <f>ROUND(1-(1/(POWER(1+D11,B11))),4)</f>
        <v>0.95409999999999995</v>
      </c>
    </row>
    <row r="12" spans="1:18">
      <c r="A12" s="3017" t="s">
        <v>2507</v>
      </c>
      <c r="B12" s="3025">
        <v>40</v>
      </c>
      <c r="C12" s="3020" t="s">
        <v>2508</v>
      </c>
      <c r="D12" s="3026">
        <v>4.4999999999999998E-2</v>
      </c>
      <c r="E12" s="3020" t="s">
        <v>2509</v>
      </c>
      <c r="F12" s="3027">
        <f>ROUND(1-(1/(POWER(1+D12,B12))),4)</f>
        <v>0.82809999999999995</v>
      </c>
    </row>
    <row r="13" spans="1:18">
      <c r="A13" s="3017" t="s">
        <v>2510</v>
      </c>
      <c r="B13" s="3020"/>
      <c r="C13" s="3020"/>
      <c r="D13" s="3015"/>
      <c r="E13" s="3015"/>
      <c r="F13" s="3016"/>
    </row>
    <row r="14" spans="1:18">
      <c r="A14" s="3017" t="s">
        <v>2511</v>
      </c>
      <c r="B14" s="3025">
        <v>5000</v>
      </c>
      <c r="C14" s="3019"/>
      <c r="D14" s="3015"/>
      <c r="E14" s="3015"/>
      <c r="F14" s="3016"/>
    </row>
    <row r="15" spans="1:18">
      <c r="A15" s="3017" t="s">
        <v>2512</v>
      </c>
      <c r="B15" s="3020">
        <f>ROUND(B14*F12/F11,2)</f>
        <v>4339.6899999999996</v>
      </c>
      <c r="C15" s="3020">
        <f>ROUND(F12/F11,4)</f>
        <v>0.8679</v>
      </c>
      <c r="D15" s="3015"/>
      <c r="E15" s="3015"/>
      <c r="F15" s="3016"/>
    </row>
    <row r="16" spans="1:18">
      <c r="A16" s="3017" t="s">
        <v>2513</v>
      </c>
      <c r="B16" s="3020"/>
      <c r="C16" s="3020"/>
      <c r="D16" s="3015"/>
      <c r="E16" s="3015"/>
      <c r="F16" s="3016"/>
    </row>
    <row r="17" spans="1:13">
      <c r="A17" s="3017" t="s">
        <v>2512</v>
      </c>
      <c r="B17" s="3026">
        <v>4810</v>
      </c>
      <c r="C17" s="3019"/>
      <c r="D17" s="3015"/>
      <c r="E17" s="3015"/>
      <c r="F17" s="3016"/>
    </row>
    <row r="18" spans="1:13" ht="14.25" thickBot="1">
      <c r="A18" s="3028" t="s">
        <v>2511</v>
      </c>
      <c r="B18" s="3029">
        <f>ROUND(B17*F11/F12,2)</f>
        <v>5541.87</v>
      </c>
      <c r="C18" s="3029">
        <f>ROUND(F11/F12,4)</f>
        <v>1.1521999999999999</v>
      </c>
      <c r="D18" s="3030"/>
      <c r="E18" s="3030"/>
      <c r="F18" s="3031"/>
    </row>
    <row r="19" spans="1:13" ht="14.25" thickBot="1"/>
    <row r="20" spans="1:13" s="3066" customFormat="1" ht="14.25" thickTop="1">
      <c r="A20" s="3063" t="s">
        <v>2514</v>
      </c>
      <c r="B20" s="3064"/>
      <c r="C20" s="3064"/>
      <c r="D20" s="3064"/>
      <c r="E20" s="3064"/>
      <c r="F20" s="3064"/>
      <c r="G20" s="3065"/>
      <c r="I20" s="3067" t="s">
        <v>2559</v>
      </c>
      <c r="J20" s="3067" t="s">
        <v>2564</v>
      </c>
      <c r="K20" s="3067"/>
      <c r="L20" s="3067"/>
      <c r="M20" s="3067"/>
    </row>
    <row r="21" spans="1:13">
      <c r="A21" s="3032"/>
      <c r="B21" s="3033" t="s">
        <v>2515</v>
      </c>
      <c r="C21" s="3033" t="s">
        <v>2516</v>
      </c>
      <c r="D21" s="3033" t="s">
        <v>2517</v>
      </c>
      <c r="E21" s="3033" t="s">
        <v>2518</v>
      </c>
      <c r="F21" s="3033" t="s">
        <v>2519</v>
      </c>
      <c r="G21" s="3034" t="s">
        <v>2520</v>
      </c>
      <c r="I21" s="3055">
        <v>5</v>
      </c>
      <c r="J21" s="3055">
        <v>54.2</v>
      </c>
    </row>
    <row r="22" spans="1:13">
      <c r="A22" s="3032" t="s">
        <v>2521</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2522</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2562</v>
      </c>
      <c r="M23" s="3055" t="s">
        <v>2563</v>
      </c>
    </row>
    <row r="24" spans="1:13">
      <c r="A24" s="3032" t="s">
        <v>2523</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2561</v>
      </c>
      <c r="M24" s="3055">
        <v>10</v>
      </c>
    </row>
    <row r="25" spans="1:13">
      <c r="A25" s="3032" t="s">
        <v>2524</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2565</v>
      </c>
      <c r="M25" s="3055">
        <v>8</v>
      </c>
    </row>
    <row r="26" spans="1:13">
      <c r="A26" s="3037"/>
      <c r="B26" s="3038"/>
      <c r="C26" s="3038"/>
      <c r="D26" s="3038"/>
      <c r="E26" s="3038"/>
      <c r="F26" s="3038"/>
      <c r="G26" s="3039"/>
      <c r="I26" s="3055">
        <v>30</v>
      </c>
      <c r="J26" s="3055">
        <v>90.5</v>
      </c>
      <c r="K26" s="3055">
        <f t="shared" si="2"/>
        <v>4.2000000000000028</v>
      </c>
      <c r="L26" s="3055" t="s">
        <v>2566</v>
      </c>
      <c r="M26" s="3055">
        <v>5</v>
      </c>
    </row>
    <row r="27" spans="1:13">
      <c r="A27" s="3037" t="s">
        <v>2525</v>
      </c>
      <c r="B27" s="3038"/>
      <c r="C27" s="3038"/>
      <c r="D27" s="3038"/>
      <c r="E27" s="3038"/>
      <c r="F27" s="3038"/>
      <c r="G27" s="3039"/>
      <c r="I27" s="3055">
        <v>35</v>
      </c>
      <c r="J27" s="3055">
        <v>93.8</v>
      </c>
      <c r="K27" s="3055">
        <f t="shared" si="2"/>
        <v>3.2999999999999972</v>
      </c>
      <c r="L27" s="3055" t="s">
        <v>2567</v>
      </c>
      <c r="M27" s="3055">
        <v>3</v>
      </c>
    </row>
    <row r="28" spans="1:13">
      <c r="A28" s="3037" t="s">
        <v>2526</v>
      </c>
      <c r="B28" s="3038"/>
      <c r="C28" s="3038"/>
      <c r="D28" s="3038"/>
      <c r="E28" s="3038"/>
      <c r="F28" s="3038"/>
      <c r="G28" s="3039"/>
      <c r="I28" s="3055">
        <v>40</v>
      </c>
      <c r="J28" s="3055">
        <v>96.4</v>
      </c>
      <c r="K28" s="3055">
        <f t="shared" si="2"/>
        <v>2.6000000000000085</v>
      </c>
      <c r="L28" s="3055" t="s">
        <v>2568</v>
      </c>
      <c r="M28" s="3055">
        <v>2</v>
      </c>
    </row>
    <row r="29" spans="1:13">
      <c r="A29" s="3037" t="s">
        <v>2527</v>
      </c>
      <c r="B29" s="3038"/>
      <c r="C29" s="3038"/>
      <c r="D29" s="3038"/>
      <c r="E29" s="3038"/>
      <c r="F29" s="3038"/>
      <c r="G29" s="3039"/>
      <c r="I29" s="3055">
        <v>45</v>
      </c>
      <c r="J29" s="3055">
        <v>98.4</v>
      </c>
      <c r="K29" s="3055">
        <f t="shared" si="2"/>
        <v>2</v>
      </c>
    </row>
    <row r="30" spans="1:13">
      <c r="A30" s="3037" t="s">
        <v>2528</v>
      </c>
      <c r="B30" s="3038"/>
      <c r="C30" s="3038"/>
      <c r="D30" s="3038"/>
      <c r="E30" s="3038"/>
      <c r="F30" s="3038"/>
      <c r="G30" s="3039"/>
      <c r="I30" s="3055">
        <v>50</v>
      </c>
      <c r="J30" s="3055">
        <v>100</v>
      </c>
      <c r="K30" s="3055">
        <f t="shared" si="2"/>
        <v>1.5999999999999943</v>
      </c>
    </row>
    <row r="31" spans="1:13">
      <c r="A31" s="3037" t="s">
        <v>2529</v>
      </c>
      <c r="B31" s="3038"/>
      <c r="C31" s="3038"/>
      <c r="D31" s="3038"/>
      <c r="E31" s="3038"/>
      <c r="F31" s="3038"/>
      <c r="G31" s="3039"/>
      <c r="I31" s="3055" t="s">
        <v>2560</v>
      </c>
    </row>
    <row r="32" spans="1:13">
      <c r="A32" s="3037" t="s">
        <v>2530</v>
      </c>
      <c r="B32" s="3038"/>
      <c r="C32" s="3038"/>
      <c r="D32" s="3038"/>
      <c r="E32" s="3038"/>
      <c r="F32" s="3038"/>
      <c r="G32" s="3039"/>
    </row>
    <row r="33" spans="1:13">
      <c r="A33" s="3037" t="s">
        <v>2531</v>
      </c>
      <c r="B33" s="3038"/>
      <c r="C33" s="3038"/>
      <c r="D33" s="3038"/>
      <c r="E33" s="3038"/>
      <c r="F33" s="3038"/>
      <c r="G33" s="3039"/>
      <c r="I33" s="3055" t="s">
        <v>2559</v>
      </c>
      <c r="J33" s="3055" t="s">
        <v>2569</v>
      </c>
    </row>
    <row r="34" spans="1:13">
      <c r="A34" s="3037" t="s">
        <v>2532</v>
      </c>
      <c r="B34" s="3038"/>
      <c r="C34" s="3038"/>
      <c r="D34" s="3038"/>
      <c r="E34" s="3038"/>
      <c r="F34" s="3038"/>
      <c r="G34" s="3039"/>
      <c r="I34" s="3055">
        <v>5</v>
      </c>
      <c r="J34" s="3055">
        <v>55.1</v>
      </c>
    </row>
    <row r="35" spans="1:13">
      <c r="A35" s="3037" t="s">
        <v>2533</v>
      </c>
      <c r="B35" s="3038"/>
      <c r="C35" s="3038"/>
      <c r="D35" s="3038"/>
      <c r="E35" s="3038"/>
      <c r="F35" s="3038"/>
      <c r="G35" s="3039"/>
      <c r="I35" s="3055">
        <v>10</v>
      </c>
      <c r="J35" s="3055">
        <v>67</v>
      </c>
      <c r="K35" s="3055">
        <f>J35-J34</f>
        <v>11.899999999999999</v>
      </c>
    </row>
    <row r="36" spans="1:13">
      <c r="A36" s="3037" t="s">
        <v>2534</v>
      </c>
      <c r="B36" s="3038"/>
      <c r="C36" s="3038"/>
      <c r="D36" s="3038"/>
      <c r="E36" s="3038"/>
      <c r="F36" s="3038"/>
      <c r="G36" s="3039"/>
      <c r="I36" s="3055">
        <v>15</v>
      </c>
      <c r="J36" s="3055">
        <v>76.3</v>
      </c>
      <c r="K36" s="3055">
        <f t="shared" ref="K36:K41" si="3">J36-J35</f>
        <v>9.2999999999999972</v>
      </c>
      <c r="L36" s="3055" t="s">
        <v>2562</v>
      </c>
      <c r="M36" s="3055" t="s">
        <v>2563</v>
      </c>
    </row>
    <row r="37" spans="1:13">
      <c r="A37" s="3037" t="s">
        <v>2535</v>
      </c>
      <c r="B37" s="3038"/>
      <c r="C37" s="3038"/>
      <c r="D37" s="3038"/>
      <c r="E37" s="3038"/>
      <c r="F37" s="3038"/>
      <c r="G37" s="3039"/>
      <c r="I37" s="3055">
        <v>20</v>
      </c>
      <c r="J37" s="3055">
        <v>83.6</v>
      </c>
      <c r="K37" s="3055">
        <f t="shared" si="3"/>
        <v>7.2999999999999972</v>
      </c>
      <c r="L37" s="3055" t="s">
        <v>2561</v>
      </c>
      <c r="M37" s="3055">
        <v>10</v>
      </c>
    </row>
    <row r="38" spans="1:13">
      <c r="A38" s="3037" t="s">
        <v>2536</v>
      </c>
      <c r="B38" s="3038"/>
      <c r="C38" s="3038"/>
      <c r="D38" s="3038"/>
      <c r="E38" s="3038"/>
      <c r="F38" s="3038"/>
      <c r="G38" s="3039"/>
      <c r="I38" s="3055">
        <v>25</v>
      </c>
      <c r="J38" s="3055">
        <v>89.3</v>
      </c>
      <c r="K38" s="3055">
        <f t="shared" si="3"/>
        <v>5.7000000000000028</v>
      </c>
      <c r="L38" s="3055" t="s">
        <v>2565</v>
      </c>
      <c r="M38" s="3055">
        <v>8</v>
      </c>
    </row>
    <row r="39" spans="1:13">
      <c r="A39" s="3037"/>
      <c r="B39" s="3038"/>
      <c r="C39" s="3038"/>
      <c r="D39" s="3038"/>
      <c r="E39" s="3038"/>
      <c r="F39" s="3038"/>
      <c r="G39" s="3039"/>
      <c r="I39" s="3055">
        <v>30</v>
      </c>
      <c r="J39" s="3055">
        <v>93.8</v>
      </c>
      <c r="K39" s="3055">
        <f t="shared" si="3"/>
        <v>4.5</v>
      </c>
      <c r="L39" s="3055" t="s">
        <v>2566</v>
      </c>
      <c r="M39" s="3055">
        <v>6</v>
      </c>
    </row>
    <row r="40" spans="1:13">
      <c r="A40" s="3040" t="s">
        <v>2537</v>
      </c>
      <c r="B40" s="3041"/>
      <c r="C40" s="3041"/>
      <c r="D40" s="3041"/>
      <c r="E40" s="3041"/>
      <c r="F40" s="3041"/>
      <c r="G40" s="3042"/>
      <c r="I40" s="3055">
        <v>35</v>
      </c>
      <c r="J40" s="3055">
        <v>97.2</v>
      </c>
      <c r="K40" s="3055">
        <f t="shared" si="3"/>
        <v>3.4000000000000057</v>
      </c>
      <c r="L40" s="3055" t="s">
        <v>2567</v>
      </c>
      <c r="M40" s="3055">
        <v>3</v>
      </c>
    </row>
    <row r="41" spans="1:13">
      <c r="A41" s="3043" t="s">
        <v>2538</v>
      </c>
      <c r="B41" s="3044" t="s">
        <v>2539</v>
      </c>
      <c r="C41" s="3045" t="s">
        <v>2540</v>
      </c>
      <c r="D41" s="3045" t="s">
        <v>2541</v>
      </c>
      <c r="E41" s="3046"/>
      <c r="F41" s="3047"/>
      <c r="G41" s="3048"/>
      <c r="I41" s="3055">
        <v>40</v>
      </c>
      <c r="J41" s="3055">
        <v>100</v>
      </c>
      <c r="K41" s="3055">
        <f t="shared" si="3"/>
        <v>2.7999999999999972</v>
      </c>
    </row>
    <row r="42" spans="1:13">
      <c r="A42" s="3043" t="s">
        <v>2542</v>
      </c>
      <c r="B42" s="3044" t="s">
        <v>2543</v>
      </c>
      <c r="C42" s="3045" t="s">
        <v>2544</v>
      </c>
      <c r="D42" s="3049" t="s">
        <v>2545</v>
      </c>
      <c r="E42" s="3041" t="s">
        <v>2546</v>
      </c>
      <c r="F42" s="3041"/>
      <c r="G42" s="3042"/>
    </row>
    <row r="43" spans="1:13">
      <c r="A43" s="3043" t="s">
        <v>2547</v>
      </c>
      <c r="B43" s="3044" t="s">
        <v>2548</v>
      </c>
      <c r="C43" s="3045" t="s">
        <v>2549</v>
      </c>
      <c r="D43" s="3045" t="s">
        <v>2550</v>
      </c>
      <c r="E43" s="3046" t="s">
        <v>2551</v>
      </c>
      <c r="F43" s="3047"/>
      <c r="G43" s="3048"/>
      <c r="I43" s="3055" t="s">
        <v>2559</v>
      </c>
      <c r="J43" s="3055" t="s">
        <v>2570</v>
      </c>
    </row>
    <row r="44" spans="1:13">
      <c r="A44" s="3043" t="s">
        <v>2552</v>
      </c>
      <c r="B44" s="3044" t="s">
        <v>2553</v>
      </c>
      <c r="C44" s="3045" t="s">
        <v>2554</v>
      </c>
      <c r="D44" s="3049">
        <v>0.5</v>
      </c>
      <c r="E44" s="3046" t="s">
        <v>2555</v>
      </c>
      <c r="F44" s="3047"/>
      <c r="G44" s="3048"/>
      <c r="I44" s="3055">
        <v>30</v>
      </c>
      <c r="J44" s="3055">
        <v>81.7</v>
      </c>
    </row>
    <row r="45" spans="1:13" ht="14.25" thickBot="1">
      <c r="A45" s="3050" t="s">
        <v>2556</v>
      </c>
      <c r="B45" s="3051" t="s">
        <v>2543</v>
      </c>
      <c r="C45" s="3052" t="s">
        <v>2543</v>
      </c>
      <c r="D45" s="3052" t="s">
        <v>2557</v>
      </c>
      <c r="E45" s="3053" t="s">
        <v>2558</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9"/>
  <sheetViews>
    <sheetView topLeftCell="A455" zoomScale="115" zoomScaleNormal="115" workbookViewId="0">
      <selection activeCell="A500" sqref="A499:A500"/>
    </sheetView>
  </sheetViews>
  <sheetFormatPr defaultColWidth="9" defaultRowHeight="13.5"/>
  <cols>
    <col min="1" max="1" width="47.125" style="3477" customWidth="1"/>
    <col min="2" max="2" width="11.875" style="3477" customWidth="1"/>
    <col min="3" max="3" width="11.875" style="3486" customWidth="1"/>
    <col min="4" max="4" width="16.125" style="3486" customWidth="1"/>
    <col min="5" max="16384" width="9" style="3477"/>
  </cols>
  <sheetData>
    <row r="1" spans="1:4" s="3490" customFormat="1">
      <c r="C1" s="3491"/>
      <c r="D1" s="3491"/>
    </row>
    <row r="2" spans="1:4" s="3487" customFormat="1">
      <c r="A2" s="3489" t="s">
        <v>4826</v>
      </c>
      <c r="B2" s="3489" t="s">
        <v>4825</v>
      </c>
      <c r="C2" s="3488" t="s">
        <v>4824</v>
      </c>
      <c r="D2" s="3488" t="s">
        <v>4823</v>
      </c>
    </row>
    <row r="3" spans="1:4">
      <c r="A3" s="3477" t="s">
        <v>4822</v>
      </c>
      <c r="B3" s="3477">
        <v>1117.05</v>
      </c>
      <c r="C3" s="3486">
        <v>43272</v>
      </c>
      <c r="D3" s="3486">
        <v>45555</v>
      </c>
    </row>
    <row r="4" spans="1:4">
      <c r="A4" s="3477" t="s">
        <v>4821</v>
      </c>
      <c r="B4" s="3477">
        <v>5609.67</v>
      </c>
      <c r="C4" s="3486">
        <v>43211</v>
      </c>
      <c r="D4" s="3486">
        <v>48842</v>
      </c>
    </row>
    <row r="5" spans="1:4">
      <c r="A5" s="3477" t="s">
        <v>4689</v>
      </c>
      <c r="B5" s="3477">
        <v>948.69</v>
      </c>
      <c r="C5" s="3486">
        <v>43289</v>
      </c>
      <c r="D5" s="3486">
        <v>45016</v>
      </c>
    </row>
    <row r="6" spans="1:4">
      <c r="A6" s="3477" t="s">
        <v>4820</v>
      </c>
      <c r="B6" s="3477">
        <v>369.51</v>
      </c>
      <c r="C6" s="3486">
        <v>43272</v>
      </c>
      <c r="D6" s="3486">
        <v>45189</v>
      </c>
    </row>
    <row r="7" spans="1:4">
      <c r="A7" s="3477" t="s">
        <v>4819</v>
      </c>
      <c r="B7" s="3477">
        <v>1033.92</v>
      </c>
      <c r="C7" s="3486">
        <v>43272</v>
      </c>
      <c r="D7" s="3486">
        <v>47016</v>
      </c>
    </row>
    <row r="8" spans="1:4">
      <c r="A8" s="3477" t="s">
        <v>4688</v>
      </c>
      <c r="B8" s="3477">
        <v>230.4</v>
      </c>
      <c r="C8" s="3486">
        <v>43302</v>
      </c>
      <c r="D8" s="3486">
        <v>44936</v>
      </c>
    </row>
    <row r="9" spans="1:4">
      <c r="A9" s="3477" t="s">
        <v>4535</v>
      </c>
      <c r="B9" s="3477">
        <v>431.27</v>
      </c>
      <c r="C9" s="3486">
        <v>43302</v>
      </c>
      <c r="D9" s="3486">
        <v>45189</v>
      </c>
    </row>
    <row r="10" spans="1:4">
      <c r="A10" s="3477" t="s">
        <v>4818</v>
      </c>
      <c r="B10" s="3477">
        <v>329.77</v>
      </c>
      <c r="C10" s="3486">
        <v>43302</v>
      </c>
      <c r="D10" s="3486">
        <v>45189</v>
      </c>
    </row>
    <row r="11" spans="1:4">
      <c r="A11" s="3477" t="s">
        <v>4817</v>
      </c>
      <c r="B11" s="3477">
        <v>287.06</v>
      </c>
      <c r="C11" s="3486">
        <v>43274</v>
      </c>
      <c r="D11" s="3486">
        <v>45555</v>
      </c>
    </row>
    <row r="12" spans="1:4">
      <c r="A12" s="3477" t="s">
        <v>4816</v>
      </c>
      <c r="B12" s="3477">
        <v>164.68</v>
      </c>
      <c r="C12" s="3486">
        <v>43273</v>
      </c>
      <c r="D12" s="3486">
        <v>47016</v>
      </c>
    </row>
    <row r="13" spans="1:4">
      <c r="A13" s="3477" t="s">
        <v>4563</v>
      </c>
      <c r="B13" s="3477">
        <v>515.41</v>
      </c>
      <c r="C13" s="3486">
        <v>43272</v>
      </c>
      <c r="D13" s="3486">
        <v>45189</v>
      </c>
    </row>
    <row r="14" spans="1:4">
      <c r="A14" s="3477" t="s">
        <v>4815</v>
      </c>
      <c r="B14" s="3477">
        <v>6725.7</v>
      </c>
      <c r="C14" s="3486">
        <v>43211</v>
      </c>
      <c r="D14" s="3486">
        <v>48842</v>
      </c>
    </row>
    <row r="15" spans="1:4">
      <c r="A15" s="3477" t="s">
        <v>4814</v>
      </c>
      <c r="B15" s="3477">
        <v>450.51</v>
      </c>
      <c r="C15" s="3486">
        <v>43272</v>
      </c>
      <c r="D15" s="3486">
        <v>46285</v>
      </c>
    </row>
    <row r="16" spans="1:4">
      <c r="A16" s="3477" t="s">
        <v>4813</v>
      </c>
      <c r="B16" s="3477">
        <v>122.57</v>
      </c>
      <c r="C16" s="3486">
        <v>43273</v>
      </c>
      <c r="D16" s="3486">
        <v>48111</v>
      </c>
    </row>
    <row r="17" spans="1:4">
      <c r="A17" s="3477" t="s">
        <v>4812</v>
      </c>
      <c r="B17" s="3477">
        <v>318.94</v>
      </c>
      <c r="C17" s="3486">
        <v>43302</v>
      </c>
      <c r="D17" s="3486">
        <v>45189</v>
      </c>
    </row>
    <row r="18" spans="1:4">
      <c r="A18" s="3477" t="s">
        <v>4551</v>
      </c>
      <c r="B18" s="3477">
        <v>281.74</v>
      </c>
      <c r="C18" s="3486">
        <v>43302</v>
      </c>
      <c r="D18" s="3486">
        <v>45189</v>
      </c>
    </row>
    <row r="19" spans="1:4">
      <c r="A19" s="3477" t="s">
        <v>4811</v>
      </c>
      <c r="B19" s="3477">
        <v>128</v>
      </c>
      <c r="C19" s="3486">
        <v>43272</v>
      </c>
      <c r="D19" s="3486">
        <v>46285</v>
      </c>
    </row>
    <row r="20" spans="1:4">
      <c r="A20" s="3477" t="s">
        <v>4810</v>
      </c>
      <c r="B20" s="3477">
        <v>389</v>
      </c>
      <c r="C20" s="3486">
        <v>43272</v>
      </c>
      <c r="D20" s="3486">
        <v>46285</v>
      </c>
    </row>
    <row r="21" spans="1:4">
      <c r="A21" s="3477" t="s">
        <v>4540</v>
      </c>
      <c r="B21" s="3477">
        <v>439.83</v>
      </c>
      <c r="C21" s="3486">
        <v>43319</v>
      </c>
      <c r="D21" s="3486">
        <v>45189</v>
      </c>
    </row>
    <row r="22" spans="1:4">
      <c r="A22" s="3477" t="s">
        <v>4809</v>
      </c>
      <c r="B22" s="3477">
        <v>984.2</v>
      </c>
      <c r="C22" s="3486">
        <v>43241</v>
      </c>
      <c r="D22" s="3486">
        <v>47016</v>
      </c>
    </row>
    <row r="23" spans="1:4">
      <c r="A23" s="3477" t="s">
        <v>4619</v>
      </c>
      <c r="B23" s="3477">
        <v>275.94</v>
      </c>
      <c r="C23" s="3486">
        <v>43319</v>
      </c>
      <c r="D23" s="3486">
        <v>45189</v>
      </c>
    </row>
    <row r="24" spans="1:4">
      <c r="A24" s="3477" t="s">
        <v>4808</v>
      </c>
      <c r="B24" s="3477">
        <v>228.12</v>
      </c>
      <c r="C24" s="3486">
        <v>43273</v>
      </c>
      <c r="D24" s="3486">
        <v>47016</v>
      </c>
    </row>
    <row r="25" spans="1:4">
      <c r="A25" s="3477" t="s">
        <v>4601</v>
      </c>
      <c r="B25" s="3477">
        <v>152.66999999999999</v>
      </c>
      <c r="C25" s="3486">
        <v>43302</v>
      </c>
      <c r="D25" s="3486">
        <v>45189</v>
      </c>
    </row>
    <row r="26" spans="1:4">
      <c r="A26" s="3477" t="s">
        <v>4516</v>
      </c>
      <c r="B26" s="3477">
        <v>376.88</v>
      </c>
      <c r="C26" s="3486">
        <v>43319</v>
      </c>
      <c r="D26" s="3486">
        <v>45189</v>
      </c>
    </row>
    <row r="27" spans="1:4">
      <c r="A27" s="3477" t="s">
        <v>4618</v>
      </c>
      <c r="B27" s="3477">
        <v>331.2</v>
      </c>
      <c r="C27" s="3486">
        <v>43319</v>
      </c>
      <c r="D27" s="3486">
        <v>45189</v>
      </c>
    </row>
    <row r="28" spans="1:4">
      <c r="A28" s="3477" t="s">
        <v>4807</v>
      </c>
      <c r="B28" s="3477">
        <v>160.22</v>
      </c>
      <c r="C28" s="3486">
        <v>43273</v>
      </c>
      <c r="D28" s="3486">
        <v>47016</v>
      </c>
    </row>
    <row r="29" spans="1:4">
      <c r="A29" s="3477" t="s">
        <v>4532</v>
      </c>
      <c r="B29" s="3477">
        <v>92.77</v>
      </c>
      <c r="C29" s="3486">
        <v>43333</v>
      </c>
      <c r="D29" s="3486">
        <v>45189</v>
      </c>
    </row>
    <row r="30" spans="1:4">
      <c r="A30" s="3477" t="s">
        <v>4806</v>
      </c>
      <c r="B30" s="3477">
        <v>1311.55</v>
      </c>
      <c r="C30" s="3486">
        <v>43272</v>
      </c>
      <c r="D30" s="3486">
        <v>47016</v>
      </c>
    </row>
    <row r="31" spans="1:4">
      <c r="A31" s="3477" t="s">
        <v>4544</v>
      </c>
      <c r="B31" s="3477">
        <v>255.22</v>
      </c>
      <c r="C31" s="3486">
        <v>43302</v>
      </c>
      <c r="D31" s="3486">
        <v>45189</v>
      </c>
    </row>
    <row r="32" spans="1:4">
      <c r="A32" s="3477" t="s">
        <v>4555</v>
      </c>
      <c r="B32" s="3477">
        <v>259.8</v>
      </c>
      <c r="C32" s="3486">
        <v>43333</v>
      </c>
      <c r="D32" s="3486">
        <v>45189</v>
      </c>
    </row>
    <row r="33" spans="1:4">
      <c r="A33" s="3477" t="s">
        <v>4805</v>
      </c>
      <c r="B33" s="3477">
        <v>120.3</v>
      </c>
      <c r="C33" s="3486">
        <v>43302</v>
      </c>
      <c r="D33" s="3486">
        <v>45555</v>
      </c>
    </row>
    <row r="34" spans="1:4">
      <c r="A34" s="3477" t="s">
        <v>4549</v>
      </c>
      <c r="B34" s="3477">
        <v>164.86</v>
      </c>
      <c r="C34" s="3486">
        <v>43302</v>
      </c>
      <c r="D34" s="3486">
        <v>45189</v>
      </c>
    </row>
    <row r="35" spans="1:4">
      <c r="A35" s="3477" t="s">
        <v>4804</v>
      </c>
      <c r="B35" s="3477">
        <v>324.52999999999997</v>
      </c>
      <c r="C35" s="3486">
        <v>43272</v>
      </c>
      <c r="D35" s="3486">
        <v>46285</v>
      </c>
    </row>
    <row r="36" spans="1:4">
      <c r="A36" s="3477" t="s">
        <v>4803</v>
      </c>
      <c r="B36" s="3477">
        <v>355.68</v>
      </c>
      <c r="C36" s="3486">
        <v>43302</v>
      </c>
      <c r="D36" s="3486">
        <v>46285</v>
      </c>
    </row>
    <row r="37" spans="1:4">
      <c r="A37" s="3477" t="s">
        <v>4802</v>
      </c>
      <c r="B37" s="3477">
        <v>368.39</v>
      </c>
      <c r="C37" s="3486">
        <v>43304</v>
      </c>
      <c r="D37" s="3486">
        <v>45230</v>
      </c>
    </row>
    <row r="38" spans="1:4">
      <c r="A38" s="3477" t="s">
        <v>4746</v>
      </c>
      <c r="B38" s="3477">
        <v>290.67</v>
      </c>
      <c r="C38" s="3486">
        <v>43320</v>
      </c>
      <c r="D38" s="3486">
        <v>45206</v>
      </c>
    </row>
    <row r="39" spans="1:4">
      <c r="A39" s="3477" t="s">
        <v>4513</v>
      </c>
      <c r="B39" s="3477">
        <v>232.83</v>
      </c>
      <c r="C39" s="3486">
        <v>43647</v>
      </c>
      <c r="D39" s="3486">
        <v>45169</v>
      </c>
    </row>
    <row r="40" spans="1:4">
      <c r="A40" s="3477" t="s">
        <v>4801</v>
      </c>
      <c r="B40" s="3477">
        <v>207.43</v>
      </c>
      <c r="C40" s="3486">
        <v>43678</v>
      </c>
      <c r="D40" s="3486">
        <v>45199</v>
      </c>
    </row>
    <row r="41" spans="1:4">
      <c r="A41" s="3477" t="s">
        <v>4800</v>
      </c>
      <c r="B41" s="3477">
        <v>388.96</v>
      </c>
      <c r="C41" s="3486">
        <v>43709</v>
      </c>
      <c r="D41" s="3486">
        <v>45596</v>
      </c>
    </row>
    <row r="42" spans="1:4">
      <c r="A42" s="3477" t="s">
        <v>4799</v>
      </c>
      <c r="B42" s="3477">
        <v>233.3</v>
      </c>
      <c r="C42" s="3486">
        <v>43982</v>
      </c>
      <c r="D42" s="3486">
        <v>45076</v>
      </c>
    </row>
    <row r="43" spans="1:4">
      <c r="A43" s="3477" t="s">
        <v>4639</v>
      </c>
      <c r="B43" s="3477">
        <v>161.57</v>
      </c>
      <c r="C43" s="3486">
        <v>43979</v>
      </c>
      <c r="D43" s="3486">
        <v>45077</v>
      </c>
    </row>
    <row r="44" spans="1:4">
      <c r="A44" s="3477" t="s">
        <v>4664</v>
      </c>
      <c r="B44" s="3477">
        <v>169.16</v>
      </c>
      <c r="C44" s="3486">
        <v>43983</v>
      </c>
      <c r="D44" s="3486">
        <v>45107</v>
      </c>
    </row>
    <row r="45" spans="1:4">
      <c r="A45" s="3477" t="s">
        <v>4578</v>
      </c>
      <c r="B45" s="3477">
        <v>113.98</v>
      </c>
      <c r="C45" s="3486">
        <v>44034</v>
      </c>
      <c r="D45" s="3486">
        <v>45169</v>
      </c>
    </row>
    <row r="46" spans="1:4">
      <c r="A46" s="3477" t="s">
        <v>4729</v>
      </c>
      <c r="B46" s="3477">
        <v>66.31</v>
      </c>
      <c r="C46" s="3486">
        <v>44059</v>
      </c>
      <c r="D46" s="3486">
        <v>45869</v>
      </c>
    </row>
    <row r="47" spans="1:4">
      <c r="A47" s="3477" t="s">
        <v>4798</v>
      </c>
      <c r="B47" s="3477">
        <v>406.08</v>
      </c>
      <c r="C47" s="3486">
        <v>44075</v>
      </c>
      <c r="D47" s="3486">
        <v>45900</v>
      </c>
    </row>
    <row r="48" spans="1:4">
      <c r="A48" s="3477" t="s">
        <v>4797</v>
      </c>
      <c r="B48" s="3477">
        <v>668.9</v>
      </c>
      <c r="C48" s="3486">
        <v>44095</v>
      </c>
      <c r="D48" s="3486">
        <v>45961</v>
      </c>
    </row>
    <row r="49" spans="1:4">
      <c r="A49" s="3477" t="s">
        <v>4796</v>
      </c>
      <c r="B49" s="3477">
        <v>137.11000000000001</v>
      </c>
      <c r="C49" s="3486">
        <v>44119</v>
      </c>
      <c r="D49" s="3486">
        <v>45639</v>
      </c>
    </row>
    <row r="50" spans="1:4">
      <c r="A50" s="3477" t="s">
        <v>4570</v>
      </c>
      <c r="B50" s="3477">
        <v>134.69999999999999</v>
      </c>
      <c r="C50" s="3486">
        <v>44064</v>
      </c>
      <c r="D50" s="3486">
        <v>45169</v>
      </c>
    </row>
    <row r="51" spans="1:4">
      <c r="A51" s="3477" t="s">
        <v>4795</v>
      </c>
      <c r="B51" s="3477">
        <v>317.2</v>
      </c>
      <c r="C51" s="3486">
        <v>44068</v>
      </c>
      <c r="D51" s="3486">
        <v>47083</v>
      </c>
    </row>
    <row r="52" spans="1:4">
      <c r="A52" s="3477" t="s">
        <v>4794</v>
      </c>
      <c r="B52" s="3477">
        <v>223.24</v>
      </c>
      <c r="C52" s="3486">
        <v>44136</v>
      </c>
      <c r="D52" s="3486">
        <v>46326</v>
      </c>
    </row>
    <row r="53" spans="1:4">
      <c r="A53" s="3477" t="s">
        <v>4793</v>
      </c>
      <c r="B53" s="3477">
        <v>396.38</v>
      </c>
      <c r="C53" s="3486">
        <v>44112</v>
      </c>
      <c r="D53" s="3486">
        <v>45930</v>
      </c>
    </row>
    <row r="54" spans="1:4">
      <c r="A54" s="3477" t="s">
        <v>4792</v>
      </c>
      <c r="B54" s="3477">
        <v>157.97</v>
      </c>
      <c r="C54" s="3486">
        <v>44105</v>
      </c>
      <c r="D54" s="3486">
        <v>45230</v>
      </c>
    </row>
    <row r="55" spans="1:4">
      <c r="A55" s="3477" t="s">
        <v>4791</v>
      </c>
      <c r="B55" s="3477">
        <v>155.13999999999999</v>
      </c>
      <c r="C55" s="3486">
        <v>44075</v>
      </c>
      <c r="D55" s="3486">
        <v>45535</v>
      </c>
    </row>
    <row r="56" spans="1:4">
      <c r="A56" s="3477" t="s">
        <v>4530</v>
      </c>
      <c r="B56" s="3477">
        <v>245.66</v>
      </c>
      <c r="C56" s="3486">
        <v>44086</v>
      </c>
      <c r="D56" s="3486">
        <v>45230</v>
      </c>
    </row>
    <row r="57" spans="1:4">
      <c r="A57" s="3477" t="s">
        <v>4790</v>
      </c>
      <c r="B57" s="3477">
        <v>170.19</v>
      </c>
      <c r="C57" s="3486">
        <v>44129</v>
      </c>
      <c r="D57" s="3486">
        <v>45016</v>
      </c>
    </row>
    <row r="58" spans="1:4">
      <c r="A58" s="3477" t="s">
        <v>4789</v>
      </c>
      <c r="B58" s="3477">
        <v>324.24</v>
      </c>
      <c r="C58" s="3486">
        <v>44120</v>
      </c>
      <c r="D58" s="3486">
        <v>45961</v>
      </c>
    </row>
    <row r="59" spans="1:4">
      <c r="A59" s="3477" t="s">
        <v>4577</v>
      </c>
      <c r="B59" s="3477">
        <v>121.05</v>
      </c>
      <c r="C59" s="3486">
        <v>44188</v>
      </c>
      <c r="D59" s="3486">
        <v>45046</v>
      </c>
    </row>
    <row r="60" spans="1:4">
      <c r="A60" s="3477" t="s">
        <v>4788</v>
      </c>
      <c r="B60" s="3477">
        <v>264.14999999999998</v>
      </c>
      <c r="C60" s="3486">
        <v>44197</v>
      </c>
      <c r="D60" s="3486">
        <v>45716</v>
      </c>
    </row>
    <row r="61" spans="1:4">
      <c r="A61" s="3477" t="s">
        <v>4571</v>
      </c>
      <c r="B61" s="3477">
        <v>10.1</v>
      </c>
      <c r="C61" s="3486">
        <v>44228</v>
      </c>
      <c r="D61" s="3486">
        <v>44957</v>
      </c>
    </row>
    <row r="62" spans="1:4">
      <c r="A62" s="3477" t="s">
        <v>4665</v>
      </c>
      <c r="B62" s="3477">
        <v>127.35</v>
      </c>
      <c r="C62" s="3486">
        <v>44265</v>
      </c>
      <c r="D62" s="3486">
        <v>45016</v>
      </c>
    </row>
    <row r="63" spans="1:4">
      <c r="A63" s="3477" t="s">
        <v>4787</v>
      </c>
      <c r="B63" s="3477">
        <v>555.48</v>
      </c>
      <c r="C63" s="3486">
        <v>44256</v>
      </c>
      <c r="D63" s="3486">
        <v>45777</v>
      </c>
    </row>
    <row r="64" spans="1:4">
      <c r="A64" s="3477" t="s">
        <v>4786</v>
      </c>
      <c r="B64" s="3477">
        <v>251.63</v>
      </c>
      <c r="C64" s="3486">
        <v>44256</v>
      </c>
      <c r="D64" s="3486">
        <v>45747</v>
      </c>
    </row>
    <row r="65" spans="1:4">
      <c r="A65" s="3477" t="s">
        <v>4667</v>
      </c>
      <c r="B65" s="3477">
        <v>157.05000000000001</v>
      </c>
      <c r="C65" s="3486">
        <v>44317</v>
      </c>
      <c r="D65" s="3486">
        <v>45046</v>
      </c>
    </row>
    <row r="66" spans="1:4">
      <c r="A66" s="3477" t="s">
        <v>4670</v>
      </c>
      <c r="B66" s="3477">
        <v>54.21</v>
      </c>
      <c r="C66" s="3486">
        <v>44265</v>
      </c>
      <c r="D66" s="3486">
        <v>45016</v>
      </c>
    </row>
    <row r="67" spans="1:4">
      <c r="A67" s="3477" t="s">
        <v>4672</v>
      </c>
      <c r="B67" s="3477">
        <v>78.709999999999994</v>
      </c>
      <c r="C67" s="3486">
        <v>44287</v>
      </c>
      <c r="D67" s="3486">
        <v>45016</v>
      </c>
    </row>
    <row r="68" spans="1:4">
      <c r="A68" s="3477" t="s">
        <v>4666</v>
      </c>
      <c r="B68" s="3477">
        <v>38.159999999999997</v>
      </c>
      <c r="C68" s="3486">
        <v>44287</v>
      </c>
      <c r="D68" s="3486">
        <v>45016</v>
      </c>
    </row>
    <row r="69" spans="1:4">
      <c r="A69" s="3477" t="s">
        <v>4654</v>
      </c>
      <c r="B69" s="3477">
        <v>123.08</v>
      </c>
      <c r="C69" s="3486">
        <v>44317</v>
      </c>
      <c r="D69" s="3486">
        <v>45046</v>
      </c>
    </row>
    <row r="70" spans="1:4">
      <c r="A70" s="3477" t="s">
        <v>4785</v>
      </c>
      <c r="B70" s="3477">
        <v>35.36</v>
      </c>
      <c r="C70" s="3486">
        <v>44317</v>
      </c>
      <c r="D70" s="3486">
        <v>45046</v>
      </c>
    </row>
    <row r="71" spans="1:4">
      <c r="A71" s="3477" t="s">
        <v>4784</v>
      </c>
      <c r="B71" s="3477">
        <v>12.26</v>
      </c>
      <c r="C71" s="3486">
        <v>44317</v>
      </c>
      <c r="D71" s="3486">
        <v>45046</v>
      </c>
    </row>
    <row r="72" spans="1:4">
      <c r="A72" s="3477" t="s">
        <v>4662</v>
      </c>
      <c r="B72" s="3477">
        <v>128.07</v>
      </c>
      <c r="C72" s="3486">
        <v>44281</v>
      </c>
      <c r="D72" s="3486">
        <v>45016</v>
      </c>
    </row>
    <row r="73" spans="1:4">
      <c r="A73" s="3477" t="s">
        <v>4652</v>
      </c>
      <c r="B73" s="3477">
        <v>95.92</v>
      </c>
      <c r="C73" s="3486">
        <v>44317</v>
      </c>
      <c r="D73" s="3486">
        <v>45046</v>
      </c>
    </row>
    <row r="74" spans="1:4">
      <c r="A74" s="3477" t="s">
        <v>4783</v>
      </c>
      <c r="B74" s="3477">
        <v>76.099999999999994</v>
      </c>
      <c r="C74" s="3486">
        <v>44314</v>
      </c>
      <c r="D74" s="3486">
        <v>45382</v>
      </c>
    </row>
    <row r="75" spans="1:4">
      <c r="A75" s="3477" t="s">
        <v>4641</v>
      </c>
      <c r="B75" s="3477">
        <v>97.54</v>
      </c>
      <c r="C75" s="3486">
        <v>44324</v>
      </c>
      <c r="D75" s="3486">
        <v>45077</v>
      </c>
    </row>
    <row r="76" spans="1:4">
      <c r="A76" s="3477" t="s">
        <v>4640</v>
      </c>
      <c r="B76" s="3477">
        <v>30.35</v>
      </c>
      <c r="C76" s="3486">
        <v>44333</v>
      </c>
      <c r="D76" s="3486">
        <v>45077</v>
      </c>
    </row>
    <row r="77" spans="1:4">
      <c r="A77" s="3477" t="s">
        <v>4640</v>
      </c>
      <c r="B77" s="3477">
        <v>15.35</v>
      </c>
      <c r="C77" s="3486">
        <v>44348</v>
      </c>
      <c r="D77" s="3486">
        <v>45077</v>
      </c>
    </row>
    <row r="78" spans="1:4">
      <c r="A78" s="3477" t="s">
        <v>4782</v>
      </c>
      <c r="B78" s="3477">
        <v>101.02</v>
      </c>
      <c r="C78" s="3486">
        <v>44332</v>
      </c>
      <c r="D78" s="3486">
        <v>45230</v>
      </c>
    </row>
    <row r="79" spans="1:4">
      <c r="A79" s="3477" t="s">
        <v>4781</v>
      </c>
      <c r="B79" s="3477">
        <v>97.37</v>
      </c>
      <c r="C79" s="3486">
        <v>44331</v>
      </c>
      <c r="D79" s="3486">
        <v>45016</v>
      </c>
    </row>
    <row r="80" spans="1:4">
      <c r="A80" s="3477" t="s">
        <v>4637</v>
      </c>
      <c r="B80" s="3477">
        <v>42.56</v>
      </c>
      <c r="C80" s="3486">
        <v>44355</v>
      </c>
      <c r="D80" s="3486">
        <v>45077</v>
      </c>
    </row>
    <row r="81" spans="1:4">
      <c r="A81" s="3477" t="s">
        <v>4780</v>
      </c>
      <c r="B81" s="3477">
        <v>146.28</v>
      </c>
      <c r="C81" s="3486">
        <v>44331</v>
      </c>
      <c r="D81" s="3486">
        <v>45077</v>
      </c>
    </row>
    <row r="82" spans="1:4">
      <c r="A82" s="3477" t="s">
        <v>4520</v>
      </c>
      <c r="B82" s="3477">
        <v>60.26</v>
      </c>
      <c r="C82" s="3486">
        <v>44501</v>
      </c>
      <c r="D82" s="3486">
        <v>45230</v>
      </c>
    </row>
    <row r="83" spans="1:4">
      <c r="A83" s="3477" t="s">
        <v>4625</v>
      </c>
      <c r="B83" s="3477">
        <v>145.09</v>
      </c>
      <c r="C83" s="3486">
        <v>44460</v>
      </c>
      <c r="D83" s="3486">
        <v>45169</v>
      </c>
    </row>
    <row r="84" spans="1:4">
      <c r="A84" s="3477" t="s">
        <v>4779</v>
      </c>
      <c r="B84" s="3477">
        <v>152.77000000000001</v>
      </c>
      <c r="C84" s="3486">
        <v>44378</v>
      </c>
      <c r="D84" s="3486">
        <v>45473</v>
      </c>
    </row>
    <row r="85" spans="1:4">
      <c r="A85" s="3477" t="s">
        <v>4778</v>
      </c>
      <c r="B85" s="3477">
        <v>60.41</v>
      </c>
      <c r="C85" s="3486">
        <v>44378</v>
      </c>
      <c r="D85" s="3486">
        <v>45138</v>
      </c>
    </row>
    <row r="86" spans="1:4">
      <c r="A86" s="3477" t="s">
        <v>4777</v>
      </c>
      <c r="B86" s="3477">
        <v>50.8</v>
      </c>
      <c r="C86" s="3486">
        <v>44382</v>
      </c>
      <c r="D86" s="3486">
        <v>45107</v>
      </c>
    </row>
    <row r="87" spans="1:4">
      <c r="A87" s="3477" t="s">
        <v>4627</v>
      </c>
      <c r="B87" s="3477">
        <v>144.13999999999999</v>
      </c>
      <c r="C87" s="3486">
        <v>44409</v>
      </c>
      <c r="D87" s="3486">
        <v>45169</v>
      </c>
    </row>
    <row r="88" spans="1:4">
      <c r="A88" s="3477" t="s">
        <v>4593</v>
      </c>
      <c r="B88" s="3477">
        <v>64.12</v>
      </c>
      <c r="C88" s="3486">
        <v>44394</v>
      </c>
      <c r="D88" s="3486">
        <v>45107</v>
      </c>
    </row>
    <row r="89" spans="1:4">
      <c r="A89" s="3477" t="s">
        <v>4584</v>
      </c>
      <c r="B89" s="3477">
        <v>39.57</v>
      </c>
      <c r="C89" s="3486">
        <v>44398</v>
      </c>
      <c r="D89" s="3486">
        <v>45107</v>
      </c>
    </row>
    <row r="90" spans="1:4">
      <c r="A90" s="3477" t="s">
        <v>4776</v>
      </c>
      <c r="B90" s="3477">
        <v>119.7</v>
      </c>
      <c r="C90" s="3486">
        <v>44383</v>
      </c>
      <c r="D90" s="3486">
        <v>45046</v>
      </c>
    </row>
    <row r="91" spans="1:4">
      <c r="A91" s="3477" t="s">
        <v>4495</v>
      </c>
      <c r="B91" s="3477">
        <v>163.78</v>
      </c>
      <c r="C91" s="3486">
        <v>44398</v>
      </c>
      <c r="D91" s="3486">
        <v>45291</v>
      </c>
    </row>
    <row r="92" spans="1:4">
      <c r="A92" s="3477" t="s">
        <v>4775</v>
      </c>
      <c r="B92" s="3477">
        <v>142.37</v>
      </c>
      <c r="C92" s="3486">
        <v>44490</v>
      </c>
      <c r="D92" s="3486">
        <v>45596</v>
      </c>
    </row>
    <row r="93" spans="1:4">
      <c r="A93" s="3477" t="s">
        <v>4774</v>
      </c>
      <c r="B93" s="3477">
        <v>67.38</v>
      </c>
      <c r="C93" s="3486">
        <v>44490</v>
      </c>
      <c r="D93" s="3486">
        <v>45596</v>
      </c>
    </row>
    <row r="94" spans="1:4">
      <c r="A94" s="3477" t="s">
        <v>4773</v>
      </c>
      <c r="B94" s="3477">
        <v>35.46</v>
      </c>
      <c r="C94" s="3486">
        <v>44491</v>
      </c>
      <c r="D94" s="3486">
        <v>45596</v>
      </c>
    </row>
    <row r="95" spans="1:4">
      <c r="A95" s="3477" t="s">
        <v>4772</v>
      </c>
      <c r="B95" s="3477">
        <v>167.36</v>
      </c>
      <c r="C95" s="3486">
        <v>44391</v>
      </c>
      <c r="D95" s="3486">
        <v>45473</v>
      </c>
    </row>
    <row r="96" spans="1:4">
      <c r="A96" s="3477" t="s">
        <v>4594</v>
      </c>
      <c r="B96" s="3477">
        <v>48.43</v>
      </c>
      <c r="C96" s="3486">
        <v>44396</v>
      </c>
      <c r="D96" s="3486">
        <v>45107</v>
      </c>
    </row>
    <row r="97" spans="1:4">
      <c r="A97" s="3477" t="s">
        <v>4771</v>
      </c>
      <c r="B97" s="3477">
        <v>130.22</v>
      </c>
      <c r="C97" s="3486">
        <v>44419</v>
      </c>
      <c r="D97" s="3486">
        <v>45138</v>
      </c>
    </row>
    <row r="98" spans="1:4">
      <c r="A98" s="3477" t="s">
        <v>4556</v>
      </c>
      <c r="B98" s="3477">
        <v>219.84</v>
      </c>
      <c r="C98" s="3486">
        <v>44484</v>
      </c>
      <c r="D98" s="3486">
        <v>45230</v>
      </c>
    </row>
    <row r="99" spans="1:4">
      <c r="A99" s="3477" t="s">
        <v>4770</v>
      </c>
      <c r="B99" s="3477">
        <v>97.28</v>
      </c>
      <c r="C99" s="3486">
        <v>44418</v>
      </c>
      <c r="D99" s="3486">
        <v>45230</v>
      </c>
    </row>
    <row r="100" spans="1:4">
      <c r="A100" s="3477" t="s">
        <v>4634</v>
      </c>
      <c r="B100" s="3477">
        <v>153.22999999999999</v>
      </c>
      <c r="C100" s="3486">
        <v>44460</v>
      </c>
      <c r="D100" s="3486">
        <v>45169</v>
      </c>
    </row>
    <row r="101" spans="1:4">
      <c r="A101" s="3477" t="s">
        <v>4500</v>
      </c>
      <c r="B101" s="3477">
        <v>143.34</v>
      </c>
      <c r="C101" s="3486">
        <v>44503</v>
      </c>
      <c r="D101" s="3486">
        <v>45260</v>
      </c>
    </row>
    <row r="102" spans="1:4">
      <c r="A102" s="3477" t="s">
        <v>4507</v>
      </c>
      <c r="B102" s="3477">
        <v>218.93</v>
      </c>
      <c r="C102" s="3486">
        <v>44481</v>
      </c>
      <c r="D102" s="3486">
        <v>45991</v>
      </c>
    </row>
    <row r="103" spans="1:4">
      <c r="A103" s="3477" t="s">
        <v>4537</v>
      </c>
      <c r="B103" s="3477">
        <v>164.86</v>
      </c>
      <c r="C103" s="3486">
        <v>44500</v>
      </c>
      <c r="D103" s="3486">
        <v>45199</v>
      </c>
    </row>
    <row r="104" spans="1:4">
      <c r="A104" s="3477" t="s">
        <v>4526</v>
      </c>
      <c r="B104" s="3477">
        <v>53.48</v>
      </c>
      <c r="C104" s="3486">
        <v>44481</v>
      </c>
      <c r="D104" s="3486">
        <v>45199</v>
      </c>
    </row>
    <row r="105" spans="1:4">
      <c r="A105" s="3477" t="s">
        <v>4769</v>
      </c>
      <c r="B105" s="3477">
        <v>97.01</v>
      </c>
      <c r="C105" s="3486">
        <v>44488</v>
      </c>
      <c r="D105" s="3486">
        <v>45596</v>
      </c>
    </row>
    <row r="106" spans="1:4">
      <c r="A106" s="3477" t="s">
        <v>4514</v>
      </c>
      <c r="B106" s="3477">
        <v>92.75</v>
      </c>
      <c r="C106" s="3486">
        <v>44551</v>
      </c>
      <c r="D106" s="3486">
        <v>45260</v>
      </c>
    </row>
    <row r="107" spans="1:4">
      <c r="A107" s="3477" t="s">
        <v>4608</v>
      </c>
      <c r="B107" s="3477">
        <v>61.07</v>
      </c>
      <c r="C107" s="3486">
        <v>44454</v>
      </c>
      <c r="D107" s="3486">
        <v>45169</v>
      </c>
    </row>
    <row r="108" spans="1:4">
      <c r="A108" s="3477" t="s">
        <v>4580</v>
      </c>
      <c r="B108" s="3477">
        <v>55.84</v>
      </c>
      <c r="C108" s="3486">
        <v>44432</v>
      </c>
      <c r="D108" s="3486">
        <v>45138</v>
      </c>
    </row>
    <row r="109" spans="1:4">
      <c r="A109" s="3477" t="s">
        <v>4768</v>
      </c>
      <c r="B109" s="3477">
        <v>293.27999999999997</v>
      </c>
      <c r="C109" s="3486">
        <v>44489</v>
      </c>
      <c r="D109" s="3486">
        <v>45626</v>
      </c>
    </row>
    <row r="110" spans="1:4">
      <c r="A110" s="3477" t="s">
        <v>4767</v>
      </c>
      <c r="B110" s="3477">
        <v>333.91</v>
      </c>
      <c r="C110" s="3486">
        <v>44525</v>
      </c>
      <c r="D110" s="3486">
        <v>46385</v>
      </c>
    </row>
    <row r="111" spans="1:4">
      <c r="A111" s="3477" t="s">
        <v>4766</v>
      </c>
      <c r="B111" s="3477">
        <v>31.38</v>
      </c>
      <c r="C111" s="3486">
        <v>44518</v>
      </c>
      <c r="D111" s="3486">
        <v>45230</v>
      </c>
    </row>
    <row r="112" spans="1:4">
      <c r="A112" s="3477" t="s">
        <v>4567</v>
      </c>
      <c r="B112" s="3477">
        <v>348.83</v>
      </c>
      <c r="C112" s="3486">
        <v>44460</v>
      </c>
      <c r="D112" s="3486">
        <v>45169</v>
      </c>
    </row>
    <row r="113" spans="1:4">
      <c r="A113" s="3477" t="s">
        <v>4765</v>
      </c>
      <c r="B113" s="3477">
        <v>136.05000000000001</v>
      </c>
      <c r="C113" s="3486">
        <v>44491</v>
      </c>
      <c r="D113" s="3486">
        <v>45138</v>
      </c>
    </row>
    <row r="114" spans="1:4">
      <c r="A114" s="3477" t="s">
        <v>4764</v>
      </c>
      <c r="B114" s="3477">
        <v>137.31</v>
      </c>
      <c r="C114" s="3486">
        <v>44466</v>
      </c>
      <c r="D114" s="3486">
        <v>44957</v>
      </c>
    </row>
    <row r="115" spans="1:4">
      <c r="A115" s="3477" t="s">
        <v>4492</v>
      </c>
      <c r="B115" s="3477">
        <v>118.07</v>
      </c>
      <c r="C115" s="3486">
        <v>44460</v>
      </c>
      <c r="D115" s="3486">
        <v>45169</v>
      </c>
    </row>
    <row r="116" spans="1:4">
      <c r="A116" s="3477" t="s">
        <v>4558</v>
      </c>
      <c r="B116" s="3477">
        <v>139.52000000000001</v>
      </c>
      <c r="C116" s="3486">
        <v>44460</v>
      </c>
      <c r="D116" s="3486">
        <v>45169</v>
      </c>
    </row>
    <row r="117" spans="1:4">
      <c r="A117" s="3477" t="s">
        <v>4763</v>
      </c>
      <c r="B117" s="3477">
        <v>173.67</v>
      </c>
      <c r="C117" s="3486">
        <v>44490</v>
      </c>
      <c r="D117" s="3486">
        <v>45747</v>
      </c>
    </row>
    <row r="118" spans="1:4">
      <c r="A118" s="3477" t="s">
        <v>4762</v>
      </c>
      <c r="B118" s="3477">
        <v>158.4</v>
      </c>
      <c r="C118" s="3486">
        <v>44524</v>
      </c>
      <c r="D118" s="3486">
        <v>45596</v>
      </c>
    </row>
    <row r="119" spans="1:4">
      <c r="A119" s="3477" t="s">
        <v>4761</v>
      </c>
      <c r="B119" s="3477">
        <v>85.04</v>
      </c>
      <c r="C119" s="3486">
        <v>44521</v>
      </c>
      <c r="D119" s="3486">
        <v>44985</v>
      </c>
    </row>
    <row r="120" spans="1:4">
      <c r="A120" s="3477" t="s">
        <v>4499</v>
      </c>
      <c r="B120" s="3477">
        <v>61.69</v>
      </c>
      <c r="C120" s="3486">
        <v>44532</v>
      </c>
      <c r="D120" s="3486">
        <v>45260</v>
      </c>
    </row>
    <row r="121" spans="1:4">
      <c r="A121" s="3477" t="s">
        <v>4504</v>
      </c>
      <c r="B121" s="3477">
        <v>79.69</v>
      </c>
      <c r="C121" s="3486">
        <v>44525</v>
      </c>
      <c r="D121" s="3486">
        <v>45260</v>
      </c>
    </row>
    <row r="122" spans="1:4">
      <c r="A122" s="3477" t="s">
        <v>4760</v>
      </c>
      <c r="B122" s="3477">
        <v>172.42</v>
      </c>
      <c r="C122" s="3486">
        <v>44719</v>
      </c>
      <c r="D122" s="3486">
        <v>45808</v>
      </c>
    </row>
    <row r="123" spans="1:4">
      <c r="A123" s="3477" t="s">
        <v>4759</v>
      </c>
      <c r="B123" s="3477">
        <v>116.7</v>
      </c>
      <c r="C123" s="3486">
        <v>44538</v>
      </c>
      <c r="D123" s="3486">
        <v>45991</v>
      </c>
    </row>
    <row r="124" spans="1:4">
      <c r="A124" s="3477" t="s">
        <v>4758</v>
      </c>
      <c r="B124" s="3477">
        <v>142.9</v>
      </c>
      <c r="C124" s="3486">
        <v>44541</v>
      </c>
      <c r="D124" s="3486">
        <v>45626</v>
      </c>
    </row>
    <row r="125" spans="1:4">
      <c r="A125" s="3477" t="s">
        <v>4550</v>
      </c>
      <c r="B125" s="3477">
        <v>54.75</v>
      </c>
      <c r="C125" s="3486">
        <v>44537</v>
      </c>
      <c r="D125" s="3486">
        <v>45208</v>
      </c>
    </row>
    <row r="126" spans="1:4">
      <c r="A126" s="3477" t="s">
        <v>4674</v>
      </c>
      <c r="B126" s="3477">
        <v>200.81</v>
      </c>
      <c r="C126" s="3486">
        <v>44621</v>
      </c>
      <c r="D126" s="3486">
        <v>44985</v>
      </c>
    </row>
    <row r="127" spans="1:4">
      <c r="A127" s="3477" t="s">
        <v>4757</v>
      </c>
      <c r="B127" s="3477">
        <v>418.72</v>
      </c>
      <c r="C127" s="3486">
        <v>44636</v>
      </c>
      <c r="D127" s="3486">
        <v>46446</v>
      </c>
    </row>
    <row r="128" spans="1:4">
      <c r="A128" s="3477" t="s">
        <v>4756</v>
      </c>
      <c r="B128" s="3477">
        <v>101.22</v>
      </c>
      <c r="C128" s="3486">
        <v>44562</v>
      </c>
      <c r="D128" s="3486">
        <v>45077</v>
      </c>
    </row>
    <row r="129" spans="1:4">
      <c r="A129" s="3477" t="s">
        <v>4755</v>
      </c>
      <c r="B129" s="3477">
        <v>49.92</v>
      </c>
      <c r="C129" s="3486">
        <v>44652</v>
      </c>
      <c r="D129" s="3486">
        <v>45382</v>
      </c>
    </row>
    <row r="130" spans="1:4">
      <c r="A130" s="3477" t="s">
        <v>4602</v>
      </c>
      <c r="B130" s="3477">
        <v>24.9</v>
      </c>
      <c r="C130" s="3486">
        <v>44615</v>
      </c>
      <c r="D130" s="3486">
        <v>45077</v>
      </c>
    </row>
    <row r="131" spans="1:4">
      <c r="A131" s="3477" t="s">
        <v>4675</v>
      </c>
      <c r="B131" s="3477">
        <v>12.97</v>
      </c>
      <c r="C131" s="3486">
        <v>44652</v>
      </c>
      <c r="D131" s="3486">
        <v>45016</v>
      </c>
    </row>
    <row r="132" spans="1:4">
      <c r="A132" s="3477" t="s">
        <v>4669</v>
      </c>
      <c r="B132" s="3477">
        <v>20.7</v>
      </c>
      <c r="C132" s="3486">
        <v>44653</v>
      </c>
      <c r="D132" s="3486">
        <v>45016</v>
      </c>
    </row>
    <row r="133" spans="1:4">
      <c r="A133" s="3477" t="s">
        <v>4754</v>
      </c>
      <c r="B133" s="3477">
        <v>119</v>
      </c>
      <c r="C133" s="3486">
        <v>44614</v>
      </c>
      <c r="D133" s="3486">
        <v>45688</v>
      </c>
    </row>
    <row r="134" spans="1:4">
      <c r="A134" s="3477" t="s">
        <v>4753</v>
      </c>
      <c r="B134" s="3477">
        <v>38.78</v>
      </c>
      <c r="C134" s="3486">
        <v>44652</v>
      </c>
      <c r="D134" s="3486">
        <v>45016</v>
      </c>
    </row>
    <row r="135" spans="1:4">
      <c r="A135" s="3477" t="s">
        <v>4752</v>
      </c>
      <c r="B135" s="3477">
        <v>10</v>
      </c>
      <c r="C135" s="3486">
        <v>44682</v>
      </c>
      <c r="D135" s="3486">
        <v>45046</v>
      </c>
    </row>
    <row r="136" spans="1:4">
      <c r="A136" s="3477" t="s">
        <v>4689</v>
      </c>
      <c r="B136" s="3477">
        <v>16.12</v>
      </c>
      <c r="C136" s="3486">
        <v>44682</v>
      </c>
      <c r="D136" s="3486">
        <v>45046</v>
      </c>
    </row>
    <row r="137" spans="1:4">
      <c r="A137" s="3477" t="s">
        <v>4649</v>
      </c>
      <c r="B137" s="3477">
        <v>14</v>
      </c>
      <c r="C137" s="3486">
        <v>44682</v>
      </c>
      <c r="D137" s="3486">
        <v>45046</v>
      </c>
    </row>
    <row r="138" spans="1:4">
      <c r="A138" s="3477" t="s">
        <v>4751</v>
      </c>
      <c r="B138" s="3477">
        <v>152.31</v>
      </c>
      <c r="C138" s="3486">
        <v>44654</v>
      </c>
      <c r="D138" s="3486">
        <v>46095</v>
      </c>
    </row>
    <row r="139" spans="1:4">
      <c r="A139" s="3477" t="s">
        <v>4750</v>
      </c>
      <c r="B139" s="3477">
        <v>171.69</v>
      </c>
      <c r="C139" s="3486">
        <v>44621</v>
      </c>
      <c r="D139" s="3486">
        <v>45716</v>
      </c>
    </row>
    <row r="140" spans="1:4">
      <c r="A140" s="3477" t="s">
        <v>4749</v>
      </c>
      <c r="B140" s="3477">
        <v>119.71</v>
      </c>
      <c r="C140" s="3486">
        <v>44645</v>
      </c>
      <c r="D140" s="3486">
        <v>45747</v>
      </c>
    </row>
    <row r="141" spans="1:4">
      <c r="A141" s="3477" t="s">
        <v>4748</v>
      </c>
      <c r="B141" s="3477">
        <v>50.16</v>
      </c>
      <c r="C141" s="3486">
        <v>44630</v>
      </c>
      <c r="D141" s="3486">
        <v>45382</v>
      </c>
    </row>
    <row r="142" spans="1:4">
      <c r="A142" s="3477" t="s">
        <v>4656</v>
      </c>
      <c r="B142" s="3477">
        <v>12.39</v>
      </c>
      <c r="C142" s="3486">
        <v>44682</v>
      </c>
      <c r="D142" s="3486">
        <v>45046</v>
      </c>
    </row>
    <row r="143" spans="1:4">
      <c r="A143" s="3477" t="s">
        <v>4747</v>
      </c>
      <c r="B143" s="3477">
        <v>16.440000000000001</v>
      </c>
      <c r="C143" s="3486">
        <v>44682</v>
      </c>
      <c r="D143" s="3486">
        <v>45046</v>
      </c>
    </row>
    <row r="144" spans="1:4">
      <c r="A144" s="3477" t="s">
        <v>4746</v>
      </c>
      <c r="B144" s="3477">
        <v>17.5</v>
      </c>
      <c r="C144" s="3486">
        <v>44713</v>
      </c>
      <c r="D144" s="3486">
        <v>45206</v>
      </c>
    </row>
    <row r="145" spans="1:4">
      <c r="A145" s="3477" t="s">
        <v>4650</v>
      </c>
      <c r="B145" s="3477">
        <v>12</v>
      </c>
      <c r="C145" s="3486">
        <v>44682</v>
      </c>
      <c r="D145" s="3486">
        <v>45046</v>
      </c>
    </row>
    <row r="146" spans="1:4">
      <c r="A146" s="3477" t="s">
        <v>4745</v>
      </c>
      <c r="B146" s="3477">
        <v>46.82</v>
      </c>
      <c r="C146" s="3486">
        <v>44657</v>
      </c>
      <c r="D146" s="3486">
        <v>45046</v>
      </c>
    </row>
    <row r="147" spans="1:4">
      <c r="A147" s="3477" t="s">
        <v>4655</v>
      </c>
      <c r="B147" s="3477">
        <v>19.73</v>
      </c>
      <c r="C147" s="3486">
        <v>44682</v>
      </c>
      <c r="D147" s="3486">
        <v>45046</v>
      </c>
    </row>
    <row r="148" spans="1:4">
      <c r="A148" s="3477" t="s">
        <v>4614</v>
      </c>
      <c r="B148" s="3477">
        <v>64.319999999999993</v>
      </c>
      <c r="C148" s="3486">
        <v>44805</v>
      </c>
      <c r="D148" s="3486">
        <v>45169</v>
      </c>
    </row>
    <row r="149" spans="1:4">
      <c r="A149" s="3477" t="s">
        <v>4603</v>
      </c>
      <c r="B149" s="3477">
        <v>10.8</v>
      </c>
      <c r="C149" s="3486">
        <v>44713</v>
      </c>
      <c r="D149" s="3486">
        <v>45077</v>
      </c>
    </row>
    <row r="150" spans="1:4">
      <c r="A150" s="3477" t="s">
        <v>4653</v>
      </c>
      <c r="B150" s="3477">
        <v>14</v>
      </c>
      <c r="C150" s="3486">
        <v>44682</v>
      </c>
      <c r="D150" s="3486">
        <v>45046</v>
      </c>
    </row>
    <row r="151" spans="1:4">
      <c r="A151" s="3477" t="s">
        <v>4568</v>
      </c>
      <c r="B151" s="3477">
        <v>30.6</v>
      </c>
      <c r="C151" s="3486">
        <v>44743</v>
      </c>
      <c r="D151" s="3486">
        <v>45107</v>
      </c>
    </row>
    <row r="152" spans="1:4">
      <c r="A152" s="3477" t="s">
        <v>4744</v>
      </c>
      <c r="B152" s="3477">
        <v>173.06</v>
      </c>
      <c r="C152" s="3486">
        <v>44743</v>
      </c>
      <c r="D152" s="3486">
        <v>45473</v>
      </c>
    </row>
    <row r="153" spans="1:4">
      <c r="A153" s="3477" t="s">
        <v>4743</v>
      </c>
      <c r="B153" s="3477">
        <v>310.13</v>
      </c>
      <c r="C153" s="3486">
        <v>44670</v>
      </c>
      <c r="D153" s="3486">
        <v>45291</v>
      </c>
    </row>
    <row r="154" spans="1:4">
      <c r="A154" s="3477" t="s">
        <v>4587</v>
      </c>
      <c r="B154" s="3477">
        <v>62.08</v>
      </c>
      <c r="C154" s="3486">
        <v>44774</v>
      </c>
      <c r="D154" s="3486">
        <v>45138</v>
      </c>
    </row>
    <row r="155" spans="1:4">
      <c r="A155" s="3477" t="s">
        <v>4742</v>
      </c>
      <c r="B155" s="3477">
        <v>78.56</v>
      </c>
      <c r="C155" s="3486">
        <v>44662</v>
      </c>
      <c r="D155" s="3486">
        <v>45777</v>
      </c>
    </row>
    <row r="156" spans="1:4">
      <c r="A156" s="3477" t="s">
        <v>4595</v>
      </c>
      <c r="B156" s="3477">
        <v>13.33</v>
      </c>
      <c r="C156" s="3486">
        <v>44713</v>
      </c>
      <c r="D156" s="3486">
        <v>45077</v>
      </c>
    </row>
    <row r="157" spans="1:4">
      <c r="A157" s="3477" t="s">
        <v>4741</v>
      </c>
      <c r="B157" s="3477">
        <v>172.64</v>
      </c>
      <c r="C157" s="3486">
        <v>44678</v>
      </c>
      <c r="D157" s="3486">
        <v>45138</v>
      </c>
    </row>
    <row r="158" spans="1:4">
      <c r="A158" s="3477" t="s">
        <v>4595</v>
      </c>
      <c r="B158" s="3477">
        <v>12.26</v>
      </c>
      <c r="C158" s="3486">
        <v>44713</v>
      </c>
      <c r="D158" s="3486">
        <v>45077</v>
      </c>
    </row>
    <row r="159" spans="1:4">
      <c r="A159" s="3477" t="s">
        <v>4740</v>
      </c>
      <c r="B159" s="3477">
        <v>61.09</v>
      </c>
      <c r="C159" s="3486">
        <v>45176</v>
      </c>
      <c r="D159" s="3486">
        <v>45900</v>
      </c>
    </row>
    <row r="160" spans="1:4">
      <c r="A160" s="3477" t="s">
        <v>4590</v>
      </c>
      <c r="B160" s="3477">
        <v>155.4</v>
      </c>
      <c r="C160" s="3486">
        <v>44743</v>
      </c>
      <c r="D160" s="3486">
        <v>45107</v>
      </c>
    </row>
    <row r="161" spans="1:4">
      <c r="A161" s="3477" t="s">
        <v>4739</v>
      </c>
      <c r="B161" s="3477">
        <v>45</v>
      </c>
      <c r="C161" s="3486">
        <v>44667</v>
      </c>
      <c r="D161" s="3486">
        <v>45382</v>
      </c>
    </row>
    <row r="162" spans="1:4">
      <c r="A162" s="3477" t="s">
        <v>4624</v>
      </c>
      <c r="B162" s="3477">
        <v>104.51</v>
      </c>
      <c r="C162" s="3486">
        <v>44866</v>
      </c>
      <c r="D162" s="3486">
        <v>45158</v>
      </c>
    </row>
    <row r="163" spans="1:4">
      <c r="A163" s="3477" t="s">
        <v>4552</v>
      </c>
      <c r="B163" s="3477">
        <v>25.34</v>
      </c>
      <c r="C163" s="3486">
        <v>44743</v>
      </c>
      <c r="D163" s="3486">
        <v>45107</v>
      </c>
    </row>
    <row r="164" spans="1:4">
      <c r="A164" s="3477" t="s">
        <v>4552</v>
      </c>
      <c r="B164" s="3477">
        <v>14.81</v>
      </c>
      <c r="C164" s="3486">
        <v>44743</v>
      </c>
      <c r="D164" s="3486">
        <v>45107</v>
      </c>
    </row>
    <row r="165" spans="1:4">
      <c r="A165" s="3477" t="s">
        <v>4645</v>
      </c>
      <c r="B165" s="3477">
        <v>120.4</v>
      </c>
      <c r="C165" s="3486">
        <v>44727</v>
      </c>
      <c r="D165" s="3486">
        <v>45046</v>
      </c>
    </row>
    <row r="166" spans="1:4">
      <c r="A166" s="3477" t="s">
        <v>4647</v>
      </c>
      <c r="B166" s="3477">
        <v>16.95</v>
      </c>
      <c r="C166" s="3486">
        <v>44682</v>
      </c>
      <c r="D166" s="3486">
        <v>45046</v>
      </c>
    </row>
    <row r="167" spans="1:4">
      <c r="A167" s="3477" t="s">
        <v>4738</v>
      </c>
      <c r="B167" s="3477">
        <v>125.46</v>
      </c>
      <c r="C167" s="3486">
        <v>44727</v>
      </c>
      <c r="D167" s="3486">
        <v>45823</v>
      </c>
    </row>
    <row r="168" spans="1:4">
      <c r="A168" s="3477" t="s">
        <v>4644</v>
      </c>
      <c r="B168" s="3477">
        <v>121.22</v>
      </c>
      <c r="C168" s="3486">
        <v>44743</v>
      </c>
      <c r="D168" s="3486">
        <v>45107</v>
      </c>
    </row>
    <row r="169" spans="1:4">
      <c r="A169" s="3477" t="s">
        <v>4585</v>
      </c>
      <c r="B169" s="3477">
        <v>179.04</v>
      </c>
      <c r="C169" s="3486">
        <v>44774</v>
      </c>
      <c r="D169" s="3486">
        <v>45138</v>
      </c>
    </row>
    <row r="170" spans="1:4">
      <c r="A170" s="3477" t="s">
        <v>4737</v>
      </c>
      <c r="B170" s="3477">
        <v>128.18</v>
      </c>
      <c r="C170" s="3486">
        <v>44743</v>
      </c>
      <c r="D170" s="3486">
        <v>46203</v>
      </c>
    </row>
    <row r="171" spans="1:4">
      <c r="A171" s="3477" t="s">
        <v>4651</v>
      </c>
      <c r="B171" s="3477">
        <v>14.91</v>
      </c>
      <c r="C171" s="3486">
        <v>44757</v>
      </c>
      <c r="D171" s="3486">
        <v>45107</v>
      </c>
    </row>
    <row r="172" spans="1:4">
      <c r="A172" s="3477" t="s">
        <v>4638</v>
      </c>
      <c r="B172" s="3477">
        <v>124.18</v>
      </c>
      <c r="C172" s="3486">
        <v>44748</v>
      </c>
      <c r="D172" s="3486">
        <v>45107</v>
      </c>
    </row>
    <row r="173" spans="1:4">
      <c r="A173" s="3477" t="s">
        <v>4677</v>
      </c>
      <c r="B173" s="3477">
        <v>77.63</v>
      </c>
      <c r="C173" s="3486">
        <v>44743</v>
      </c>
      <c r="D173" s="3486">
        <v>44967</v>
      </c>
    </row>
    <row r="174" spans="1:4">
      <c r="A174" s="3477" t="s">
        <v>4736</v>
      </c>
      <c r="B174" s="3477">
        <v>173.84</v>
      </c>
      <c r="C174" s="3486">
        <v>44757</v>
      </c>
      <c r="D174" s="3486">
        <v>45473</v>
      </c>
    </row>
    <row r="175" spans="1:4">
      <c r="A175" s="3477" t="s">
        <v>4735</v>
      </c>
      <c r="B175" s="3477">
        <v>192.94</v>
      </c>
      <c r="C175" s="3486">
        <v>44759</v>
      </c>
      <c r="D175" s="3486">
        <v>45900</v>
      </c>
    </row>
    <row r="176" spans="1:4">
      <c r="A176" s="3477" t="s">
        <v>4734</v>
      </c>
      <c r="B176" s="3477">
        <v>48.36</v>
      </c>
      <c r="C176" s="3486">
        <v>44773</v>
      </c>
      <c r="D176" s="3486">
        <v>45473</v>
      </c>
    </row>
    <row r="177" spans="1:4">
      <c r="A177" s="3477" t="s">
        <v>4733</v>
      </c>
      <c r="B177" s="3477">
        <v>139.16999999999999</v>
      </c>
      <c r="C177" s="3486">
        <v>44774</v>
      </c>
      <c r="D177" s="3486">
        <v>45504</v>
      </c>
    </row>
    <row r="178" spans="1:4">
      <c r="A178" s="3477" t="s">
        <v>4732</v>
      </c>
      <c r="B178" s="3477">
        <v>17.28</v>
      </c>
      <c r="C178" s="3486">
        <v>44743</v>
      </c>
      <c r="D178" s="3486">
        <v>45107</v>
      </c>
    </row>
    <row r="179" spans="1:4">
      <c r="A179" s="3477" t="s">
        <v>4731</v>
      </c>
      <c r="B179" s="3477">
        <v>261.8</v>
      </c>
      <c r="C179" s="3486">
        <v>44829</v>
      </c>
      <c r="D179" s="3486">
        <v>45920</v>
      </c>
    </row>
    <row r="180" spans="1:4">
      <c r="A180" s="3477" t="s">
        <v>4730</v>
      </c>
      <c r="B180" s="3477">
        <v>212.68</v>
      </c>
      <c r="C180" s="3486">
        <v>44805</v>
      </c>
      <c r="D180" s="3486">
        <v>45535</v>
      </c>
    </row>
    <row r="181" spans="1:4">
      <c r="A181" s="3477" t="s">
        <v>4613</v>
      </c>
      <c r="B181" s="3477">
        <v>78.31</v>
      </c>
      <c r="C181" s="3486">
        <v>44805</v>
      </c>
      <c r="D181" s="3486">
        <v>45169</v>
      </c>
    </row>
    <row r="182" spans="1:4">
      <c r="A182" s="3477" t="s">
        <v>4689</v>
      </c>
      <c r="B182" s="3477">
        <v>69.72</v>
      </c>
      <c r="C182" s="3486">
        <v>44805</v>
      </c>
      <c r="D182" s="3486">
        <v>45016</v>
      </c>
    </row>
    <row r="183" spans="1:4">
      <c r="A183" s="3477" t="s">
        <v>4569</v>
      </c>
      <c r="B183" s="3477">
        <v>39.06</v>
      </c>
      <c r="C183" s="3486">
        <v>44805</v>
      </c>
      <c r="D183" s="3486">
        <v>45169</v>
      </c>
    </row>
    <row r="184" spans="1:4">
      <c r="A184" s="3477" t="s">
        <v>4633</v>
      </c>
      <c r="B184" s="3477">
        <v>28.46</v>
      </c>
      <c r="C184" s="3486">
        <v>44805</v>
      </c>
      <c r="D184" s="3486">
        <v>45169</v>
      </c>
    </row>
    <row r="185" spans="1:4">
      <c r="A185" s="3477" t="s">
        <v>4729</v>
      </c>
      <c r="B185" s="3477">
        <v>16.649999999999999</v>
      </c>
      <c r="C185" s="3486">
        <v>44805</v>
      </c>
      <c r="D185" s="3486">
        <v>45869</v>
      </c>
    </row>
    <row r="186" spans="1:4">
      <c r="A186" s="3477" t="s">
        <v>4580</v>
      </c>
      <c r="B186" s="3477">
        <v>24.08</v>
      </c>
      <c r="C186" s="3486">
        <v>44774</v>
      </c>
      <c r="D186" s="3486">
        <v>45138</v>
      </c>
    </row>
    <row r="187" spans="1:4">
      <c r="A187" s="3477" t="s">
        <v>4728</v>
      </c>
      <c r="B187" s="3477">
        <v>181.06</v>
      </c>
      <c r="C187" s="3486">
        <v>44813</v>
      </c>
      <c r="D187" s="3486">
        <v>45930</v>
      </c>
    </row>
    <row r="188" spans="1:4">
      <c r="A188" s="3477" t="s">
        <v>4727</v>
      </c>
      <c r="B188" s="3477">
        <v>125.44</v>
      </c>
      <c r="C188" s="3486">
        <v>44805</v>
      </c>
      <c r="D188" s="3486">
        <v>45900</v>
      </c>
    </row>
    <row r="189" spans="1:4">
      <c r="A189" s="3477" t="s">
        <v>4565</v>
      </c>
      <c r="B189" s="3477">
        <v>111.24</v>
      </c>
      <c r="C189" s="3486">
        <v>44805</v>
      </c>
      <c r="D189" s="3486">
        <v>45169</v>
      </c>
    </row>
    <row r="190" spans="1:4">
      <c r="A190" s="3477" t="s">
        <v>4534</v>
      </c>
      <c r="B190" s="3477">
        <v>166.66</v>
      </c>
      <c r="C190" s="3486">
        <v>44825</v>
      </c>
      <c r="D190" s="3486">
        <v>45189</v>
      </c>
    </row>
    <row r="191" spans="1:4">
      <c r="A191" s="3477" t="s">
        <v>4726</v>
      </c>
      <c r="B191" s="3477">
        <v>184.38</v>
      </c>
      <c r="C191" s="3486">
        <v>44805</v>
      </c>
      <c r="D191" s="3486">
        <v>45169</v>
      </c>
    </row>
    <row r="192" spans="1:4">
      <c r="A192" s="3477" t="s">
        <v>4676</v>
      </c>
      <c r="B192" s="3477">
        <v>30.6</v>
      </c>
      <c r="C192" s="3486">
        <v>44805</v>
      </c>
      <c r="D192" s="3486">
        <v>44985</v>
      </c>
    </row>
    <row r="193" spans="1:4">
      <c r="A193" s="3477" t="s">
        <v>4553</v>
      </c>
      <c r="B193" s="3477">
        <v>30.97</v>
      </c>
      <c r="C193" s="3486">
        <v>44805</v>
      </c>
      <c r="D193" s="3486">
        <v>45169</v>
      </c>
    </row>
    <row r="194" spans="1:4">
      <c r="A194" s="3477" t="s">
        <v>4616</v>
      </c>
      <c r="B194" s="3477">
        <v>252.45</v>
      </c>
      <c r="C194" s="3486">
        <v>44805</v>
      </c>
      <c r="D194" s="3486">
        <v>45169</v>
      </c>
    </row>
    <row r="195" spans="1:4">
      <c r="A195" s="3477" t="s">
        <v>4561</v>
      </c>
      <c r="B195" s="3477">
        <v>135.57</v>
      </c>
      <c r="C195" s="3486">
        <v>44805</v>
      </c>
      <c r="D195" s="3486">
        <v>45169</v>
      </c>
    </row>
    <row r="196" spans="1:4">
      <c r="A196" s="3477" t="s">
        <v>4725</v>
      </c>
      <c r="B196" s="3477">
        <v>70.8</v>
      </c>
      <c r="C196" s="3486">
        <v>44796</v>
      </c>
      <c r="D196" s="3486">
        <v>45888</v>
      </c>
    </row>
    <row r="197" spans="1:4">
      <c r="A197" s="3477" t="s">
        <v>4724</v>
      </c>
      <c r="B197" s="3477">
        <v>191.65</v>
      </c>
      <c r="C197" s="3486">
        <v>44777</v>
      </c>
      <c r="D197" s="3486">
        <v>45838</v>
      </c>
    </row>
    <row r="198" spans="1:4">
      <c r="A198" s="3477" t="s">
        <v>4723</v>
      </c>
      <c r="B198" s="3477">
        <v>199.06</v>
      </c>
      <c r="C198" s="3486">
        <v>44818</v>
      </c>
      <c r="D198" s="3486">
        <v>45487</v>
      </c>
    </row>
    <row r="199" spans="1:4">
      <c r="A199" s="3477" t="s">
        <v>4621</v>
      </c>
      <c r="B199" s="3477">
        <v>145.9</v>
      </c>
      <c r="C199" s="3486">
        <v>44805</v>
      </c>
      <c r="D199" s="3486">
        <v>45169</v>
      </c>
    </row>
    <row r="200" spans="1:4">
      <c r="A200" s="3477" t="s">
        <v>4630</v>
      </c>
      <c r="B200" s="3477">
        <v>139.26</v>
      </c>
      <c r="C200" s="3486">
        <v>44805</v>
      </c>
      <c r="D200" s="3486">
        <v>45169</v>
      </c>
    </row>
    <row r="201" spans="1:4">
      <c r="A201" s="3477" t="s">
        <v>4610</v>
      </c>
      <c r="B201" s="3477">
        <v>115.69</v>
      </c>
      <c r="C201" s="3486">
        <v>44805</v>
      </c>
      <c r="D201" s="3486">
        <v>45169</v>
      </c>
    </row>
    <row r="202" spans="1:4">
      <c r="A202" s="3477" t="s">
        <v>4599</v>
      </c>
      <c r="B202" s="3477">
        <v>160.75</v>
      </c>
      <c r="C202" s="3486">
        <v>44805</v>
      </c>
      <c r="D202" s="3486">
        <v>45169</v>
      </c>
    </row>
    <row r="203" spans="1:4">
      <c r="A203" s="3477" t="s">
        <v>4628</v>
      </c>
      <c r="B203" s="3477">
        <v>125.39</v>
      </c>
      <c r="C203" s="3486">
        <v>44805</v>
      </c>
      <c r="D203" s="3486">
        <v>45169</v>
      </c>
    </row>
    <row r="204" spans="1:4">
      <c r="A204" s="3477" t="s">
        <v>4573</v>
      </c>
      <c r="B204" s="3477">
        <v>64.930000000000007</v>
      </c>
      <c r="C204" s="3486">
        <v>44805</v>
      </c>
      <c r="D204" s="3486">
        <v>45169</v>
      </c>
    </row>
    <row r="205" spans="1:4">
      <c r="A205" s="3477" t="s">
        <v>4622</v>
      </c>
      <c r="B205" s="3477">
        <v>77.13</v>
      </c>
      <c r="C205" s="3486">
        <v>44805</v>
      </c>
      <c r="D205" s="3486">
        <v>45169</v>
      </c>
    </row>
    <row r="206" spans="1:4">
      <c r="A206" s="3477" t="s">
        <v>4722</v>
      </c>
      <c r="B206" s="3477">
        <v>163.44</v>
      </c>
      <c r="C206" s="3486">
        <v>44805</v>
      </c>
      <c r="D206" s="3486">
        <v>45149</v>
      </c>
    </row>
    <row r="207" spans="1:4">
      <c r="A207" s="3477" t="s">
        <v>4632</v>
      </c>
      <c r="B207" s="3477">
        <v>59.74</v>
      </c>
      <c r="C207" s="3486">
        <v>44805</v>
      </c>
      <c r="D207" s="3486">
        <v>45169</v>
      </c>
    </row>
    <row r="208" spans="1:4">
      <c r="A208" s="3477" t="s">
        <v>4721</v>
      </c>
      <c r="B208" s="3477">
        <v>154.13999999999999</v>
      </c>
      <c r="C208" s="3486">
        <v>44774</v>
      </c>
      <c r="D208" s="3486">
        <v>45869</v>
      </c>
    </row>
    <row r="209" spans="1:4">
      <c r="A209" s="3477" t="s">
        <v>4612</v>
      </c>
      <c r="B209" s="3477">
        <v>83.74</v>
      </c>
      <c r="C209" s="3486">
        <v>44805</v>
      </c>
      <c r="D209" s="3486">
        <v>45169</v>
      </c>
    </row>
    <row r="210" spans="1:4">
      <c r="A210" s="3477" t="s">
        <v>4589</v>
      </c>
      <c r="B210" s="3477">
        <v>37.22</v>
      </c>
      <c r="C210" s="3486">
        <v>44805</v>
      </c>
      <c r="D210" s="3486">
        <v>45169</v>
      </c>
    </row>
    <row r="211" spans="1:4">
      <c r="A211" s="3477" t="s">
        <v>4623</v>
      </c>
      <c r="B211" s="3477">
        <v>85.47</v>
      </c>
      <c r="C211" s="3486">
        <v>44805</v>
      </c>
      <c r="D211" s="3486">
        <v>45169</v>
      </c>
    </row>
    <row r="212" spans="1:4">
      <c r="A212" s="3477" t="s">
        <v>4635</v>
      </c>
      <c r="B212" s="3477">
        <v>31.99</v>
      </c>
      <c r="C212" s="3486">
        <v>44805</v>
      </c>
      <c r="D212" s="3486">
        <v>45169</v>
      </c>
    </row>
    <row r="213" spans="1:4">
      <c r="A213" s="3477" t="s">
        <v>4720</v>
      </c>
      <c r="B213" s="3477">
        <v>93.65</v>
      </c>
      <c r="C213" s="3486">
        <v>44805</v>
      </c>
      <c r="D213" s="3486">
        <v>45535</v>
      </c>
    </row>
    <row r="214" spans="1:4">
      <c r="A214" s="3477" t="s">
        <v>4719</v>
      </c>
      <c r="B214" s="3477">
        <v>93.65</v>
      </c>
      <c r="C214" s="3486">
        <v>44818</v>
      </c>
      <c r="D214" s="3486">
        <v>45535</v>
      </c>
    </row>
    <row r="215" spans="1:4">
      <c r="A215" s="3477" t="s">
        <v>4629</v>
      </c>
      <c r="B215" s="3477">
        <v>97.21</v>
      </c>
      <c r="C215" s="3486">
        <v>44805</v>
      </c>
      <c r="D215" s="3486">
        <v>45169</v>
      </c>
    </row>
    <row r="216" spans="1:4">
      <c r="A216" s="3477" t="s">
        <v>4673</v>
      </c>
      <c r="B216" s="3477">
        <v>58.28</v>
      </c>
      <c r="C216" s="3486">
        <v>44805</v>
      </c>
      <c r="D216" s="3486">
        <v>44985</v>
      </c>
    </row>
    <row r="217" spans="1:4">
      <c r="A217" s="3477" t="s">
        <v>4718</v>
      </c>
      <c r="B217" s="3477">
        <v>98.45</v>
      </c>
      <c r="C217" s="3486">
        <v>44774</v>
      </c>
      <c r="D217" s="3486">
        <v>44957</v>
      </c>
    </row>
    <row r="218" spans="1:4">
      <c r="A218" s="3477" t="s">
        <v>4522</v>
      </c>
      <c r="B218" s="3477">
        <v>97.06</v>
      </c>
      <c r="C218" s="3486">
        <v>44793</v>
      </c>
      <c r="D218" s="3486">
        <v>45199</v>
      </c>
    </row>
    <row r="219" spans="1:4">
      <c r="A219" s="3477" t="s">
        <v>4717</v>
      </c>
      <c r="B219" s="3477">
        <v>292.05</v>
      </c>
      <c r="C219" s="3486">
        <v>44805</v>
      </c>
      <c r="D219" s="3486">
        <v>45535</v>
      </c>
    </row>
    <row r="220" spans="1:4">
      <c r="A220" s="3477" t="s">
        <v>4716</v>
      </c>
      <c r="B220" s="3477">
        <v>390.56</v>
      </c>
      <c r="C220" s="3486">
        <v>44812</v>
      </c>
      <c r="D220" s="3486">
        <v>46630</v>
      </c>
    </row>
    <row r="221" spans="1:4">
      <c r="A221" s="3477" t="s">
        <v>4715</v>
      </c>
      <c r="B221" s="3477">
        <v>139.63</v>
      </c>
      <c r="C221" s="3486">
        <v>44812</v>
      </c>
      <c r="D221" s="3486">
        <v>46630</v>
      </c>
    </row>
    <row r="222" spans="1:4">
      <c r="A222" s="3477" t="s">
        <v>4615</v>
      </c>
      <c r="B222" s="3477">
        <v>289.06</v>
      </c>
      <c r="C222" s="3486">
        <v>44825</v>
      </c>
      <c r="D222" s="3486">
        <v>45189</v>
      </c>
    </row>
    <row r="223" spans="1:4">
      <c r="A223" s="3477" t="s">
        <v>4631</v>
      </c>
      <c r="B223" s="3477">
        <v>24.19</v>
      </c>
      <c r="C223" s="3486">
        <v>44777</v>
      </c>
      <c r="D223" s="3486">
        <v>45138</v>
      </c>
    </row>
    <row r="224" spans="1:4">
      <c r="A224" s="3477" t="s">
        <v>4611</v>
      </c>
      <c r="B224" s="3477">
        <v>59.68</v>
      </c>
      <c r="C224" s="3486">
        <v>44805</v>
      </c>
      <c r="D224" s="3486">
        <v>45169</v>
      </c>
    </row>
    <row r="225" spans="1:4">
      <c r="A225" s="3477" t="s">
        <v>4714</v>
      </c>
      <c r="B225" s="3477">
        <v>169.08</v>
      </c>
      <c r="C225" s="3486">
        <v>44805</v>
      </c>
      <c r="D225" s="3486">
        <v>45169</v>
      </c>
    </row>
    <row r="226" spans="1:4">
      <c r="A226" s="3477" t="s">
        <v>4586</v>
      </c>
      <c r="B226" s="3477">
        <v>32.270000000000003</v>
      </c>
      <c r="C226" s="3486">
        <v>44805</v>
      </c>
      <c r="D226" s="3486">
        <v>45169</v>
      </c>
    </row>
    <row r="227" spans="1:4">
      <c r="A227" s="3477" t="s">
        <v>4620</v>
      </c>
      <c r="B227" s="3477">
        <v>155.4</v>
      </c>
      <c r="C227" s="3486">
        <v>44805</v>
      </c>
      <c r="D227" s="3486">
        <v>45169</v>
      </c>
    </row>
    <row r="228" spans="1:4">
      <c r="A228" s="3477" t="s">
        <v>4658</v>
      </c>
      <c r="B228" s="3477">
        <v>61.99</v>
      </c>
      <c r="C228" s="3486">
        <v>44783</v>
      </c>
      <c r="D228" s="3486">
        <v>45504</v>
      </c>
    </row>
    <row r="229" spans="1:4">
      <c r="A229" s="3477" t="s">
        <v>4713</v>
      </c>
      <c r="B229" s="3477">
        <v>102.08</v>
      </c>
      <c r="C229" s="3486">
        <v>44825</v>
      </c>
      <c r="D229" s="3486">
        <v>45920</v>
      </c>
    </row>
    <row r="230" spans="1:4">
      <c r="A230" s="3477" t="s">
        <v>4626</v>
      </c>
      <c r="B230" s="3477">
        <v>112.01</v>
      </c>
      <c r="C230" s="3486">
        <v>44805</v>
      </c>
      <c r="D230" s="3486">
        <v>45169</v>
      </c>
    </row>
    <row r="231" spans="1:4">
      <c r="A231" s="3477" t="s">
        <v>4712</v>
      </c>
      <c r="B231" s="3477">
        <v>134.65</v>
      </c>
      <c r="C231" s="3486">
        <v>44805</v>
      </c>
      <c r="D231" s="3486">
        <v>44985</v>
      </c>
    </row>
    <row r="232" spans="1:4">
      <c r="A232" s="3477" t="s">
        <v>4711</v>
      </c>
      <c r="B232" s="3477">
        <v>28.97</v>
      </c>
      <c r="C232" s="3486">
        <v>44805</v>
      </c>
      <c r="D232" s="3486">
        <v>45535</v>
      </c>
    </row>
    <row r="233" spans="1:4">
      <c r="A233" s="3477" t="s">
        <v>4531</v>
      </c>
      <c r="B233" s="3477">
        <v>345.78</v>
      </c>
      <c r="C233" s="3486">
        <v>44825</v>
      </c>
      <c r="D233" s="3486">
        <v>45189</v>
      </c>
    </row>
    <row r="234" spans="1:4">
      <c r="A234" s="3477" t="s">
        <v>4710</v>
      </c>
      <c r="B234" s="3477">
        <v>26.32</v>
      </c>
      <c r="C234" s="3486">
        <v>44805</v>
      </c>
      <c r="D234" s="3486">
        <v>45169</v>
      </c>
    </row>
    <row r="235" spans="1:4">
      <c r="A235" s="3477" t="s">
        <v>4600</v>
      </c>
      <c r="B235" s="3477">
        <v>121.78</v>
      </c>
      <c r="C235" s="3486">
        <v>44825</v>
      </c>
      <c r="D235" s="3486">
        <v>45189</v>
      </c>
    </row>
    <row r="236" spans="1:4">
      <c r="A236" s="3477" t="s">
        <v>4617</v>
      </c>
      <c r="B236" s="3477">
        <v>59.79</v>
      </c>
      <c r="C236" s="3486">
        <v>44805</v>
      </c>
      <c r="D236" s="3486">
        <v>45169</v>
      </c>
    </row>
    <row r="237" spans="1:4">
      <c r="A237" s="3477" t="s">
        <v>4554</v>
      </c>
      <c r="B237" s="3477">
        <v>123.03</v>
      </c>
      <c r="C237" s="3486">
        <v>44805</v>
      </c>
      <c r="D237" s="3486">
        <v>45169</v>
      </c>
    </row>
    <row r="238" spans="1:4">
      <c r="A238" s="3477" t="s">
        <v>4709</v>
      </c>
      <c r="B238" s="3477">
        <v>35.03</v>
      </c>
      <c r="C238" s="3486">
        <v>44805</v>
      </c>
      <c r="D238" s="3486">
        <v>45535</v>
      </c>
    </row>
    <row r="239" spans="1:4">
      <c r="A239" s="3477" t="s">
        <v>4609</v>
      </c>
      <c r="B239" s="3477">
        <v>23.46</v>
      </c>
      <c r="C239" s="3486">
        <v>44811</v>
      </c>
      <c r="D239" s="3486">
        <v>45169</v>
      </c>
    </row>
    <row r="240" spans="1:4">
      <c r="A240" s="3477" t="s">
        <v>4708</v>
      </c>
      <c r="B240" s="3477">
        <v>30.6</v>
      </c>
      <c r="C240" s="3486">
        <v>44805</v>
      </c>
      <c r="D240" s="3486">
        <v>45169</v>
      </c>
    </row>
    <row r="241" spans="1:4">
      <c r="A241" s="3477" t="s">
        <v>4564</v>
      </c>
      <c r="B241" s="3477">
        <v>243.64</v>
      </c>
      <c r="C241" s="3486">
        <v>44825</v>
      </c>
      <c r="D241" s="3486">
        <v>45189</v>
      </c>
    </row>
    <row r="242" spans="1:4">
      <c r="A242" s="3477" t="s">
        <v>4541</v>
      </c>
      <c r="B242" s="3477">
        <v>146.29</v>
      </c>
      <c r="C242" s="3486">
        <v>44825</v>
      </c>
      <c r="D242" s="3486">
        <v>45189</v>
      </c>
    </row>
    <row r="243" spans="1:4">
      <c r="A243" s="3477" t="s">
        <v>4707</v>
      </c>
      <c r="B243" s="3477">
        <v>152.21</v>
      </c>
      <c r="C243" s="3486">
        <v>44855</v>
      </c>
      <c r="D243" s="3486">
        <v>45596</v>
      </c>
    </row>
    <row r="244" spans="1:4">
      <c r="A244" s="3477" t="s">
        <v>4706</v>
      </c>
      <c r="B244" s="3477">
        <v>9.06</v>
      </c>
      <c r="C244" s="3486">
        <v>44808</v>
      </c>
      <c r="D244" s="3486">
        <v>45169</v>
      </c>
    </row>
    <row r="245" spans="1:4">
      <c r="A245" s="3477" t="s">
        <v>4705</v>
      </c>
      <c r="B245" s="3477">
        <v>40.79</v>
      </c>
      <c r="C245" s="3486">
        <v>44825</v>
      </c>
      <c r="D245" s="3486">
        <v>45555</v>
      </c>
    </row>
    <row r="246" spans="1:4">
      <c r="A246" s="3477" t="s">
        <v>4494</v>
      </c>
      <c r="B246" s="3477">
        <v>53.87</v>
      </c>
      <c r="C246" s="3486">
        <v>44835</v>
      </c>
      <c r="D246" s="3486">
        <v>45199</v>
      </c>
    </row>
    <row r="247" spans="1:4">
      <c r="A247" s="3477" t="s">
        <v>4704</v>
      </c>
      <c r="B247" s="3477">
        <v>127.69</v>
      </c>
      <c r="C247" s="3486">
        <v>44835</v>
      </c>
      <c r="D247" s="3486">
        <v>45565</v>
      </c>
    </row>
    <row r="248" spans="1:4">
      <c r="A248" s="3477" t="s">
        <v>4703</v>
      </c>
      <c r="B248" s="3477">
        <v>19.739999999999998</v>
      </c>
      <c r="C248" s="3486">
        <v>44825</v>
      </c>
      <c r="D248" s="3486">
        <v>45169</v>
      </c>
    </row>
    <row r="249" spans="1:4">
      <c r="A249" s="3477" t="s">
        <v>4702</v>
      </c>
      <c r="B249" s="3477">
        <v>128</v>
      </c>
      <c r="C249" s="3486">
        <v>44835</v>
      </c>
      <c r="D249" s="3486">
        <v>45930</v>
      </c>
    </row>
    <row r="250" spans="1:4">
      <c r="A250" s="3477" t="s">
        <v>4701</v>
      </c>
      <c r="B250" s="3477">
        <v>263.44</v>
      </c>
      <c r="C250" s="3486">
        <v>44825</v>
      </c>
      <c r="D250" s="3486">
        <v>44985</v>
      </c>
    </row>
    <row r="251" spans="1:4">
      <c r="A251" s="3477" t="s">
        <v>4527</v>
      </c>
      <c r="B251" s="3477">
        <v>184.68</v>
      </c>
      <c r="C251" s="3486">
        <v>44835</v>
      </c>
      <c r="D251" s="3486">
        <v>45199</v>
      </c>
    </row>
    <row r="252" spans="1:4">
      <c r="A252" s="3477" t="s">
        <v>4700</v>
      </c>
      <c r="B252" s="3477">
        <v>43.3</v>
      </c>
      <c r="C252" s="3486">
        <v>44814</v>
      </c>
      <c r="D252" s="3486">
        <v>45535</v>
      </c>
    </row>
    <row r="253" spans="1:4">
      <c r="A253" s="3477" t="s">
        <v>4699</v>
      </c>
      <c r="B253" s="3477">
        <v>113.95</v>
      </c>
      <c r="C253" s="3486">
        <v>44845</v>
      </c>
      <c r="D253" s="3486">
        <v>45574</v>
      </c>
    </row>
    <row r="254" spans="1:4">
      <c r="A254" s="3477" t="s">
        <v>4698</v>
      </c>
      <c r="B254" s="3477">
        <v>29.81</v>
      </c>
      <c r="C254" s="3486">
        <v>44866</v>
      </c>
      <c r="D254" s="3486">
        <v>45230</v>
      </c>
    </row>
    <row r="255" spans="1:4">
      <c r="A255" s="3477" t="s">
        <v>4496</v>
      </c>
      <c r="B255" s="3477">
        <v>23.46</v>
      </c>
      <c r="C255" s="3486">
        <v>44905</v>
      </c>
      <c r="D255" s="3486">
        <v>45261</v>
      </c>
    </row>
    <row r="256" spans="1:4">
      <c r="A256" s="3477" t="s">
        <v>4604</v>
      </c>
      <c r="B256" s="3477">
        <v>91.47</v>
      </c>
      <c r="C256" s="3486">
        <v>44849</v>
      </c>
      <c r="D256" s="3486">
        <v>45061</v>
      </c>
    </row>
    <row r="257" spans="1:4">
      <c r="A257" s="3477" t="s">
        <v>4697</v>
      </c>
      <c r="B257" s="3477">
        <v>103.3</v>
      </c>
      <c r="C257" s="3486">
        <v>44883</v>
      </c>
      <c r="D257" s="3486">
        <v>45626</v>
      </c>
    </row>
    <row r="258" spans="1:4">
      <c r="A258" s="3477" t="s">
        <v>4696</v>
      </c>
      <c r="B258" s="3477">
        <v>30.7</v>
      </c>
      <c r="C258" s="3486">
        <v>44866</v>
      </c>
      <c r="D258" s="3486">
        <v>44957</v>
      </c>
    </row>
    <row r="259" spans="1:4">
      <c r="A259" s="3477" t="s">
        <v>4695</v>
      </c>
      <c r="B259" s="3477">
        <v>604.41999999999996</v>
      </c>
      <c r="C259" s="3486">
        <v>44923</v>
      </c>
      <c r="D259" s="3486">
        <v>47817</v>
      </c>
    </row>
    <row r="260" spans="1:4">
      <c r="A260" s="3477" t="s">
        <v>4519</v>
      </c>
      <c r="B260" s="3477">
        <v>26.08</v>
      </c>
      <c r="C260" s="3486">
        <v>44866</v>
      </c>
      <c r="D260" s="3486">
        <v>45230</v>
      </c>
    </row>
    <row r="261" spans="1:4">
      <c r="A261" s="3477" t="s">
        <v>4542</v>
      </c>
      <c r="B261" s="3477">
        <v>181.33</v>
      </c>
      <c r="C261" s="3486">
        <v>44866</v>
      </c>
      <c r="D261" s="3486">
        <v>45230</v>
      </c>
    </row>
    <row r="262" spans="1:4">
      <c r="A262" s="3477" t="s">
        <v>4694</v>
      </c>
      <c r="B262" s="3477">
        <v>26.97</v>
      </c>
      <c r="C262" s="3486">
        <v>44897</v>
      </c>
      <c r="D262" s="3486">
        <v>45199</v>
      </c>
    </row>
    <row r="263" spans="1:4">
      <c r="A263" s="3477" t="s">
        <v>4693</v>
      </c>
      <c r="B263" s="3477">
        <v>99.49</v>
      </c>
      <c r="C263" s="3486">
        <v>44867</v>
      </c>
      <c r="D263" s="3486">
        <v>45596</v>
      </c>
    </row>
    <row r="264" spans="1:4">
      <c r="A264" s="3477" t="s">
        <v>4692</v>
      </c>
      <c r="B264" s="3477">
        <v>356.45</v>
      </c>
      <c r="C264" s="3486">
        <v>44877</v>
      </c>
      <c r="D264" s="3486">
        <v>46326</v>
      </c>
    </row>
    <row r="265" spans="1:4">
      <c r="A265" s="3477" t="s">
        <v>4691</v>
      </c>
      <c r="B265" s="3477">
        <v>12.5</v>
      </c>
      <c r="C265" s="3486">
        <v>44853</v>
      </c>
      <c r="D265" s="3486">
        <v>45199</v>
      </c>
    </row>
    <row r="266" spans="1:4">
      <c r="A266" s="3477" t="s">
        <v>4660</v>
      </c>
      <c r="B266" s="3477">
        <v>16.02</v>
      </c>
      <c r="C266" s="3486">
        <v>44866</v>
      </c>
      <c r="D266" s="3486">
        <v>45046</v>
      </c>
    </row>
    <row r="267" spans="1:4">
      <c r="A267" s="3477" t="s">
        <v>4690</v>
      </c>
      <c r="B267" s="3477">
        <v>71.84</v>
      </c>
      <c r="C267" s="3486">
        <v>44867</v>
      </c>
      <c r="D267" s="3486">
        <v>45596</v>
      </c>
    </row>
    <row r="268" spans="1:4">
      <c r="A268" s="3477" t="s">
        <v>4689</v>
      </c>
      <c r="B268" s="3477">
        <v>9.4</v>
      </c>
      <c r="C268" s="3486">
        <v>44896</v>
      </c>
      <c r="D268" s="3486">
        <v>45016</v>
      </c>
    </row>
    <row r="269" spans="1:4">
      <c r="A269" s="3477" t="s">
        <v>4688</v>
      </c>
      <c r="B269" s="3477">
        <v>217.95</v>
      </c>
      <c r="C269" s="3486">
        <v>44866</v>
      </c>
      <c r="D269" s="3486">
        <v>47118</v>
      </c>
    </row>
    <row r="270" spans="1:4">
      <c r="A270" s="3477" t="s">
        <v>4687</v>
      </c>
      <c r="B270" s="3477">
        <v>65.69</v>
      </c>
      <c r="C270" s="3486">
        <v>44866</v>
      </c>
      <c r="D270" s="3486">
        <v>45230</v>
      </c>
    </row>
    <row r="271" spans="1:4">
      <c r="A271" s="3477" t="s">
        <v>4508</v>
      </c>
      <c r="B271" s="3477">
        <v>19.739999999999998</v>
      </c>
      <c r="C271" s="3486">
        <v>44909</v>
      </c>
      <c r="D271" s="3486">
        <v>45274</v>
      </c>
    </row>
    <row r="272" spans="1:4">
      <c r="A272" s="3477" t="s">
        <v>4686</v>
      </c>
      <c r="B272" s="3477">
        <v>154.13999999999999</v>
      </c>
      <c r="C272" s="3486">
        <v>44908</v>
      </c>
      <c r="D272" s="3486">
        <v>45615</v>
      </c>
    </row>
    <row r="273" spans="1:4">
      <c r="A273" s="3477" t="s">
        <v>4685</v>
      </c>
      <c r="B273" s="3477">
        <v>48.56</v>
      </c>
      <c r="C273" s="3486">
        <v>44896</v>
      </c>
      <c r="D273" s="3486">
        <v>45219</v>
      </c>
    </row>
    <row r="274" spans="1:4">
      <c r="A274" s="3477" t="s">
        <v>4497</v>
      </c>
      <c r="B274" s="3477">
        <v>96.94</v>
      </c>
      <c r="C274" s="3486">
        <v>44896</v>
      </c>
      <c r="D274" s="3486">
        <v>45260</v>
      </c>
    </row>
    <row r="275" spans="1:4">
      <c r="A275" s="3477" t="s">
        <v>4684</v>
      </c>
      <c r="B275" s="3477">
        <v>45.36</v>
      </c>
      <c r="C275" s="3486">
        <v>44901</v>
      </c>
      <c r="D275" s="3486">
        <v>45626</v>
      </c>
    </row>
    <row r="276" spans="1:4">
      <c r="A276" s="3477" t="s">
        <v>4683</v>
      </c>
      <c r="B276" s="3477">
        <v>96.25</v>
      </c>
      <c r="C276" s="3486">
        <v>44972</v>
      </c>
      <c r="D276" s="3486">
        <v>45230</v>
      </c>
    </row>
    <row r="277" spans="1:4">
      <c r="A277" s="3477" t="s">
        <v>4506</v>
      </c>
      <c r="B277" s="3477">
        <v>12.97</v>
      </c>
      <c r="C277" s="3486">
        <v>44905</v>
      </c>
      <c r="D277" s="3486">
        <v>45260</v>
      </c>
    </row>
    <row r="278" spans="1:4">
      <c r="A278" s="3477" t="s">
        <v>4583</v>
      </c>
      <c r="B278" s="3477">
        <v>67.72</v>
      </c>
      <c r="C278" s="3486">
        <v>44896</v>
      </c>
      <c r="D278" s="3486">
        <v>45169</v>
      </c>
    </row>
    <row r="279" spans="1:4">
      <c r="A279" s="3477" t="s">
        <v>4502</v>
      </c>
      <c r="B279" s="3477">
        <v>92.81</v>
      </c>
      <c r="C279" s="3486">
        <v>44927</v>
      </c>
      <c r="D279" s="3486">
        <v>45291</v>
      </c>
    </row>
    <row r="280" spans="1:4">
      <c r="A280" s="3477" t="s">
        <v>4682</v>
      </c>
      <c r="B280" s="3477">
        <v>308.23</v>
      </c>
      <c r="C280" s="3486">
        <v>44972</v>
      </c>
      <c r="D280" s="3486">
        <v>46857</v>
      </c>
    </row>
    <row r="281" spans="1:4">
      <c r="A281" s="3477" t="s">
        <v>4681</v>
      </c>
      <c r="B281" s="3477">
        <v>127.99</v>
      </c>
      <c r="C281" s="3486">
        <v>44899</v>
      </c>
      <c r="D281" s="3486">
        <v>45291</v>
      </c>
    </row>
    <row r="282" spans="1:4">
      <c r="A282" s="3477" t="s">
        <v>4680</v>
      </c>
      <c r="B282" s="3477">
        <v>93.65</v>
      </c>
      <c r="C282" s="3486">
        <v>44898</v>
      </c>
      <c r="D282" s="3486">
        <v>45626</v>
      </c>
    </row>
    <row r="283" spans="1:4">
      <c r="A283" s="3477" t="s">
        <v>4509</v>
      </c>
      <c r="B283" s="3477">
        <v>27.54</v>
      </c>
      <c r="C283" s="3486">
        <v>44904</v>
      </c>
      <c r="D283" s="3486">
        <v>45077</v>
      </c>
    </row>
    <row r="284" spans="1:4">
      <c r="A284" s="3477" t="s">
        <v>4571</v>
      </c>
      <c r="B284" s="3477">
        <v>10.1</v>
      </c>
      <c r="C284" s="3486">
        <v>44958</v>
      </c>
      <c r="D284" s="3486">
        <v>44985</v>
      </c>
    </row>
    <row r="285" spans="1:4">
      <c r="A285" s="3477" t="s">
        <v>4501</v>
      </c>
      <c r="B285" s="3477">
        <v>27</v>
      </c>
      <c r="C285" s="3486">
        <v>44927</v>
      </c>
      <c r="D285" s="3486">
        <v>45291</v>
      </c>
    </row>
    <row r="286" spans="1:4">
      <c r="A286" s="3477" t="s">
        <v>4679</v>
      </c>
      <c r="B286" s="3477">
        <v>67.7</v>
      </c>
      <c r="C286" s="3486">
        <v>44967</v>
      </c>
      <c r="D286" s="3486">
        <v>45716</v>
      </c>
    </row>
    <row r="287" spans="1:4">
      <c r="A287" s="3477" t="s">
        <v>4678</v>
      </c>
      <c r="B287" s="3477">
        <v>13.27</v>
      </c>
      <c r="C287" s="3486">
        <v>44987</v>
      </c>
      <c r="D287" s="3486">
        <v>45351</v>
      </c>
    </row>
    <row r="288" spans="1:4">
      <c r="A288" s="3477" t="s">
        <v>4577</v>
      </c>
      <c r="B288" s="3477">
        <v>140.38</v>
      </c>
      <c r="C288" s="3486">
        <v>45000</v>
      </c>
      <c r="D288" s="3486">
        <v>46446</v>
      </c>
    </row>
    <row r="289" spans="1:4">
      <c r="A289" s="3477" t="s">
        <v>4677</v>
      </c>
      <c r="B289" s="3477">
        <v>121.05</v>
      </c>
      <c r="C289" s="3486">
        <v>45059</v>
      </c>
      <c r="D289" s="3486">
        <v>46507</v>
      </c>
    </row>
    <row r="290" spans="1:4">
      <c r="A290" s="3477" t="s">
        <v>4676</v>
      </c>
      <c r="B290" s="3477">
        <v>30.6</v>
      </c>
      <c r="C290" s="3486">
        <v>44986</v>
      </c>
      <c r="D290" s="3486">
        <v>45351</v>
      </c>
    </row>
    <row r="291" spans="1:4">
      <c r="A291" s="3477" t="s">
        <v>4675</v>
      </c>
      <c r="B291" s="3477">
        <v>12.97</v>
      </c>
      <c r="C291" s="3486">
        <v>45017</v>
      </c>
      <c r="D291" s="3486">
        <v>45382</v>
      </c>
    </row>
    <row r="292" spans="1:4">
      <c r="A292" s="3477" t="s">
        <v>4674</v>
      </c>
      <c r="B292" s="3477">
        <v>200.81</v>
      </c>
      <c r="C292" s="3486">
        <v>44986</v>
      </c>
      <c r="D292" s="3486">
        <v>45351</v>
      </c>
    </row>
    <row r="293" spans="1:4">
      <c r="A293" s="3477" t="s">
        <v>4571</v>
      </c>
      <c r="B293" s="3477">
        <v>10.1</v>
      </c>
      <c r="C293" s="3486">
        <v>44986</v>
      </c>
      <c r="D293" s="3486">
        <v>45169</v>
      </c>
    </row>
    <row r="294" spans="1:4">
      <c r="A294" s="3477" t="s">
        <v>4673</v>
      </c>
      <c r="B294" s="3477">
        <v>58.28</v>
      </c>
      <c r="C294" s="3486">
        <v>44986</v>
      </c>
      <c r="D294" s="3486">
        <v>45351</v>
      </c>
    </row>
    <row r="295" spans="1:4">
      <c r="A295" s="3477" t="s">
        <v>4672</v>
      </c>
      <c r="B295" s="3477">
        <v>78.709999999999994</v>
      </c>
      <c r="C295" s="3486">
        <v>45017</v>
      </c>
      <c r="D295" s="3486">
        <v>45382</v>
      </c>
    </row>
    <row r="296" spans="1:4">
      <c r="A296" s="3477" t="s">
        <v>4671</v>
      </c>
      <c r="B296" s="3477">
        <v>119.39</v>
      </c>
      <c r="C296" s="3486">
        <v>45007</v>
      </c>
      <c r="D296" s="3486">
        <v>46098</v>
      </c>
    </row>
    <row r="297" spans="1:4">
      <c r="A297" s="3477" t="s">
        <v>4670</v>
      </c>
      <c r="B297" s="3477">
        <v>54.26</v>
      </c>
      <c r="C297" s="3486">
        <v>45017</v>
      </c>
      <c r="D297" s="3486">
        <v>45382</v>
      </c>
    </row>
    <row r="298" spans="1:4">
      <c r="A298" s="3477" t="s">
        <v>4669</v>
      </c>
      <c r="B298" s="3477">
        <v>20.7</v>
      </c>
      <c r="C298" s="3486">
        <v>45017</v>
      </c>
      <c r="D298" s="3486">
        <v>45382</v>
      </c>
    </row>
    <row r="299" spans="1:4">
      <c r="A299" s="3477" t="s">
        <v>4668</v>
      </c>
      <c r="B299" s="3477">
        <v>38.79</v>
      </c>
      <c r="C299" s="3486">
        <v>45017</v>
      </c>
      <c r="D299" s="3486">
        <v>45747</v>
      </c>
    </row>
    <row r="300" spans="1:4">
      <c r="A300" s="3477" t="s">
        <v>4667</v>
      </c>
      <c r="B300" s="3477">
        <v>157.05000000000001</v>
      </c>
      <c r="C300" s="3486">
        <v>45047</v>
      </c>
      <c r="D300" s="3486">
        <v>45596</v>
      </c>
    </row>
    <row r="301" spans="1:4">
      <c r="A301" s="3477" t="s">
        <v>4666</v>
      </c>
      <c r="B301" s="3477">
        <v>38.35</v>
      </c>
      <c r="C301" s="3486">
        <v>45017</v>
      </c>
      <c r="D301" s="3486">
        <v>45382</v>
      </c>
    </row>
    <row r="302" spans="1:4">
      <c r="A302" s="3477" t="s">
        <v>4665</v>
      </c>
      <c r="B302" s="3477">
        <v>127.35</v>
      </c>
      <c r="C302" s="3486">
        <v>45017</v>
      </c>
      <c r="D302" s="3486">
        <v>45382</v>
      </c>
    </row>
    <row r="303" spans="1:4">
      <c r="A303" s="3477" t="s">
        <v>4664</v>
      </c>
      <c r="B303" s="3477">
        <v>169.16</v>
      </c>
      <c r="C303" s="3486">
        <v>45108</v>
      </c>
      <c r="D303" s="3486">
        <v>45838</v>
      </c>
    </row>
    <row r="304" spans="1:4">
      <c r="A304" s="3477" t="s">
        <v>4663</v>
      </c>
      <c r="B304" s="3477">
        <v>35.630000000000003</v>
      </c>
      <c r="C304" s="3486">
        <v>45021</v>
      </c>
      <c r="D304" s="3486">
        <v>45777</v>
      </c>
    </row>
    <row r="305" spans="1:4">
      <c r="A305" s="3477" t="s">
        <v>4662</v>
      </c>
      <c r="B305" s="3477">
        <v>128.07</v>
      </c>
      <c r="C305" s="3486">
        <v>45017</v>
      </c>
      <c r="D305" s="3486">
        <v>45382</v>
      </c>
    </row>
    <row r="306" spans="1:4">
      <c r="A306" s="3477" t="s">
        <v>4661</v>
      </c>
      <c r="B306" s="3477">
        <v>134.36000000000001</v>
      </c>
      <c r="C306" s="3486">
        <v>45018</v>
      </c>
      <c r="D306" s="3486">
        <v>46112</v>
      </c>
    </row>
    <row r="307" spans="1:4">
      <c r="A307" s="3477" t="s">
        <v>4660</v>
      </c>
      <c r="B307" s="3477">
        <v>16.02</v>
      </c>
      <c r="C307" s="3486">
        <v>45047</v>
      </c>
      <c r="D307" s="3486">
        <v>45412</v>
      </c>
    </row>
    <row r="308" spans="1:4">
      <c r="A308" s="3477" t="s">
        <v>4659</v>
      </c>
      <c r="B308" s="3477">
        <v>1282.3399999999999</v>
      </c>
      <c r="C308" s="3486">
        <v>45018</v>
      </c>
      <c r="D308" s="3486">
        <v>46843</v>
      </c>
    </row>
    <row r="309" spans="1:4">
      <c r="A309" s="3477" t="s">
        <v>4657</v>
      </c>
      <c r="B309" s="3477">
        <v>30.43</v>
      </c>
      <c r="C309" s="3486">
        <v>45023</v>
      </c>
      <c r="D309" s="3486">
        <v>45757</v>
      </c>
    </row>
    <row r="310" spans="1:4">
      <c r="A310" s="3477" t="s">
        <v>4658</v>
      </c>
      <c r="B310" s="3477">
        <v>137.31</v>
      </c>
      <c r="C310" s="3486">
        <v>45024</v>
      </c>
      <c r="D310" s="3486">
        <v>46112</v>
      </c>
    </row>
    <row r="311" spans="1:4">
      <c r="A311" s="3477" t="s">
        <v>4657</v>
      </c>
      <c r="B311" s="3477">
        <v>12.3</v>
      </c>
      <c r="C311" s="3486">
        <v>45027</v>
      </c>
      <c r="D311" s="3486">
        <v>45757</v>
      </c>
    </row>
    <row r="312" spans="1:4">
      <c r="A312" s="3477" t="s">
        <v>4656</v>
      </c>
      <c r="B312" s="3477">
        <v>12.39</v>
      </c>
      <c r="C312" s="3486">
        <v>45047</v>
      </c>
      <c r="D312" s="3486">
        <v>45412</v>
      </c>
    </row>
    <row r="313" spans="1:4">
      <c r="A313" s="3477" t="s">
        <v>4655</v>
      </c>
      <c r="B313" s="3477">
        <v>19.73</v>
      </c>
      <c r="C313" s="3486">
        <v>45047</v>
      </c>
      <c r="D313" s="3486">
        <v>45412</v>
      </c>
    </row>
    <row r="314" spans="1:4">
      <c r="A314" s="3477" t="s">
        <v>4654</v>
      </c>
      <c r="B314" s="3477">
        <v>123.08</v>
      </c>
      <c r="C314" s="3486">
        <v>45047</v>
      </c>
      <c r="D314" s="3486">
        <v>45412</v>
      </c>
    </row>
    <row r="315" spans="1:4">
      <c r="A315" s="3477" t="s">
        <v>4653</v>
      </c>
      <c r="B315" s="3477">
        <v>14</v>
      </c>
      <c r="C315" s="3486">
        <v>45047</v>
      </c>
      <c r="D315" s="3486">
        <v>45412</v>
      </c>
    </row>
    <row r="316" spans="1:4">
      <c r="A316" s="3477" t="s">
        <v>4652</v>
      </c>
      <c r="B316" s="3477">
        <v>95.92</v>
      </c>
      <c r="C316" s="3486">
        <v>45047</v>
      </c>
      <c r="D316" s="3486">
        <v>45412</v>
      </c>
    </row>
    <row r="317" spans="1:4">
      <c r="A317" s="3477" t="s">
        <v>4651</v>
      </c>
      <c r="B317" s="3477">
        <v>14.91</v>
      </c>
      <c r="C317" s="3486">
        <v>45108</v>
      </c>
      <c r="D317" s="3486">
        <v>45473</v>
      </c>
    </row>
    <row r="318" spans="1:4">
      <c r="A318" s="3477" t="s">
        <v>4650</v>
      </c>
      <c r="B318" s="3477">
        <v>12</v>
      </c>
      <c r="C318" s="3486">
        <v>45047</v>
      </c>
      <c r="D318" s="3486">
        <v>45412</v>
      </c>
    </row>
    <row r="319" spans="1:4">
      <c r="A319" s="3477" t="s">
        <v>4649</v>
      </c>
      <c r="B319" s="3477">
        <v>14</v>
      </c>
      <c r="C319" s="3486">
        <v>45047</v>
      </c>
      <c r="D319" s="3486">
        <v>45412</v>
      </c>
    </row>
    <row r="320" spans="1:4">
      <c r="A320" s="3477" t="s">
        <v>4648</v>
      </c>
      <c r="B320" s="3477">
        <v>55.8</v>
      </c>
      <c r="C320" s="3486">
        <v>45042</v>
      </c>
      <c r="D320" s="3486">
        <v>45777</v>
      </c>
    </row>
    <row r="321" spans="1:4">
      <c r="A321" s="3477" t="s">
        <v>4647</v>
      </c>
      <c r="B321" s="3477">
        <v>16.95</v>
      </c>
      <c r="C321" s="3486">
        <v>45047</v>
      </c>
      <c r="D321" s="3486">
        <v>45412</v>
      </c>
    </row>
    <row r="322" spans="1:4">
      <c r="A322" s="3477" t="s">
        <v>4646</v>
      </c>
      <c r="B322" s="3477">
        <v>27.77</v>
      </c>
      <c r="C322" s="3486">
        <v>45048</v>
      </c>
      <c r="D322" s="3486">
        <v>45230</v>
      </c>
    </row>
    <row r="323" spans="1:4">
      <c r="A323" s="3477" t="s">
        <v>4645</v>
      </c>
      <c r="B323" s="3477">
        <v>120.4</v>
      </c>
      <c r="C323" s="3486">
        <v>45047</v>
      </c>
      <c r="D323" s="3486">
        <v>45412</v>
      </c>
    </row>
    <row r="324" spans="1:4">
      <c r="A324" s="3477" t="s">
        <v>4644</v>
      </c>
      <c r="B324" s="3477">
        <v>121.22</v>
      </c>
      <c r="C324" s="3486">
        <v>45108</v>
      </c>
      <c r="D324" s="3486">
        <v>45838</v>
      </c>
    </row>
    <row r="325" spans="1:4">
      <c r="A325" s="3477" t="s">
        <v>4643</v>
      </c>
      <c r="B325" s="3477">
        <v>30.71</v>
      </c>
      <c r="C325" s="3486">
        <v>45050</v>
      </c>
      <c r="D325" s="3486">
        <v>45415</v>
      </c>
    </row>
    <row r="326" spans="1:4">
      <c r="A326" s="3477" t="s">
        <v>4642</v>
      </c>
      <c r="B326" s="3477">
        <v>233.18</v>
      </c>
      <c r="C326" s="3486">
        <v>45066</v>
      </c>
      <c r="D326" s="3486">
        <v>46892</v>
      </c>
    </row>
    <row r="327" spans="1:4">
      <c r="A327" s="3477" t="s">
        <v>4640</v>
      </c>
      <c r="B327" s="3477">
        <v>30.35</v>
      </c>
      <c r="C327" s="3486">
        <v>45078</v>
      </c>
      <c r="D327" s="3486">
        <v>45443</v>
      </c>
    </row>
    <row r="328" spans="1:4">
      <c r="A328" s="3477" t="s">
        <v>4641</v>
      </c>
      <c r="B328" s="3477">
        <v>97.54</v>
      </c>
      <c r="C328" s="3486">
        <v>45078</v>
      </c>
      <c r="D328" s="3486">
        <v>45808</v>
      </c>
    </row>
    <row r="329" spans="1:4">
      <c r="A329" s="3477" t="s">
        <v>4640</v>
      </c>
      <c r="B329" s="3477">
        <v>15.35</v>
      </c>
      <c r="C329" s="3486">
        <v>45078</v>
      </c>
      <c r="D329" s="3486">
        <v>45443</v>
      </c>
    </row>
    <row r="330" spans="1:4">
      <c r="A330" s="3477" t="s">
        <v>4639</v>
      </c>
      <c r="B330" s="3477">
        <v>161.57</v>
      </c>
      <c r="C330" s="3486">
        <v>45078</v>
      </c>
      <c r="D330" s="3486">
        <v>45443</v>
      </c>
    </row>
    <row r="331" spans="1:4">
      <c r="A331" s="3477" t="s">
        <v>4492</v>
      </c>
      <c r="B331" s="3477">
        <v>118.07</v>
      </c>
      <c r="C331" s="3486">
        <v>45170</v>
      </c>
      <c r="D331" s="3486">
        <v>45291</v>
      </c>
    </row>
    <row r="332" spans="1:4">
      <c r="A332" s="3477" t="s">
        <v>4638</v>
      </c>
      <c r="B332" s="3477">
        <v>124.18</v>
      </c>
      <c r="C332" s="3486">
        <v>45108</v>
      </c>
      <c r="D332" s="3486">
        <v>45473</v>
      </c>
    </row>
    <row r="333" spans="1:4">
      <c r="A333" s="3477" t="s">
        <v>4637</v>
      </c>
      <c r="B333" s="3477">
        <v>42.56</v>
      </c>
      <c r="C333" s="3486">
        <v>45078</v>
      </c>
      <c r="D333" s="3486">
        <v>45443</v>
      </c>
    </row>
    <row r="334" spans="1:4">
      <c r="A334" s="3477" t="s">
        <v>4568</v>
      </c>
      <c r="B334" s="3477">
        <v>30.6</v>
      </c>
      <c r="C334" s="3486">
        <v>45108</v>
      </c>
      <c r="D334" s="3486">
        <v>45199</v>
      </c>
    </row>
    <row r="335" spans="1:4">
      <c r="A335" s="3477" t="s">
        <v>4636</v>
      </c>
      <c r="B335" s="3477">
        <v>146.28</v>
      </c>
      <c r="C335" s="3486">
        <v>45078</v>
      </c>
      <c r="D335" s="3486">
        <v>45230</v>
      </c>
    </row>
    <row r="336" spans="1:4">
      <c r="A336" s="3477" t="s">
        <v>4635</v>
      </c>
      <c r="B336" s="3477">
        <v>31.99</v>
      </c>
      <c r="C336" s="3486">
        <v>45170</v>
      </c>
      <c r="D336" s="3486">
        <v>45535</v>
      </c>
    </row>
    <row r="337" spans="1:4">
      <c r="A337" s="3477" t="s">
        <v>4584</v>
      </c>
      <c r="B337" s="3477">
        <v>39.57</v>
      </c>
      <c r="C337" s="3486">
        <v>45108</v>
      </c>
      <c r="D337" s="3486">
        <v>45199</v>
      </c>
    </row>
    <row r="338" spans="1:4">
      <c r="A338" s="3477" t="s">
        <v>4634</v>
      </c>
      <c r="B338" s="3477">
        <v>153.22999999999999</v>
      </c>
      <c r="C338" s="3486">
        <v>45170</v>
      </c>
      <c r="D338" s="3486">
        <v>45535</v>
      </c>
    </row>
    <row r="339" spans="1:4">
      <c r="A339" s="3477" t="s">
        <v>4633</v>
      </c>
      <c r="B339" s="3477">
        <v>28.46</v>
      </c>
      <c r="C339" s="3486">
        <v>45170</v>
      </c>
      <c r="D339" s="3486">
        <v>45535</v>
      </c>
    </row>
    <row r="340" spans="1:4">
      <c r="A340" s="3477" t="s">
        <v>4632</v>
      </c>
      <c r="B340" s="3477">
        <v>59.74</v>
      </c>
      <c r="C340" s="3486">
        <v>45170</v>
      </c>
      <c r="D340" s="3486">
        <v>45535</v>
      </c>
    </row>
    <row r="341" spans="1:4">
      <c r="A341" s="3477" t="s">
        <v>4631</v>
      </c>
      <c r="B341" s="3477">
        <v>24.19</v>
      </c>
      <c r="C341" s="3486">
        <v>45139</v>
      </c>
      <c r="D341" s="3486">
        <v>45504</v>
      </c>
    </row>
    <row r="342" spans="1:4">
      <c r="A342" s="3477" t="s">
        <v>4630</v>
      </c>
      <c r="B342" s="3477">
        <v>139.26</v>
      </c>
      <c r="C342" s="3486">
        <v>45170</v>
      </c>
      <c r="D342" s="3486">
        <v>45535</v>
      </c>
    </row>
    <row r="343" spans="1:4">
      <c r="A343" s="3477" t="s">
        <v>4629</v>
      </c>
      <c r="B343" s="3477">
        <v>97.21</v>
      </c>
      <c r="C343" s="3486">
        <v>45170</v>
      </c>
      <c r="D343" s="3486">
        <v>45535</v>
      </c>
    </row>
    <row r="344" spans="1:4">
      <c r="A344" s="3477" t="s">
        <v>4628</v>
      </c>
      <c r="B344" s="3477">
        <v>125.39</v>
      </c>
      <c r="C344" s="3486">
        <v>45170</v>
      </c>
      <c r="D344" s="3486">
        <v>45535</v>
      </c>
    </row>
    <row r="345" spans="1:4">
      <c r="A345" s="3477" t="s">
        <v>4627</v>
      </c>
      <c r="B345" s="3477">
        <v>144.13999999999999</v>
      </c>
      <c r="C345" s="3486">
        <v>45170</v>
      </c>
      <c r="D345" s="3486">
        <v>45900</v>
      </c>
    </row>
    <row r="346" spans="1:4">
      <c r="A346" s="3477" t="s">
        <v>4626</v>
      </c>
      <c r="B346" s="3477">
        <v>112.01</v>
      </c>
      <c r="C346" s="3486">
        <v>45170</v>
      </c>
      <c r="D346" s="3486">
        <v>45535</v>
      </c>
    </row>
    <row r="347" spans="1:4">
      <c r="A347" s="3477" t="s">
        <v>4625</v>
      </c>
      <c r="B347" s="3477">
        <v>145.09</v>
      </c>
      <c r="C347" s="3486">
        <v>45170</v>
      </c>
      <c r="D347" s="3486">
        <v>45535</v>
      </c>
    </row>
    <row r="348" spans="1:4">
      <c r="A348" s="3477" t="s">
        <v>4624</v>
      </c>
      <c r="B348" s="3477">
        <v>104.51</v>
      </c>
      <c r="C348" s="3486">
        <v>45159</v>
      </c>
      <c r="D348" s="3486">
        <v>45524</v>
      </c>
    </row>
    <row r="349" spans="1:4">
      <c r="A349" s="3477" t="s">
        <v>4580</v>
      </c>
      <c r="B349" s="3477">
        <v>55.84</v>
      </c>
      <c r="C349" s="3486">
        <v>45139</v>
      </c>
      <c r="D349" s="3486">
        <v>45504</v>
      </c>
    </row>
    <row r="350" spans="1:4">
      <c r="A350" s="3477" t="s">
        <v>4623</v>
      </c>
      <c r="B350" s="3477">
        <v>85.47</v>
      </c>
      <c r="C350" s="3486">
        <v>45170</v>
      </c>
      <c r="D350" s="3486">
        <v>45535</v>
      </c>
    </row>
    <row r="351" spans="1:4">
      <c r="A351" s="3477" t="s">
        <v>4622</v>
      </c>
      <c r="B351" s="3477">
        <v>77.13</v>
      </c>
      <c r="C351" s="3486">
        <v>45170</v>
      </c>
      <c r="D351" s="3486">
        <v>45535</v>
      </c>
    </row>
    <row r="352" spans="1:4">
      <c r="A352" s="3477" t="s">
        <v>4621</v>
      </c>
      <c r="B352" s="3477">
        <v>145.9</v>
      </c>
      <c r="C352" s="3486">
        <v>45170</v>
      </c>
      <c r="D352" s="3486">
        <v>45900</v>
      </c>
    </row>
    <row r="353" spans="1:4">
      <c r="A353" s="3477" t="s">
        <v>4620</v>
      </c>
      <c r="B353" s="3477">
        <v>155.4</v>
      </c>
      <c r="C353" s="3486">
        <v>45170</v>
      </c>
      <c r="D353" s="3486">
        <v>45535</v>
      </c>
    </row>
    <row r="354" spans="1:4">
      <c r="A354" s="3477" t="s">
        <v>4516</v>
      </c>
      <c r="B354" s="3477">
        <v>376.88</v>
      </c>
      <c r="C354" s="3486">
        <v>45190</v>
      </c>
      <c r="D354" s="3486">
        <v>45260</v>
      </c>
    </row>
    <row r="355" spans="1:4">
      <c r="A355" s="3477" t="s">
        <v>4619</v>
      </c>
      <c r="B355" s="3477">
        <v>275.94</v>
      </c>
      <c r="C355" s="3486">
        <v>45190</v>
      </c>
      <c r="D355" s="3486">
        <v>46286</v>
      </c>
    </row>
    <row r="356" spans="1:4">
      <c r="A356" s="3477" t="s">
        <v>4618</v>
      </c>
      <c r="B356" s="3477">
        <v>331.2</v>
      </c>
      <c r="C356" s="3486">
        <v>45190</v>
      </c>
      <c r="D356" s="3486">
        <v>45556</v>
      </c>
    </row>
    <row r="357" spans="1:4">
      <c r="A357" s="3477" t="s">
        <v>4617</v>
      </c>
      <c r="B357" s="3477">
        <v>59.79</v>
      </c>
      <c r="C357" s="3486">
        <v>45170</v>
      </c>
      <c r="D357" s="3486">
        <v>45535</v>
      </c>
    </row>
    <row r="358" spans="1:4">
      <c r="A358" s="3477" t="s">
        <v>4616</v>
      </c>
      <c r="B358" s="3477">
        <v>252.45</v>
      </c>
      <c r="C358" s="3486">
        <v>45170</v>
      </c>
      <c r="D358" s="3486">
        <v>46265</v>
      </c>
    </row>
    <row r="359" spans="1:4">
      <c r="A359" s="3477" t="s">
        <v>4615</v>
      </c>
      <c r="B359" s="3477">
        <v>289.06</v>
      </c>
      <c r="C359" s="3486">
        <v>45190</v>
      </c>
      <c r="D359" s="3486">
        <v>45555</v>
      </c>
    </row>
    <row r="360" spans="1:4">
      <c r="A360" s="3477" t="s">
        <v>4614</v>
      </c>
      <c r="B360" s="3477">
        <v>64.319999999999993</v>
      </c>
      <c r="C360" s="3486">
        <v>45170</v>
      </c>
      <c r="D360" s="3486">
        <v>45535</v>
      </c>
    </row>
    <row r="361" spans="1:4">
      <c r="A361" s="3477" t="s">
        <v>4578</v>
      </c>
      <c r="B361" s="3477">
        <v>113.98</v>
      </c>
      <c r="C361" s="3486">
        <v>45170</v>
      </c>
      <c r="D361" s="3486">
        <v>45230</v>
      </c>
    </row>
    <row r="362" spans="1:4">
      <c r="A362" s="3477" t="s">
        <v>4513</v>
      </c>
      <c r="B362" s="3477">
        <v>232.83</v>
      </c>
      <c r="C362" s="3486">
        <v>45170</v>
      </c>
      <c r="D362" s="3486">
        <v>45230</v>
      </c>
    </row>
    <row r="363" spans="1:4">
      <c r="A363" s="3477" t="s">
        <v>4613</v>
      </c>
      <c r="B363" s="3477">
        <v>78.31</v>
      </c>
      <c r="C363" s="3486">
        <v>45170</v>
      </c>
      <c r="D363" s="3486">
        <v>45535</v>
      </c>
    </row>
    <row r="364" spans="1:4">
      <c r="A364" s="3477" t="s">
        <v>4612</v>
      </c>
      <c r="B364" s="3477">
        <v>83.74</v>
      </c>
      <c r="C364" s="3486">
        <v>45170</v>
      </c>
      <c r="D364" s="3486">
        <v>45351</v>
      </c>
    </row>
    <row r="365" spans="1:4">
      <c r="A365" s="3477" t="s">
        <v>4611</v>
      </c>
      <c r="B365" s="3477">
        <v>59.68</v>
      </c>
      <c r="C365" s="3486">
        <v>45170</v>
      </c>
      <c r="D365" s="3486">
        <v>45535</v>
      </c>
    </row>
    <row r="366" spans="1:4">
      <c r="A366" s="3477" t="s">
        <v>4610</v>
      </c>
      <c r="B366" s="3477">
        <v>115.69</v>
      </c>
      <c r="C366" s="3486">
        <v>45170</v>
      </c>
      <c r="D366" s="3486">
        <v>45535</v>
      </c>
    </row>
    <row r="367" spans="1:4">
      <c r="A367" s="3477" t="s">
        <v>4609</v>
      </c>
      <c r="B367" s="3477">
        <v>23.46</v>
      </c>
      <c r="C367" s="3486">
        <v>45170</v>
      </c>
      <c r="D367" s="3486">
        <v>45230</v>
      </c>
    </row>
    <row r="368" spans="1:4">
      <c r="A368" s="3477" t="s">
        <v>4608</v>
      </c>
      <c r="B368" s="3477">
        <v>61.07</v>
      </c>
      <c r="C368" s="3486">
        <v>45170</v>
      </c>
      <c r="D368" s="3486">
        <v>45351</v>
      </c>
    </row>
    <row r="369" spans="1:4">
      <c r="A369" s="3477" t="s">
        <v>4607</v>
      </c>
      <c r="B369" s="3477">
        <v>219.97</v>
      </c>
      <c r="C369" s="3486">
        <v>43779</v>
      </c>
      <c r="D369" s="3486">
        <v>45961</v>
      </c>
    </row>
    <row r="370" spans="1:4">
      <c r="A370" s="3477" t="s">
        <v>4538</v>
      </c>
      <c r="B370" s="3477">
        <v>279.70999999999998</v>
      </c>
      <c r="C370" s="3486">
        <v>43762</v>
      </c>
      <c r="D370" s="3486">
        <v>45260</v>
      </c>
    </row>
    <row r="371" spans="1:4">
      <c r="A371" s="3477" t="s">
        <v>4559</v>
      </c>
      <c r="B371" s="3477">
        <v>244.4</v>
      </c>
      <c r="C371" s="3486">
        <v>43762</v>
      </c>
      <c r="D371" s="3486">
        <v>45260</v>
      </c>
    </row>
    <row r="372" spans="1:4">
      <c r="A372" s="3477" t="s">
        <v>4606</v>
      </c>
      <c r="B372" s="3477">
        <v>713.28</v>
      </c>
      <c r="C372" s="3486">
        <v>43983</v>
      </c>
      <c r="D372" s="3486">
        <v>46173</v>
      </c>
    </row>
    <row r="373" spans="1:4">
      <c r="A373" s="3477" t="s">
        <v>4597</v>
      </c>
      <c r="B373" s="3477">
        <v>123.07</v>
      </c>
      <c r="C373" s="3486">
        <v>43981</v>
      </c>
      <c r="D373" s="3486">
        <v>45077</v>
      </c>
    </row>
    <row r="374" spans="1:4">
      <c r="A374" s="3477" t="s">
        <v>4605</v>
      </c>
      <c r="B374" s="3477">
        <v>356.62</v>
      </c>
      <c r="C374" s="3486">
        <v>45210</v>
      </c>
      <c r="D374" s="3486">
        <v>47481</v>
      </c>
    </row>
    <row r="375" spans="1:4">
      <c r="A375" s="3477" t="s">
        <v>4604</v>
      </c>
      <c r="B375" s="3477">
        <v>91.47</v>
      </c>
      <c r="C375" s="3486">
        <v>45062</v>
      </c>
      <c r="D375" s="3486">
        <v>45944</v>
      </c>
    </row>
    <row r="376" spans="1:4">
      <c r="A376" s="3477" t="s">
        <v>4603</v>
      </c>
      <c r="B376" s="3477">
        <v>10.8</v>
      </c>
      <c r="C376" s="3486">
        <v>45078</v>
      </c>
      <c r="D376" s="3486">
        <v>45443</v>
      </c>
    </row>
    <row r="377" spans="1:4">
      <c r="A377" s="3477" t="s">
        <v>4602</v>
      </c>
      <c r="B377" s="3477">
        <v>11.8</v>
      </c>
      <c r="C377" s="3486">
        <v>45079</v>
      </c>
      <c r="D377" s="3486">
        <v>45444</v>
      </c>
    </row>
    <row r="378" spans="1:4">
      <c r="A378" s="3477" t="s">
        <v>4601</v>
      </c>
      <c r="B378" s="3477">
        <v>152.44</v>
      </c>
      <c r="C378" s="3486">
        <v>45190</v>
      </c>
      <c r="D378" s="3486">
        <v>45920</v>
      </c>
    </row>
    <row r="379" spans="1:4">
      <c r="A379" s="3477" t="s">
        <v>4600</v>
      </c>
      <c r="B379" s="3477">
        <v>47.68</v>
      </c>
      <c r="C379" s="3486">
        <v>45098</v>
      </c>
      <c r="D379" s="3486">
        <v>45808</v>
      </c>
    </row>
    <row r="380" spans="1:4">
      <c r="A380" s="3477" t="s">
        <v>4599</v>
      </c>
      <c r="B380" s="3477">
        <v>160.75</v>
      </c>
      <c r="C380" s="3486">
        <v>45170</v>
      </c>
      <c r="D380" s="3486">
        <v>45900</v>
      </c>
    </row>
    <row r="381" spans="1:4">
      <c r="A381" s="3477" t="s">
        <v>4509</v>
      </c>
      <c r="B381" s="3477">
        <v>27.54</v>
      </c>
      <c r="C381" s="3486">
        <v>45078</v>
      </c>
      <c r="D381" s="3486">
        <v>45169</v>
      </c>
    </row>
    <row r="382" spans="1:4">
      <c r="A382" s="3477" t="s">
        <v>4598</v>
      </c>
      <c r="B382" s="3477">
        <v>18.21</v>
      </c>
      <c r="C382" s="3486">
        <v>45097</v>
      </c>
      <c r="D382" s="3486">
        <v>45473</v>
      </c>
    </row>
    <row r="383" spans="1:4">
      <c r="A383" s="3477" t="s">
        <v>4597</v>
      </c>
      <c r="B383" s="3477">
        <v>122.92</v>
      </c>
      <c r="C383" s="3486">
        <v>45097</v>
      </c>
      <c r="D383" s="3486">
        <v>46173</v>
      </c>
    </row>
    <row r="384" spans="1:4">
      <c r="A384" s="3477" t="s">
        <v>4596</v>
      </c>
      <c r="B384" s="3477">
        <v>135.84</v>
      </c>
      <c r="C384" s="3486">
        <v>45108</v>
      </c>
      <c r="D384" s="3486">
        <v>46203</v>
      </c>
    </row>
    <row r="385" spans="1:4">
      <c r="A385" s="3477" t="s">
        <v>4595</v>
      </c>
      <c r="B385" s="3477">
        <v>25.65</v>
      </c>
      <c r="C385" s="3486">
        <v>45078</v>
      </c>
      <c r="D385" s="3486">
        <v>45443</v>
      </c>
    </row>
    <row r="386" spans="1:4">
      <c r="A386" s="3477" t="s">
        <v>4594</v>
      </c>
      <c r="B386" s="3477">
        <v>48.44</v>
      </c>
      <c r="C386" s="3486">
        <v>45108</v>
      </c>
      <c r="D386" s="3486">
        <v>45382</v>
      </c>
    </row>
    <row r="387" spans="1:4">
      <c r="A387" s="3477" t="s">
        <v>4593</v>
      </c>
      <c r="B387" s="3477">
        <v>64.12</v>
      </c>
      <c r="C387" s="3486">
        <v>45108</v>
      </c>
      <c r="D387" s="3486">
        <v>45657</v>
      </c>
    </row>
    <row r="388" spans="1:4">
      <c r="A388" s="3477" t="s">
        <v>4592</v>
      </c>
      <c r="B388" s="3477">
        <v>17.28</v>
      </c>
      <c r="C388" s="3486">
        <v>45107</v>
      </c>
      <c r="D388" s="3486">
        <v>45230</v>
      </c>
    </row>
    <row r="389" spans="1:4">
      <c r="A389" s="3477" t="s">
        <v>4591</v>
      </c>
      <c r="B389" s="3477">
        <v>16.440000000000001</v>
      </c>
      <c r="C389" s="3486">
        <v>45143</v>
      </c>
      <c r="D389" s="3486">
        <v>45487</v>
      </c>
    </row>
    <row r="390" spans="1:4">
      <c r="A390" s="3477" t="s">
        <v>4552</v>
      </c>
      <c r="B390" s="3477">
        <v>40.17</v>
      </c>
      <c r="C390" s="3486">
        <v>45108</v>
      </c>
      <c r="D390" s="3486">
        <v>45169</v>
      </c>
    </row>
    <row r="391" spans="1:4">
      <c r="A391" s="3477" t="s">
        <v>4590</v>
      </c>
      <c r="B391" s="3477">
        <v>155.4</v>
      </c>
      <c r="C391" s="3486">
        <v>45108</v>
      </c>
      <c r="D391" s="3486">
        <v>45473</v>
      </c>
    </row>
    <row r="392" spans="1:4">
      <c r="A392" s="3477" t="s">
        <v>4589</v>
      </c>
      <c r="B392" s="3477">
        <v>46.82</v>
      </c>
      <c r="C392" s="3486">
        <v>45153</v>
      </c>
      <c r="D392" s="3486">
        <v>45883</v>
      </c>
    </row>
    <row r="393" spans="1:4">
      <c r="A393" s="3477" t="s">
        <v>4588</v>
      </c>
      <c r="B393" s="3477">
        <v>98.52</v>
      </c>
      <c r="C393" s="3486">
        <v>45135</v>
      </c>
      <c r="D393" s="3486">
        <v>46234</v>
      </c>
    </row>
    <row r="394" spans="1:4">
      <c r="A394" s="3477" t="s">
        <v>4513</v>
      </c>
      <c r="B394" s="3477">
        <v>327.33</v>
      </c>
      <c r="C394" s="3486">
        <v>45154</v>
      </c>
      <c r="D394" s="3486">
        <v>47339</v>
      </c>
    </row>
    <row r="395" spans="1:4">
      <c r="A395" s="3477" t="s">
        <v>4587</v>
      </c>
      <c r="B395" s="3477">
        <v>62.08</v>
      </c>
      <c r="C395" s="3486">
        <v>45139</v>
      </c>
      <c r="D395" s="3486">
        <v>45504</v>
      </c>
    </row>
    <row r="396" spans="1:4">
      <c r="A396" s="3477" t="s">
        <v>4586</v>
      </c>
      <c r="B396" s="3477">
        <v>32.270000000000003</v>
      </c>
      <c r="C396" s="3486">
        <v>45170</v>
      </c>
      <c r="D396" s="3486">
        <v>45535</v>
      </c>
    </row>
    <row r="397" spans="1:4">
      <c r="A397" s="3477" t="s">
        <v>4585</v>
      </c>
      <c r="B397" s="3477">
        <v>179.38</v>
      </c>
      <c r="C397" s="3486">
        <v>45139</v>
      </c>
      <c r="D397" s="3486">
        <v>45504</v>
      </c>
    </row>
    <row r="398" spans="1:4">
      <c r="A398" s="3477" t="s">
        <v>4584</v>
      </c>
      <c r="B398" s="3477">
        <v>37.4</v>
      </c>
      <c r="C398" s="3486">
        <v>45170</v>
      </c>
      <c r="D398" s="3486">
        <v>45900</v>
      </c>
    </row>
    <row r="399" spans="1:4">
      <c r="A399" s="3477" t="s">
        <v>4583</v>
      </c>
      <c r="B399" s="3477">
        <v>130.22</v>
      </c>
      <c r="C399" s="3486">
        <v>45139</v>
      </c>
      <c r="D399" s="3486">
        <v>46234</v>
      </c>
    </row>
    <row r="400" spans="1:4">
      <c r="A400" s="3477" t="s">
        <v>4582</v>
      </c>
      <c r="B400" s="3477">
        <v>235.18</v>
      </c>
      <c r="C400" s="3486">
        <v>45167</v>
      </c>
      <c r="D400" s="3486">
        <v>47026</v>
      </c>
    </row>
    <row r="401" spans="1:4">
      <c r="A401" s="3477" t="s">
        <v>4581</v>
      </c>
      <c r="B401" s="3477">
        <v>113.53</v>
      </c>
      <c r="C401" s="3486">
        <v>45238</v>
      </c>
      <c r="D401" s="3486">
        <v>47422</v>
      </c>
    </row>
    <row r="402" spans="1:4">
      <c r="A402" s="3477" t="s">
        <v>4580</v>
      </c>
      <c r="B402" s="3477">
        <v>24.08</v>
      </c>
      <c r="C402" s="3486">
        <v>45139</v>
      </c>
      <c r="D402" s="3486">
        <v>45504</v>
      </c>
    </row>
    <row r="403" spans="1:4">
      <c r="A403" s="3477" t="s">
        <v>4516</v>
      </c>
      <c r="B403" s="3477">
        <v>181.33</v>
      </c>
      <c r="C403" s="3486">
        <v>45232</v>
      </c>
      <c r="D403" s="3486">
        <v>46326</v>
      </c>
    </row>
    <row r="404" spans="1:4">
      <c r="A404" s="3477" t="s">
        <v>4579</v>
      </c>
      <c r="B404" s="3477">
        <v>12.5</v>
      </c>
      <c r="C404" s="3486">
        <v>45200</v>
      </c>
      <c r="D404" s="3486">
        <v>45565</v>
      </c>
    </row>
    <row r="405" spans="1:4">
      <c r="A405" s="3477" t="s">
        <v>4578</v>
      </c>
      <c r="B405" s="3477">
        <v>121.97</v>
      </c>
      <c r="C405" s="3486">
        <v>45215</v>
      </c>
      <c r="D405" s="3486">
        <v>47016</v>
      </c>
    </row>
    <row r="406" spans="1:4">
      <c r="A406" s="3477" t="s">
        <v>4577</v>
      </c>
      <c r="B406" s="3477">
        <v>16.84</v>
      </c>
      <c r="C406" s="3486">
        <v>45155</v>
      </c>
      <c r="D406" s="3486">
        <v>46446</v>
      </c>
    </row>
    <row r="407" spans="1:4">
      <c r="A407" s="3477" t="s">
        <v>4576</v>
      </c>
      <c r="B407" s="3477">
        <v>150.57</v>
      </c>
      <c r="C407" s="3486">
        <v>45170</v>
      </c>
      <c r="D407" s="3486">
        <v>46630</v>
      </c>
    </row>
    <row r="408" spans="1:4">
      <c r="A408" s="3477" t="s">
        <v>4575</v>
      </c>
      <c r="B408" s="3477">
        <v>109.93</v>
      </c>
      <c r="C408" s="3486">
        <v>45177</v>
      </c>
      <c r="D408" s="3486">
        <v>46675</v>
      </c>
    </row>
    <row r="409" spans="1:4">
      <c r="A409" s="3477" t="s">
        <v>4574</v>
      </c>
      <c r="B409" s="3477">
        <v>308.83</v>
      </c>
      <c r="C409" s="3486">
        <v>45220</v>
      </c>
      <c r="D409" s="3486">
        <v>47033</v>
      </c>
    </row>
    <row r="410" spans="1:4">
      <c r="A410" s="3477" t="s">
        <v>4573</v>
      </c>
      <c r="B410" s="3477">
        <v>64.930000000000007</v>
      </c>
      <c r="C410" s="3486">
        <v>45170</v>
      </c>
      <c r="D410" s="3486">
        <v>45535</v>
      </c>
    </row>
    <row r="411" spans="1:4">
      <c r="A411" s="3477" t="s">
        <v>4509</v>
      </c>
      <c r="B411" s="3477">
        <v>27.54</v>
      </c>
      <c r="C411" s="3486">
        <v>45170</v>
      </c>
      <c r="D411" s="3486">
        <v>45230</v>
      </c>
    </row>
    <row r="412" spans="1:4">
      <c r="A412" s="3477" t="s">
        <v>4503</v>
      </c>
      <c r="B412" s="3477">
        <v>101.22</v>
      </c>
      <c r="C412" s="3486">
        <v>45155</v>
      </c>
      <c r="D412" s="3486">
        <v>45246</v>
      </c>
    </row>
    <row r="413" spans="1:4">
      <c r="A413" s="3477" t="s">
        <v>4572</v>
      </c>
      <c r="B413" s="3477">
        <v>39.53</v>
      </c>
      <c r="C413" s="3486">
        <v>45231</v>
      </c>
      <c r="D413" s="3486">
        <v>45961</v>
      </c>
    </row>
    <row r="414" spans="1:4">
      <c r="A414" s="3477" t="s">
        <v>4571</v>
      </c>
      <c r="B414" s="3477">
        <v>10.1</v>
      </c>
      <c r="C414" s="3486">
        <v>45170</v>
      </c>
      <c r="D414" s="3486">
        <v>45535</v>
      </c>
    </row>
    <row r="415" spans="1:4">
      <c r="A415" s="3477" t="s">
        <v>4570</v>
      </c>
      <c r="B415" s="3477">
        <v>134.69999999999999</v>
      </c>
      <c r="C415" s="3486">
        <v>45170</v>
      </c>
      <c r="D415" s="3486">
        <v>45230</v>
      </c>
    </row>
    <row r="416" spans="1:4">
      <c r="A416" s="3477" t="s">
        <v>4569</v>
      </c>
      <c r="B416" s="3477">
        <v>39.06</v>
      </c>
      <c r="C416" s="3486">
        <v>45170</v>
      </c>
      <c r="D416" s="3486">
        <v>45230</v>
      </c>
    </row>
    <row r="417" spans="1:4">
      <c r="A417" s="3477" t="s">
        <v>4568</v>
      </c>
      <c r="B417" s="3477">
        <v>30.6</v>
      </c>
      <c r="C417" s="3486">
        <v>45200</v>
      </c>
      <c r="D417" s="3486">
        <v>45230</v>
      </c>
    </row>
    <row r="418" spans="1:4">
      <c r="A418" s="3477" t="s">
        <v>4567</v>
      </c>
      <c r="B418" s="3477">
        <v>348.83</v>
      </c>
      <c r="C418" s="3486">
        <v>45170</v>
      </c>
      <c r="D418" s="3486">
        <v>45535</v>
      </c>
    </row>
    <row r="419" spans="1:4">
      <c r="A419" s="3477" t="s">
        <v>4566</v>
      </c>
      <c r="B419" s="3477">
        <v>515.46</v>
      </c>
      <c r="C419" s="3486">
        <v>45209</v>
      </c>
      <c r="D419" s="3486">
        <v>47016</v>
      </c>
    </row>
    <row r="420" spans="1:4">
      <c r="A420" s="3477" t="s">
        <v>4565</v>
      </c>
      <c r="B420" s="3477">
        <v>111.24</v>
      </c>
      <c r="C420" s="3486">
        <v>45170</v>
      </c>
      <c r="D420" s="3486">
        <v>45900</v>
      </c>
    </row>
    <row r="421" spans="1:4">
      <c r="A421" s="3477" t="s">
        <v>4564</v>
      </c>
      <c r="B421" s="3477">
        <v>243.64</v>
      </c>
      <c r="C421" s="3486">
        <v>45190</v>
      </c>
      <c r="D421" s="3486">
        <v>45555</v>
      </c>
    </row>
    <row r="422" spans="1:4">
      <c r="A422" s="3477" t="s">
        <v>4563</v>
      </c>
      <c r="B422" s="3477">
        <v>515.41</v>
      </c>
      <c r="C422" s="3486">
        <v>45190</v>
      </c>
      <c r="D422" s="3486">
        <v>45208</v>
      </c>
    </row>
    <row r="423" spans="1:4">
      <c r="A423" s="3477" t="s">
        <v>4562</v>
      </c>
      <c r="B423" s="3477">
        <v>33.82</v>
      </c>
      <c r="C423" s="3486">
        <v>45170</v>
      </c>
      <c r="D423" s="3486">
        <v>46265</v>
      </c>
    </row>
    <row r="424" spans="1:4">
      <c r="A424" s="3477" t="s">
        <v>4561</v>
      </c>
      <c r="B424" s="3477">
        <v>135.57</v>
      </c>
      <c r="C424" s="3486">
        <v>45170</v>
      </c>
      <c r="D424" s="3486">
        <v>45351</v>
      </c>
    </row>
    <row r="425" spans="1:4">
      <c r="A425" s="3477" t="s">
        <v>4560</v>
      </c>
      <c r="B425" s="3477">
        <v>149.16</v>
      </c>
      <c r="C425" s="3486">
        <v>45233</v>
      </c>
      <c r="D425" s="3486">
        <v>47057</v>
      </c>
    </row>
    <row r="426" spans="1:4">
      <c r="A426" s="3477" t="s">
        <v>4559</v>
      </c>
      <c r="B426" s="3477">
        <v>244.4</v>
      </c>
      <c r="C426" s="3486">
        <v>45261</v>
      </c>
      <c r="D426" s="3486">
        <v>46356</v>
      </c>
    </row>
    <row r="427" spans="1:4">
      <c r="A427" s="3477" t="s">
        <v>4558</v>
      </c>
      <c r="B427" s="3477">
        <v>139.52000000000001</v>
      </c>
      <c r="C427" s="3486">
        <v>45170</v>
      </c>
      <c r="D427" s="3486">
        <v>45230</v>
      </c>
    </row>
    <row r="428" spans="1:4">
      <c r="A428" s="3477" t="s">
        <v>4557</v>
      </c>
      <c r="B428" s="3477">
        <v>24.9</v>
      </c>
      <c r="C428" s="3486">
        <v>45181</v>
      </c>
      <c r="D428" s="3486">
        <v>45900</v>
      </c>
    </row>
    <row r="429" spans="1:4">
      <c r="A429" s="3477" t="s">
        <v>4556</v>
      </c>
      <c r="B429" s="3477">
        <v>219.84</v>
      </c>
      <c r="C429" s="3486">
        <v>45231</v>
      </c>
      <c r="D429" s="3486">
        <v>45596</v>
      </c>
    </row>
    <row r="430" spans="1:4">
      <c r="A430" s="3477" t="s">
        <v>4555</v>
      </c>
      <c r="B430" s="3477">
        <v>259.8</v>
      </c>
      <c r="C430" s="3486">
        <v>45190</v>
      </c>
      <c r="D430" s="3486">
        <v>45555</v>
      </c>
    </row>
    <row r="431" spans="1:4">
      <c r="A431" s="3477" t="s">
        <v>4554</v>
      </c>
      <c r="B431" s="3477">
        <v>123.03</v>
      </c>
      <c r="C431" s="3486">
        <v>45170</v>
      </c>
      <c r="D431" s="3486">
        <v>45230</v>
      </c>
    </row>
    <row r="432" spans="1:4">
      <c r="A432" s="3477" t="s">
        <v>4553</v>
      </c>
      <c r="B432" s="3477">
        <v>30.97</v>
      </c>
      <c r="C432" s="3486">
        <v>45170</v>
      </c>
      <c r="D432" s="3486">
        <v>45504</v>
      </c>
    </row>
    <row r="433" spans="1:4">
      <c r="A433" s="3477" t="s">
        <v>4552</v>
      </c>
      <c r="B433" s="3477">
        <v>40.17</v>
      </c>
      <c r="C433" s="3486">
        <v>45170</v>
      </c>
      <c r="D433" s="3486">
        <v>45473</v>
      </c>
    </row>
    <row r="434" spans="1:4">
      <c r="A434" s="3477" t="s">
        <v>4551</v>
      </c>
      <c r="B434" s="3477">
        <v>281.74</v>
      </c>
      <c r="C434" s="3486">
        <v>45190</v>
      </c>
      <c r="D434" s="3486">
        <v>45555</v>
      </c>
    </row>
    <row r="435" spans="1:4">
      <c r="A435" s="3477" t="s">
        <v>4550</v>
      </c>
      <c r="B435" s="3477">
        <v>172.64</v>
      </c>
      <c r="C435" s="3486">
        <v>45211</v>
      </c>
      <c r="D435" s="3486">
        <v>46274</v>
      </c>
    </row>
    <row r="436" spans="1:4">
      <c r="A436" s="3477" t="s">
        <v>4549</v>
      </c>
      <c r="B436" s="3477">
        <v>164.86</v>
      </c>
      <c r="C436" s="3486">
        <v>45190</v>
      </c>
      <c r="D436" s="3486">
        <v>47016</v>
      </c>
    </row>
    <row r="437" spans="1:4">
      <c r="A437" s="3477" t="s">
        <v>4548</v>
      </c>
      <c r="B437" s="3477">
        <v>123.03</v>
      </c>
      <c r="C437" s="3486">
        <v>45231</v>
      </c>
      <c r="D437" s="3486">
        <v>45961</v>
      </c>
    </row>
    <row r="438" spans="1:4">
      <c r="A438" s="3477" t="s">
        <v>4547</v>
      </c>
      <c r="B438" s="3477">
        <v>416.71</v>
      </c>
      <c r="C438" s="3486">
        <v>45209</v>
      </c>
      <c r="D438" s="3486">
        <v>47466</v>
      </c>
    </row>
    <row r="439" spans="1:4">
      <c r="A439" s="3477" t="s">
        <v>4546</v>
      </c>
      <c r="B439" s="3477">
        <v>137.19999999999999</v>
      </c>
      <c r="C439" s="3486">
        <v>45185</v>
      </c>
      <c r="D439" s="3486">
        <v>46645</v>
      </c>
    </row>
    <row r="440" spans="1:4">
      <c r="A440" s="3477" t="s">
        <v>4545</v>
      </c>
      <c r="B440" s="3477">
        <v>15</v>
      </c>
      <c r="C440" s="3486">
        <v>45230</v>
      </c>
      <c r="D440" s="3486">
        <v>45596</v>
      </c>
    </row>
    <row r="441" spans="1:4">
      <c r="A441" s="3477" t="s">
        <v>4544</v>
      </c>
      <c r="B441" s="3477">
        <v>255.22</v>
      </c>
      <c r="C441" s="3486">
        <v>45190</v>
      </c>
      <c r="D441" s="3486">
        <v>45555</v>
      </c>
    </row>
    <row r="442" spans="1:4">
      <c r="A442" s="3477" t="s">
        <v>4543</v>
      </c>
      <c r="B442" s="3477">
        <v>26.32</v>
      </c>
      <c r="C442" s="3486">
        <v>45184</v>
      </c>
      <c r="D442" s="3486">
        <v>45565</v>
      </c>
    </row>
    <row r="443" spans="1:4">
      <c r="A443" s="3477" t="s">
        <v>4542</v>
      </c>
      <c r="B443" s="3477">
        <v>119.7</v>
      </c>
      <c r="C443" s="3486">
        <v>45212</v>
      </c>
      <c r="D443" s="3486">
        <v>46295</v>
      </c>
    </row>
    <row r="444" spans="1:4">
      <c r="A444" s="3477" t="s">
        <v>4541</v>
      </c>
      <c r="B444" s="3477">
        <v>146.29</v>
      </c>
      <c r="C444" s="3486">
        <v>45190</v>
      </c>
      <c r="D444" s="3486">
        <v>45555</v>
      </c>
    </row>
    <row r="445" spans="1:4">
      <c r="A445" s="3477" t="s">
        <v>4540</v>
      </c>
      <c r="B445" s="3477">
        <v>439.83</v>
      </c>
      <c r="C445" s="3486">
        <v>45190</v>
      </c>
      <c r="D445" s="3486">
        <v>45920</v>
      </c>
    </row>
    <row r="446" spans="1:4">
      <c r="A446" s="3477" t="s">
        <v>4539</v>
      </c>
      <c r="B446" s="3477">
        <v>369.51</v>
      </c>
      <c r="C446" s="3486">
        <v>45197</v>
      </c>
      <c r="D446" s="3486">
        <v>46650</v>
      </c>
    </row>
    <row r="447" spans="1:4">
      <c r="A447" s="3477" t="s">
        <v>4538</v>
      </c>
      <c r="B447" s="3477">
        <v>279.66000000000003</v>
      </c>
      <c r="C447" s="3486">
        <v>45261</v>
      </c>
      <c r="D447" s="3486">
        <v>45626</v>
      </c>
    </row>
    <row r="448" spans="1:4">
      <c r="A448" s="3477" t="s">
        <v>4537</v>
      </c>
      <c r="B448" s="3477">
        <v>164.86</v>
      </c>
      <c r="C448" s="3486">
        <v>45200</v>
      </c>
      <c r="D448" s="3486">
        <v>45565</v>
      </c>
    </row>
    <row r="449" spans="1:4">
      <c r="A449" s="3477" t="s">
        <v>4536</v>
      </c>
      <c r="B449" s="3477">
        <v>91.14</v>
      </c>
      <c r="C449" s="3486">
        <v>45206</v>
      </c>
      <c r="D449" s="3486">
        <v>46295</v>
      </c>
    </row>
    <row r="450" spans="1:4">
      <c r="A450" s="3477" t="s">
        <v>4535</v>
      </c>
      <c r="B450" s="3477">
        <v>431.27</v>
      </c>
      <c r="C450" s="3486">
        <v>45190</v>
      </c>
      <c r="D450" s="3486">
        <v>45555</v>
      </c>
    </row>
    <row r="451" spans="1:4">
      <c r="A451" s="3477" t="s">
        <v>4534</v>
      </c>
      <c r="B451" s="3477">
        <v>166.66</v>
      </c>
      <c r="C451" s="3486">
        <v>45190</v>
      </c>
      <c r="D451" s="3486">
        <v>45382</v>
      </c>
    </row>
    <row r="452" spans="1:4">
      <c r="A452" s="3477" t="s">
        <v>4533</v>
      </c>
      <c r="B452" s="3477">
        <v>169.09</v>
      </c>
      <c r="C452" s="3486">
        <v>45207</v>
      </c>
      <c r="D452" s="3486">
        <v>46321</v>
      </c>
    </row>
    <row r="453" spans="1:4">
      <c r="A453" s="3477" t="s">
        <v>4532</v>
      </c>
      <c r="B453" s="3477">
        <v>92.77</v>
      </c>
      <c r="C453" s="3486">
        <v>45190</v>
      </c>
      <c r="D453" s="3486">
        <v>45555</v>
      </c>
    </row>
    <row r="454" spans="1:4">
      <c r="A454" s="3477" t="s">
        <v>4531</v>
      </c>
      <c r="B454" s="3477">
        <v>345.78</v>
      </c>
      <c r="C454" s="3486">
        <v>45190</v>
      </c>
      <c r="D454" s="3486">
        <v>45382</v>
      </c>
    </row>
    <row r="455" spans="1:4">
      <c r="A455" s="3477" t="s">
        <v>4530</v>
      </c>
      <c r="B455" s="3477">
        <v>245.66</v>
      </c>
      <c r="C455" s="3486">
        <v>45231</v>
      </c>
      <c r="D455" s="3486">
        <v>46326</v>
      </c>
    </row>
    <row r="456" spans="1:4">
      <c r="A456" s="3477" t="s">
        <v>4529</v>
      </c>
      <c r="B456" s="3477">
        <v>12</v>
      </c>
      <c r="C456" s="3486">
        <v>45212</v>
      </c>
      <c r="D456" s="3486">
        <v>45577</v>
      </c>
    </row>
    <row r="457" spans="1:4">
      <c r="A457" s="3477" t="s">
        <v>4528</v>
      </c>
      <c r="B457" s="3477">
        <v>54.75</v>
      </c>
      <c r="C457" s="3486">
        <v>45209</v>
      </c>
      <c r="D457" s="3486">
        <v>45574</v>
      </c>
    </row>
    <row r="458" spans="1:4">
      <c r="A458" s="3477" t="s">
        <v>4527</v>
      </c>
      <c r="B458" s="3477">
        <v>184.68</v>
      </c>
      <c r="C458" s="3486">
        <v>45200</v>
      </c>
      <c r="D458" s="3486">
        <v>45565</v>
      </c>
    </row>
    <row r="459" spans="1:4">
      <c r="A459" s="3477" t="s">
        <v>4526</v>
      </c>
      <c r="B459" s="3477">
        <v>53.48</v>
      </c>
      <c r="C459" s="3486">
        <v>45200</v>
      </c>
      <c r="D459" s="3486">
        <v>45565</v>
      </c>
    </row>
    <row r="460" spans="1:4">
      <c r="A460" s="3477" t="s">
        <v>4525</v>
      </c>
      <c r="B460" s="3477">
        <v>19.170000000000002</v>
      </c>
      <c r="C460" s="3486">
        <v>45206</v>
      </c>
      <c r="D460" s="3486">
        <v>45565</v>
      </c>
    </row>
    <row r="461" spans="1:4">
      <c r="A461" s="3477" t="s">
        <v>4524</v>
      </c>
      <c r="B461" s="3477">
        <v>48.57</v>
      </c>
      <c r="C461" s="3486">
        <v>45220</v>
      </c>
      <c r="D461" s="3486">
        <v>45585</v>
      </c>
    </row>
    <row r="462" spans="1:4">
      <c r="A462" s="3477" t="s">
        <v>4494</v>
      </c>
      <c r="B462" s="3477">
        <v>53.87</v>
      </c>
      <c r="C462" s="3486">
        <v>45200</v>
      </c>
      <c r="D462" s="3486">
        <v>45291</v>
      </c>
    </row>
    <row r="463" spans="1:4">
      <c r="A463" s="3477" t="s">
        <v>4523</v>
      </c>
      <c r="B463" s="3477">
        <v>19.739999999999998</v>
      </c>
      <c r="C463" s="3486">
        <v>45220</v>
      </c>
      <c r="D463" s="3486">
        <v>45585</v>
      </c>
    </row>
    <row r="464" spans="1:4">
      <c r="A464" s="3477" t="s">
        <v>4522</v>
      </c>
      <c r="B464" s="3477">
        <v>29.81</v>
      </c>
      <c r="C464" s="3486">
        <v>45238</v>
      </c>
      <c r="D464" s="3486">
        <v>45961</v>
      </c>
    </row>
    <row r="465" spans="1:4">
      <c r="A465" s="3477" t="s">
        <v>4521</v>
      </c>
      <c r="B465" s="3477">
        <v>31.38</v>
      </c>
      <c r="C465" s="3486">
        <v>45241</v>
      </c>
      <c r="D465" s="3486">
        <v>46356</v>
      </c>
    </row>
    <row r="466" spans="1:4">
      <c r="A466" s="3477" t="s">
        <v>4520</v>
      </c>
      <c r="B466" s="3477">
        <v>60.26</v>
      </c>
      <c r="C466" s="3486">
        <v>45231</v>
      </c>
      <c r="D466" s="3486">
        <v>45535</v>
      </c>
    </row>
    <row r="467" spans="1:4">
      <c r="A467" s="3477" t="s">
        <v>4519</v>
      </c>
      <c r="B467" s="3477">
        <v>26.08</v>
      </c>
      <c r="C467" s="3486">
        <v>45231</v>
      </c>
      <c r="D467" s="3486">
        <v>45596</v>
      </c>
    </row>
    <row r="468" spans="1:4">
      <c r="A468" s="3477" t="s">
        <v>4518</v>
      </c>
      <c r="B468" s="3477">
        <v>65.62</v>
      </c>
      <c r="C468" s="3486">
        <v>45231</v>
      </c>
      <c r="D468" s="3486">
        <v>45230</v>
      </c>
    </row>
    <row r="469" spans="1:4">
      <c r="A469" s="3477" t="s">
        <v>4517</v>
      </c>
      <c r="B469" s="3477">
        <v>97.28</v>
      </c>
      <c r="C469" s="3486">
        <v>45231</v>
      </c>
      <c r="D469" s="3486">
        <v>45596</v>
      </c>
    </row>
    <row r="470" spans="1:4">
      <c r="A470" s="3477" t="s">
        <v>4509</v>
      </c>
      <c r="B470" s="3477">
        <v>27.54</v>
      </c>
      <c r="C470" s="3486">
        <v>45231</v>
      </c>
      <c r="D470" s="3486">
        <v>45260</v>
      </c>
    </row>
    <row r="471" spans="1:4">
      <c r="A471" s="3477" t="s">
        <v>4516</v>
      </c>
      <c r="B471" s="3477">
        <v>376.88</v>
      </c>
      <c r="C471" s="3486">
        <v>45261</v>
      </c>
      <c r="D471" s="3486">
        <v>45351</v>
      </c>
    </row>
    <row r="472" spans="1:4">
      <c r="A472" s="3477" t="s">
        <v>4515</v>
      </c>
      <c r="B472" s="3477">
        <v>216.67</v>
      </c>
      <c r="C472" s="3486">
        <v>45261</v>
      </c>
      <c r="D472" s="3486">
        <v>47087</v>
      </c>
    </row>
    <row r="473" spans="1:4">
      <c r="A473" s="3477" t="s">
        <v>4514</v>
      </c>
      <c r="B473" s="3477">
        <v>92.75</v>
      </c>
      <c r="C473" s="3486">
        <v>45261</v>
      </c>
      <c r="D473" s="3486">
        <v>45626</v>
      </c>
    </row>
    <row r="474" spans="1:4">
      <c r="A474" s="3477" t="s">
        <v>4513</v>
      </c>
      <c r="B474" s="3477">
        <v>232.83</v>
      </c>
      <c r="C474" s="3486">
        <v>45231</v>
      </c>
      <c r="D474" s="3486">
        <v>45240</v>
      </c>
    </row>
    <row r="475" spans="1:4">
      <c r="A475" s="3477" t="s">
        <v>4512</v>
      </c>
      <c r="B475" s="3477">
        <v>252.3</v>
      </c>
      <c r="C475" s="3486">
        <v>45257</v>
      </c>
      <c r="D475" s="3486">
        <v>47069</v>
      </c>
    </row>
    <row r="476" spans="1:4">
      <c r="A476" s="3477" t="s">
        <v>4511</v>
      </c>
      <c r="B476" s="3477">
        <v>157.96</v>
      </c>
      <c r="C476" s="3486">
        <v>45255</v>
      </c>
      <c r="D476" s="3486">
        <v>46350</v>
      </c>
    </row>
    <row r="477" spans="1:4">
      <c r="A477" s="3477" t="s">
        <v>4510</v>
      </c>
      <c r="B477" s="3477">
        <v>252.99</v>
      </c>
      <c r="C477" s="3486">
        <v>45265</v>
      </c>
      <c r="D477" s="3486">
        <v>47149</v>
      </c>
    </row>
    <row r="478" spans="1:4">
      <c r="A478" s="3477" t="s">
        <v>4509</v>
      </c>
      <c r="B478" s="3477">
        <v>27.54</v>
      </c>
      <c r="C478" s="3486">
        <v>45261</v>
      </c>
      <c r="D478" s="3486">
        <v>45291</v>
      </c>
    </row>
    <row r="479" spans="1:4">
      <c r="A479" s="3477" t="s">
        <v>4496</v>
      </c>
      <c r="B479" s="3477">
        <v>23.46</v>
      </c>
      <c r="C479" s="3486">
        <v>45262</v>
      </c>
      <c r="D479" s="3486">
        <v>45291</v>
      </c>
    </row>
    <row r="480" spans="1:4">
      <c r="A480" s="3477" t="s">
        <v>4508</v>
      </c>
      <c r="B480" s="3477">
        <v>19.739999999999998</v>
      </c>
      <c r="C480" s="3486">
        <v>45275</v>
      </c>
      <c r="D480" s="3486">
        <v>45640</v>
      </c>
    </row>
    <row r="481" spans="1:4">
      <c r="A481" s="3477" t="s">
        <v>4507</v>
      </c>
      <c r="B481" s="3477">
        <v>2.5</v>
      </c>
      <c r="C481" s="3486">
        <v>45242</v>
      </c>
      <c r="D481" s="3486">
        <v>45607</v>
      </c>
    </row>
    <row r="482" spans="1:4">
      <c r="A482" s="3477" t="s">
        <v>4506</v>
      </c>
      <c r="B482" s="3477">
        <v>12.97</v>
      </c>
      <c r="C482" s="3486">
        <v>45261</v>
      </c>
      <c r="D482" s="3486">
        <v>45626</v>
      </c>
    </row>
    <row r="483" spans="1:4">
      <c r="A483" s="3477" t="s">
        <v>4497</v>
      </c>
      <c r="B483" s="3477">
        <v>96.94</v>
      </c>
      <c r="C483" s="3486">
        <v>45261</v>
      </c>
      <c r="D483" s="3486">
        <v>45291</v>
      </c>
    </row>
    <row r="484" spans="1:4">
      <c r="A484" s="3477" t="s">
        <v>4505</v>
      </c>
      <c r="B484" s="3477">
        <v>135.18</v>
      </c>
      <c r="C484" s="3486">
        <v>45244</v>
      </c>
      <c r="D484" s="3486">
        <v>45351</v>
      </c>
    </row>
    <row r="485" spans="1:4">
      <c r="A485" s="3477" t="s">
        <v>4504</v>
      </c>
      <c r="B485" s="3477">
        <v>79.69</v>
      </c>
      <c r="C485" s="3486">
        <v>45261</v>
      </c>
      <c r="D485" s="3486">
        <v>45443</v>
      </c>
    </row>
    <row r="486" spans="1:4">
      <c r="A486" s="3477" t="s">
        <v>4503</v>
      </c>
      <c r="B486" s="3477">
        <v>101.22</v>
      </c>
      <c r="C486" s="3486">
        <v>45247</v>
      </c>
      <c r="D486" s="3486">
        <v>45351</v>
      </c>
    </row>
    <row r="487" spans="1:4">
      <c r="A487" s="3477" t="s">
        <v>4502</v>
      </c>
      <c r="B487" s="3477">
        <v>92.81</v>
      </c>
      <c r="C487" s="3486">
        <v>45292</v>
      </c>
      <c r="D487" s="3486">
        <v>45657</v>
      </c>
    </row>
    <row r="488" spans="1:4">
      <c r="A488" s="3477" t="s">
        <v>4501</v>
      </c>
      <c r="B488" s="3477">
        <v>27</v>
      </c>
      <c r="C488" s="3486">
        <v>45292</v>
      </c>
      <c r="D488" s="3486">
        <v>45657</v>
      </c>
    </row>
    <row r="489" spans="1:4">
      <c r="A489" s="3477" t="s">
        <v>4500</v>
      </c>
      <c r="B489" s="3477">
        <v>143.34</v>
      </c>
      <c r="C489" s="3486">
        <v>45261</v>
      </c>
      <c r="D489" s="3486">
        <v>45626</v>
      </c>
    </row>
    <row r="490" spans="1:4">
      <c r="A490" s="3477" t="s">
        <v>4499</v>
      </c>
      <c r="B490" s="3477">
        <v>61.69</v>
      </c>
      <c r="C490" s="3486">
        <v>45261</v>
      </c>
      <c r="D490" s="3486">
        <v>45626</v>
      </c>
    </row>
    <row r="491" spans="1:4">
      <c r="A491" s="3477" t="s">
        <v>4498</v>
      </c>
      <c r="B491" s="3477">
        <v>15.08</v>
      </c>
      <c r="C491" s="3486">
        <v>45292</v>
      </c>
      <c r="D491" s="3486">
        <v>45657</v>
      </c>
    </row>
    <row r="492" spans="1:4">
      <c r="A492" s="3477" t="s">
        <v>4497</v>
      </c>
      <c r="B492" s="3477">
        <v>96.94</v>
      </c>
      <c r="C492" s="3486">
        <v>45292</v>
      </c>
      <c r="D492" s="3486">
        <v>45351</v>
      </c>
    </row>
    <row r="493" spans="1:4">
      <c r="A493" s="3477" t="s">
        <v>4496</v>
      </c>
      <c r="B493" s="3477">
        <v>21.17</v>
      </c>
      <c r="C493" s="3486">
        <v>45292</v>
      </c>
      <c r="D493" s="3486">
        <v>45657</v>
      </c>
    </row>
    <row r="494" spans="1:4">
      <c r="A494" s="3477" t="s">
        <v>4495</v>
      </c>
      <c r="B494" s="3477">
        <v>163.78</v>
      </c>
      <c r="C494" s="3486">
        <v>45292</v>
      </c>
      <c r="D494" s="3486">
        <v>45657</v>
      </c>
    </row>
    <row r="495" spans="1:4">
      <c r="A495" s="3477" t="s">
        <v>4494</v>
      </c>
      <c r="B495" s="3477">
        <v>53.87</v>
      </c>
      <c r="C495" s="3486">
        <v>45292</v>
      </c>
      <c r="D495" s="3486">
        <v>45382</v>
      </c>
    </row>
    <row r="496" spans="1:4">
      <c r="A496" s="3477" t="s">
        <v>4493</v>
      </c>
      <c r="B496" s="3477">
        <v>38.35</v>
      </c>
      <c r="C496" s="3486">
        <v>45383</v>
      </c>
      <c r="D496" s="3486">
        <v>46112</v>
      </c>
    </row>
    <row r="497" spans="1:4">
      <c r="A497" s="3477" t="s">
        <v>4492</v>
      </c>
      <c r="B497" s="3477">
        <v>118.07</v>
      </c>
      <c r="C497" s="3486">
        <v>45292</v>
      </c>
      <c r="D497" s="3486">
        <v>45351</v>
      </c>
    </row>
    <row r="498" spans="1:4">
      <c r="A498" s="3477" t="s">
        <v>4491</v>
      </c>
      <c r="B498" s="3477">
        <v>47.18</v>
      </c>
      <c r="C498" s="3486">
        <v>45296</v>
      </c>
      <c r="D498" s="3486">
        <v>46026</v>
      </c>
    </row>
    <row r="499" spans="1:4">
      <c r="A499" s="3477" t="s">
        <v>4490</v>
      </c>
      <c r="B499" s="3477">
        <v>53.84</v>
      </c>
      <c r="C499" s="3486">
        <v>45296</v>
      </c>
      <c r="D499" s="3486">
        <v>46026</v>
      </c>
    </row>
  </sheetData>
  <phoneticPr fontId="135" type="noConversion"/>
  <pageMargins left="0.7" right="0.7" top="0.75" bottom="0.75" header="0.3" footer="0.3"/>
  <pageSetup paperSize="9" orientation="portrait"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
  <sheetViews>
    <sheetView showGridLines="0" topLeftCell="E1" workbookViewId="0">
      <selection activeCell="G12" sqref="G12:P15"/>
    </sheetView>
  </sheetViews>
  <sheetFormatPr defaultColWidth="9" defaultRowHeight="13.5"/>
  <cols>
    <col min="1" max="1" width="9" style="3477"/>
    <col min="2" max="2" width="14" style="3477" customWidth="1"/>
    <col min="3" max="14" width="11.75" style="3477" customWidth="1"/>
    <col min="15" max="15" width="13" style="3477" customWidth="1"/>
    <col min="16" max="16384" width="9" style="3477"/>
  </cols>
  <sheetData>
    <row r="2" spans="2:15" ht="22.5">
      <c r="B2" s="3534" t="s">
        <v>4489</v>
      </c>
      <c r="C2" s="3534"/>
      <c r="D2" s="3534"/>
      <c r="E2" s="3534"/>
      <c r="F2" s="3534"/>
      <c r="G2" s="3534"/>
      <c r="H2" s="3534"/>
      <c r="I2" s="3534"/>
      <c r="J2" s="3534"/>
      <c r="K2" s="3534"/>
      <c r="L2" s="3534"/>
      <c r="M2" s="3534"/>
      <c r="N2" s="3534"/>
      <c r="O2" s="3534"/>
    </row>
    <row r="3" spans="2:15" ht="16.5">
      <c r="B3" s="3485" t="s">
        <v>4488</v>
      </c>
      <c r="C3" s="3485" t="s">
        <v>4487</v>
      </c>
      <c r="D3" s="3485" t="s">
        <v>4486</v>
      </c>
      <c r="E3" s="3485" t="s">
        <v>4485</v>
      </c>
      <c r="F3" s="3485" t="s">
        <v>4484</v>
      </c>
      <c r="G3" s="3485" t="s">
        <v>4483</v>
      </c>
      <c r="H3" s="3485" t="s">
        <v>4482</v>
      </c>
      <c r="I3" s="3485" t="s">
        <v>4481</v>
      </c>
      <c r="J3" s="3485" t="s">
        <v>4480</v>
      </c>
      <c r="K3" s="3485" t="s">
        <v>4479</v>
      </c>
      <c r="L3" s="3485" t="s">
        <v>4478</v>
      </c>
      <c r="M3" s="3485" t="s">
        <v>4477</v>
      </c>
      <c r="N3" s="3485" t="s">
        <v>4476</v>
      </c>
      <c r="O3" s="3484" t="s">
        <v>4475</v>
      </c>
    </row>
    <row r="4" spans="2:15" ht="16.5">
      <c r="B4" s="3482" t="s">
        <v>4474</v>
      </c>
      <c r="C4" s="3483">
        <v>0.98760000000000003</v>
      </c>
      <c r="D4" s="3483">
        <v>0.98499999999999999</v>
      </c>
      <c r="E4" s="3483">
        <v>0.98729999999999996</v>
      </c>
      <c r="F4" s="3483">
        <v>0.98850000000000005</v>
      </c>
      <c r="G4" s="3483">
        <v>0.98129999999999995</v>
      </c>
      <c r="H4" s="3483">
        <v>0.98340000000000005</v>
      </c>
      <c r="I4" s="3483">
        <v>0.99070000000000003</v>
      </c>
      <c r="J4" s="3483">
        <v>0.99299999999999999</v>
      </c>
      <c r="K4" s="3483">
        <v>0.99480000000000002</v>
      </c>
      <c r="L4" s="3483">
        <v>0.99490000000000001</v>
      </c>
      <c r="M4" s="3483">
        <v>0.98460000000000003</v>
      </c>
      <c r="N4" s="3483">
        <v>0.98670000000000002</v>
      </c>
      <c r="O4" s="3483">
        <v>0.98799999999999999</v>
      </c>
    </row>
    <row r="5" spans="2:15" ht="16.5">
      <c r="B5" s="3482" t="s">
        <v>4473</v>
      </c>
      <c r="C5" s="3481">
        <v>13001.713462</v>
      </c>
      <c r="D5" s="3481">
        <v>8877.9641229999997</v>
      </c>
      <c r="E5" s="3481">
        <v>8994.6285630000002</v>
      </c>
      <c r="F5" s="3481">
        <v>9650.2596049999993</v>
      </c>
      <c r="G5" s="3481">
        <v>10604.154709</v>
      </c>
      <c r="H5" s="3481">
        <v>10385.131468</v>
      </c>
      <c r="I5" s="3481">
        <v>10010.454852999999</v>
      </c>
      <c r="J5" s="3481">
        <v>10046.323972</v>
      </c>
      <c r="K5" s="3481">
        <v>9201.5227560000003</v>
      </c>
      <c r="L5" s="3481">
        <v>8810.7083839999996</v>
      </c>
      <c r="M5" s="3481">
        <v>8063.3467979999996</v>
      </c>
      <c r="N5" s="3481">
        <v>9499.6419939999996</v>
      </c>
      <c r="O5" s="3481">
        <v>117145.850687</v>
      </c>
    </row>
    <row r="7" spans="2:15">
      <c r="C7" s="3477">
        <v>10000</v>
      </c>
    </row>
  </sheetData>
  <mergeCells count="1">
    <mergeCell ref="B2:O2"/>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89"/>
  <sheetViews>
    <sheetView topLeftCell="A462" workbookViewId="0">
      <selection activeCell="H490" sqref="H490"/>
    </sheetView>
  </sheetViews>
  <sheetFormatPr defaultColWidth="9" defaultRowHeight="13.5"/>
  <cols>
    <col min="1" max="1" width="9" style="3477"/>
    <col min="2" max="2" width="21.25" style="3477" customWidth="1"/>
    <col min="3" max="3" width="21.25" style="3478" customWidth="1"/>
    <col min="4" max="16384" width="9" style="3477"/>
  </cols>
  <sheetData>
    <row r="2" spans="2:3" ht="21">
      <c r="B2" s="3535" t="s">
        <v>4472</v>
      </c>
      <c r="C2" s="3536"/>
    </row>
    <row r="3" spans="2:3" ht="15">
      <c r="B3" s="3480" t="s">
        <v>4471</v>
      </c>
      <c r="C3" s="3479" t="s">
        <v>4470</v>
      </c>
    </row>
    <row r="4" spans="2:3">
      <c r="B4" s="3477" t="s">
        <v>4469</v>
      </c>
      <c r="C4" s="3478">
        <v>410.31923699999999</v>
      </c>
    </row>
    <row r="5" spans="2:3">
      <c r="B5" s="3477" t="s">
        <v>4468</v>
      </c>
      <c r="C5" s="3478">
        <v>600.79566</v>
      </c>
    </row>
    <row r="6" spans="2:3">
      <c r="B6" s="3477" t="s">
        <v>4467</v>
      </c>
      <c r="C6" s="3478">
        <v>58.008659000000002</v>
      </c>
    </row>
    <row r="7" spans="2:3">
      <c r="B7" s="3477" t="s">
        <v>4466</v>
      </c>
      <c r="C7" s="3478">
        <v>100.52200000000001</v>
      </c>
    </row>
    <row r="8" spans="2:3">
      <c r="B8" s="3477" t="s">
        <v>4465</v>
      </c>
      <c r="C8" s="3478">
        <v>214.25366299999999</v>
      </c>
    </row>
    <row r="9" spans="2:3">
      <c r="B9" s="3477" t="s">
        <v>4464</v>
      </c>
      <c r="C9" s="3478">
        <v>2.6607479999999999</v>
      </c>
    </row>
    <row r="10" spans="2:3">
      <c r="B10" s="3477" t="s">
        <v>4463</v>
      </c>
      <c r="C10" s="3478">
        <v>101.806724</v>
      </c>
    </row>
    <row r="11" spans="2:3">
      <c r="B11" s="3477" t="s">
        <v>4462</v>
      </c>
      <c r="C11" s="3478">
        <v>95.241232999999994</v>
      </c>
    </row>
    <row r="12" spans="2:3">
      <c r="B12" s="3477" t="s">
        <v>4461</v>
      </c>
      <c r="C12" s="3478">
        <v>103.74377800000001</v>
      </c>
    </row>
    <row r="13" spans="2:3">
      <c r="B13" s="3477" t="s">
        <v>4460</v>
      </c>
      <c r="C13" s="3478">
        <v>93.080505000000002</v>
      </c>
    </row>
    <row r="14" spans="2:3">
      <c r="B14" s="3477" t="s">
        <v>4459</v>
      </c>
      <c r="C14" s="3478">
        <v>73.224371000000005</v>
      </c>
    </row>
    <row r="15" spans="2:3">
      <c r="B15" s="3477" t="s">
        <v>4458</v>
      </c>
      <c r="C15" s="3478">
        <v>412.706884</v>
      </c>
    </row>
    <row r="16" spans="2:3">
      <c r="B16" s="3477" t="s">
        <v>4457</v>
      </c>
      <c r="C16" s="3478">
        <v>73.241767999999993</v>
      </c>
    </row>
    <row r="17" spans="2:3">
      <c r="B17" s="3477" t="s">
        <v>4456</v>
      </c>
      <c r="C17" s="3478">
        <v>83.114078000000006</v>
      </c>
    </row>
    <row r="18" spans="2:3">
      <c r="B18" s="3477" t="s">
        <v>4455</v>
      </c>
      <c r="C18" s="3478">
        <v>67.378912</v>
      </c>
    </row>
    <row r="19" spans="2:3">
      <c r="B19" s="3477" t="s">
        <v>4454</v>
      </c>
      <c r="C19" s="3478">
        <v>73.500134000000003</v>
      </c>
    </row>
    <row r="20" spans="2:3">
      <c r="B20" s="3477" t="s">
        <v>4453</v>
      </c>
      <c r="C20" s="3478">
        <v>10.531421999999999</v>
      </c>
    </row>
    <row r="21" spans="2:3">
      <c r="B21" s="3477" t="s">
        <v>4452</v>
      </c>
      <c r="C21" s="3478">
        <v>32.073179000000003</v>
      </c>
    </row>
    <row r="22" spans="2:3">
      <c r="B22" s="3477" t="s">
        <v>4451</v>
      </c>
      <c r="C22" s="3478">
        <v>104.33442100000001</v>
      </c>
    </row>
    <row r="23" spans="2:3">
      <c r="B23" s="3477" t="s">
        <v>4450</v>
      </c>
      <c r="C23" s="3478">
        <v>190.92353700000001</v>
      </c>
    </row>
    <row r="24" spans="2:3">
      <c r="B24" s="3477" t="s">
        <v>4449</v>
      </c>
      <c r="C24" s="3478">
        <v>70.787066999999993</v>
      </c>
    </row>
    <row r="25" spans="2:3">
      <c r="B25" s="3477" t="s">
        <v>4448</v>
      </c>
      <c r="C25" s="3478">
        <v>103.768501</v>
      </c>
    </row>
    <row r="26" spans="2:3">
      <c r="B26" s="3477" t="s">
        <v>4447</v>
      </c>
      <c r="C26" s="3478">
        <v>48.646532000000001</v>
      </c>
    </row>
    <row r="27" spans="2:3">
      <c r="B27" s="3477" t="s">
        <v>4446</v>
      </c>
      <c r="C27" s="3478">
        <v>95.165969000000004</v>
      </c>
    </row>
    <row r="28" spans="2:3">
      <c r="B28" s="3477" t="s">
        <v>4445</v>
      </c>
      <c r="C28" s="3478">
        <v>83.770083999999997</v>
      </c>
    </row>
    <row r="29" spans="2:3">
      <c r="B29" s="3477" t="s">
        <v>4444</v>
      </c>
      <c r="C29" s="3478">
        <v>53.144244999999998</v>
      </c>
    </row>
    <row r="30" spans="2:3">
      <c r="B30" s="3477" t="s">
        <v>4443</v>
      </c>
      <c r="C30" s="3478">
        <v>53.561152</v>
      </c>
    </row>
    <row r="31" spans="2:3">
      <c r="B31" s="3477" t="s">
        <v>4442</v>
      </c>
      <c r="C31" s="3478">
        <v>164.44824499999999</v>
      </c>
    </row>
    <row r="32" spans="2:3">
      <c r="B32" s="3477" t="s">
        <v>4441</v>
      </c>
      <c r="C32" s="3478">
        <v>63.745590999999997</v>
      </c>
    </row>
    <row r="33" spans="2:3">
      <c r="B33" s="3477" t="s">
        <v>4440</v>
      </c>
      <c r="C33" s="3478">
        <v>65.517914000000005</v>
      </c>
    </row>
    <row r="34" spans="2:3">
      <c r="B34" s="3477" t="s">
        <v>4439</v>
      </c>
      <c r="C34" s="3478">
        <v>59.268056999999999</v>
      </c>
    </row>
    <row r="35" spans="2:3">
      <c r="B35" s="3477" t="s">
        <v>4438</v>
      </c>
      <c r="C35" s="3478">
        <v>35.348241000000002</v>
      </c>
    </row>
    <row r="36" spans="2:3">
      <c r="B36" s="3477" t="s">
        <v>4437</v>
      </c>
      <c r="C36" s="3478">
        <v>102.790622</v>
      </c>
    </row>
    <row r="37" spans="2:3">
      <c r="B37" s="3477" t="s">
        <v>4436</v>
      </c>
      <c r="C37" s="3478">
        <v>64.641863999999998</v>
      </c>
    </row>
    <row r="38" spans="2:3">
      <c r="B38" s="3477" t="s">
        <v>4435</v>
      </c>
      <c r="C38" s="3478">
        <v>82.372759000000002</v>
      </c>
    </row>
    <row r="39" spans="2:3">
      <c r="B39" s="3477" t="s">
        <v>4434</v>
      </c>
      <c r="C39" s="3478">
        <v>72.829031000000001</v>
      </c>
    </row>
    <row r="40" spans="2:3">
      <c r="B40" s="3477" t="s">
        <v>4433</v>
      </c>
      <c r="C40" s="3478">
        <v>79.254531999999998</v>
      </c>
    </row>
    <row r="41" spans="2:3">
      <c r="B41" s="3477" t="s">
        <v>4432</v>
      </c>
      <c r="C41" s="3478">
        <v>65.029987000000006</v>
      </c>
    </row>
    <row r="42" spans="2:3">
      <c r="B42" s="3477" t="s">
        <v>4431</v>
      </c>
      <c r="C42" s="3478">
        <v>98.399613000000002</v>
      </c>
    </row>
    <row r="43" spans="2:3">
      <c r="B43" s="3477" t="s">
        <v>4430</v>
      </c>
      <c r="C43" s="3478">
        <v>28.789315999999999</v>
      </c>
    </row>
    <row r="44" spans="2:3">
      <c r="B44" s="3477" t="s">
        <v>4429</v>
      </c>
      <c r="C44" s="3478">
        <v>27.500547999999998</v>
      </c>
    </row>
    <row r="45" spans="2:3">
      <c r="B45" s="3477" t="s">
        <v>4428</v>
      </c>
      <c r="C45" s="3478">
        <v>50.397199999999998</v>
      </c>
    </row>
    <row r="46" spans="2:3">
      <c r="B46" s="3477" t="s">
        <v>4427</v>
      </c>
      <c r="C46" s="3478">
        <v>100.532489</v>
      </c>
    </row>
    <row r="47" spans="2:3">
      <c r="B47" s="3477" t="s">
        <v>4426</v>
      </c>
      <c r="C47" s="3478">
        <v>33.839464999999997</v>
      </c>
    </row>
    <row r="48" spans="2:3">
      <c r="B48" s="3477" t="s">
        <v>4425</v>
      </c>
      <c r="C48" s="3478">
        <v>149.91703899999999</v>
      </c>
    </row>
    <row r="49" spans="2:3">
      <c r="B49" s="3477" t="s">
        <v>4424</v>
      </c>
      <c r="C49" s="3478">
        <v>102.47548</v>
      </c>
    </row>
    <row r="50" spans="2:3">
      <c r="B50" s="3477" t="s">
        <v>4423</v>
      </c>
      <c r="C50" s="3478">
        <v>23.667283000000001</v>
      </c>
    </row>
    <row r="51" spans="2:3">
      <c r="B51" s="3477" t="s">
        <v>4422</v>
      </c>
      <c r="C51" s="3478">
        <v>47.836283000000002</v>
      </c>
    </row>
    <row r="52" spans="2:3">
      <c r="B52" s="3477" t="s">
        <v>4421</v>
      </c>
      <c r="C52" s="3478">
        <v>133.398031</v>
      </c>
    </row>
    <row r="53" spans="2:3">
      <c r="B53" s="3477" t="s">
        <v>4420</v>
      </c>
      <c r="C53" s="3478">
        <v>73.292522000000005</v>
      </c>
    </row>
    <row r="54" spans="2:3">
      <c r="B54" s="3477" t="s">
        <v>4419</v>
      </c>
      <c r="C54" s="3478">
        <v>157.000955</v>
      </c>
    </row>
    <row r="55" spans="2:3">
      <c r="B55" s="3477" t="s">
        <v>4418</v>
      </c>
      <c r="C55" s="3478">
        <v>53.099750999999998</v>
      </c>
    </row>
    <row r="56" spans="2:3">
      <c r="B56" s="3477" t="s">
        <v>4417</v>
      </c>
      <c r="C56" s="3478">
        <v>72.840828000000002</v>
      </c>
    </row>
    <row r="57" spans="2:3">
      <c r="B57" s="3477" t="s">
        <v>4416</v>
      </c>
      <c r="C57" s="3478">
        <v>82.646800999999996</v>
      </c>
    </row>
    <row r="58" spans="2:3">
      <c r="B58" s="3477" t="s">
        <v>4415</v>
      </c>
      <c r="C58" s="3478">
        <v>12.507714</v>
      </c>
    </row>
    <row r="59" spans="2:3">
      <c r="B59" s="3477" t="s">
        <v>4414</v>
      </c>
      <c r="C59" s="3478">
        <v>107.215896</v>
      </c>
    </row>
    <row r="60" spans="2:3">
      <c r="B60" s="3477" t="s">
        <v>4413</v>
      </c>
      <c r="C60" s="3478">
        <v>35.917537000000003</v>
      </c>
    </row>
    <row r="61" spans="2:3">
      <c r="B61" s="3477" t="s">
        <v>4412</v>
      </c>
      <c r="C61" s="3478">
        <v>107.656272</v>
      </c>
    </row>
    <row r="62" spans="2:3">
      <c r="B62" s="3477" t="s">
        <v>4411</v>
      </c>
      <c r="C62" s="3478">
        <v>0.57345599999999997</v>
      </c>
    </row>
    <row r="63" spans="2:3">
      <c r="B63" s="3477" t="s">
        <v>4410</v>
      </c>
      <c r="C63" s="3478">
        <v>8.9136629999999997</v>
      </c>
    </row>
    <row r="64" spans="2:3">
      <c r="B64" s="3477" t="s">
        <v>4409</v>
      </c>
      <c r="C64" s="3478">
        <v>130.85689400000001</v>
      </c>
    </row>
    <row r="65" spans="2:3">
      <c r="B65" s="3477" t="s">
        <v>4408</v>
      </c>
      <c r="C65" s="3478">
        <v>57.778590999999999</v>
      </c>
    </row>
    <row r="66" spans="2:3">
      <c r="B66" s="3477" t="s">
        <v>4407</v>
      </c>
      <c r="C66" s="3478">
        <v>33.565531</v>
      </c>
    </row>
    <row r="67" spans="2:3">
      <c r="B67" s="3477" t="s">
        <v>4406</v>
      </c>
      <c r="C67" s="3478">
        <v>6.1650299999999998</v>
      </c>
    </row>
    <row r="68" spans="2:3">
      <c r="B68" s="3477" t="s">
        <v>4405</v>
      </c>
      <c r="C68" s="3478">
        <v>11.217252</v>
      </c>
    </row>
    <row r="69" spans="2:3">
      <c r="B69" s="3477" t="s">
        <v>4404</v>
      </c>
      <c r="C69" s="3478">
        <v>4.8557170000000003</v>
      </c>
    </row>
    <row r="70" spans="2:3">
      <c r="B70" s="3477" t="s">
        <v>4403</v>
      </c>
      <c r="C70" s="3478">
        <v>21.884036999999999</v>
      </c>
    </row>
    <row r="71" spans="2:3">
      <c r="B71" s="3477" t="s">
        <v>4402</v>
      </c>
      <c r="C71" s="3478">
        <v>8.7935269999999992</v>
      </c>
    </row>
    <row r="72" spans="2:3">
      <c r="B72" s="3477" t="s">
        <v>4401</v>
      </c>
      <c r="C72" s="3478">
        <v>1.3982330000000001</v>
      </c>
    </row>
    <row r="73" spans="2:3">
      <c r="B73" s="3477" t="s">
        <v>4400</v>
      </c>
      <c r="C73" s="3478">
        <v>15.456746000000001</v>
      </c>
    </row>
    <row r="74" spans="2:3">
      <c r="B74" s="3477" t="s">
        <v>4399</v>
      </c>
      <c r="C74" s="3478">
        <v>16.508032</v>
      </c>
    </row>
    <row r="75" spans="2:3">
      <c r="B75" s="3477" t="s">
        <v>4398</v>
      </c>
      <c r="C75" s="3478">
        <v>38.037067</v>
      </c>
    </row>
    <row r="76" spans="2:3">
      <c r="B76" s="3477" t="s">
        <v>4397</v>
      </c>
      <c r="C76" s="3478">
        <v>35.474575000000002</v>
      </c>
    </row>
    <row r="77" spans="2:3">
      <c r="B77" s="3477" t="s">
        <v>4396</v>
      </c>
      <c r="C77" s="3478">
        <v>9.483079</v>
      </c>
    </row>
    <row r="78" spans="2:3">
      <c r="B78" s="3477" t="s">
        <v>4395</v>
      </c>
      <c r="C78" s="3478">
        <v>1.91875</v>
      </c>
    </row>
    <row r="79" spans="2:3">
      <c r="B79" s="3477" t="s">
        <v>4394</v>
      </c>
      <c r="C79" s="3478">
        <v>54.251109999999997</v>
      </c>
    </row>
    <row r="80" spans="2:3">
      <c r="B80" s="3477" t="s">
        <v>4393</v>
      </c>
      <c r="C80" s="3478">
        <v>6.5661160000000001</v>
      </c>
    </row>
    <row r="81" spans="2:3">
      <c r="B81" s="3477" t="s">
        <v>4392</v>
      </c>
      <c r="C81" s="3478">
        <v>13.9192</v>
      </c>
    </row>
    <row r="82" spans="2:3">
      <c r="B82" s="3477" t="s">
        <v>4391</v>
      </c>
      <c r="C82" s="3478">
        <v>14.601464</v>
      </c>
    </row>
    <row r="83" spans="2:3">
      <c r="B83" s="3477" t="s">
        <v>4390</v>
      </c>
      <c r="C83" s="3478">
        <v>32.405228000000001</v>
      </c>
    </row>
    <row r="84" spans="2:3">
      <c r="B84" s="3477" t="s">
        <v>4389</v>
      </c>
      <c r="C84" s="3478">
        <v>54.458880000000001</v>
      </c>
    </row>
    <row r="85" spans="2:3">
      <c r="B85" s="3477" t="s">
        <v>4388</v>
      </c>
      <c r="C85" s="3478">
        <v>62.365755999999998</v>
      </c>
    </row>
    <row r="86" spans="2:3">
      <c r="B86" s="3477" t="s">
        <v>4387</v>
      </c>
      <c r="C86" s="3478">
        <v>21.270997999999999</v>
      </c>
    </row>
    <row r="87" spans="2:3">
      <c r="B87" s="3477" t="s">
        <v>4386</v>
      </c>
      <c r="C87" s="3478">
        <v>19.247399000000001</v>
      </c>
    </row>
    <row r="88" spans="2:3">
      <c r="B88" s="3477" t="s">
        <v>4385</v>
      </c>
      <c r="C88" s="3478">
        <v>76.397672</v>
      </c>
    </row>
    <row r="89" spans="2:3">
      <c r="B89" s="3477" t="s">
        <v>4384</v>
      </c>
      <c r="C89" s="3478">
        <v>27.650397000000002</v>
      </c>
    </row>
    <row r="90" spans="2:3">
      <c r="B90" s="3477" t="s">
        <v>4383</v>
      </c>
      <c r="C90" s="3478">
        <v>14.910155</v>
      </c>
    </row>
    <row r="91" spans="2:3">
      <c r="B91" s="3477" t="s">
        <v>4382</v>
      </c>
      <c r="C91" s="3478">
        <v>12.976380000000001</v>
      </c>
    </row>
    <row r="92" spans="2:3">
      <c r="B92" s="3477" t="s">
        <v>4381</v>
      </c>
      <c r="C92" s="3478">
        <v>49.958953000000001</v>
      </c>
    </row>
    <row r="93" spans="2:3">
      <c r="B93" s="3477" t="s">
        <v>4380</v>
      </c>
      <c r="C93" s="3478">
        <v>56.465488000000001</v>
      </c>
    </row>
    <row r="94" spans="2:3">
      <c r="B94" s="3477" t="s">
        <v>4379</v>
      </c>
      <c r="C94" s="3478">
        <v>45.296295000000001</v>
      </c>
    </row>
    <row r="95" spans="2:3">
      <c r="B95" s="3477" t="s">
        <v>4378</v>
      </c>
      <c r="C95" s="3478">
        <v>33.539594999999998</v>
      </c>
    </row>
    <row r="96" spans="2:3">
      <c r="B96" s="3477" t="s">
        <v>4377</v>
      </c>
      <c r="C96" s="3478">
        <v>88.841755000000006</v>
      </c>
    </row>
    <row r="97" spans="2:3">
      <c r="B97" s="3477" t="s">
        <v>4376</v>
      </c>
      <c r="C97" s="3478">
        <v>14.067361999999999</v>
      </c>
    </row>
    <row r="98" spans="2:3">
      <c r="B98" s="3477" t="s">
        <v>4375</v>
      </c>
      <c r="C98" s="3478">
        <v>21.434578999999999</v>
      </c>
    </row>
    <row r="99" spans="2:3">
      <c r="B99" s="3477" t="s">
        <v>4374</v>
      </c>
      <c r="C99" s="3478">
        <v>112.708979</v>
      </c>
    </row>
    <row r="100" spans="2:3">
      <c r="B100" s="3477" t="s">
        <v>4373</v>
      </c>
      <c r="C100" s="3478">
        <v>51.375027000000003</v>
      </c>
    </row>
    <row r="101" spans="2:3">
      <c r="B101" s="3477" t="s">
        <v>4372</v>
      </c>
      <c r="C101" s="3478">
        <v>59.069882999999997</v>
      </c>
    </row>
    <row r="102" spans="2:3">
      <c r="B102" s="3477" t="s">
        <v>4371</v>
      </c>
      <c r="C102" s="3478">
        <v>61.836998999999999</v>
      </c>
    </row>
    <row r="103" spans="2:3">
      <c r="B103" s="3477" t="s">
        <v>4370</v>
      </c>
      <c r="C103" s="3478">
        <v>117.70224899999999</v>
      </c>
    </row>
    <row r="104" spans="2:3">
      <c r="B104" s="3477" t="s">
        <v>4369</v>
      </c>
      <c r="C104" s="3478">
        <v>72.447941999999998</v>
      </c>
    </row>
    <row r="105" spans="2:3">
      <c r="B105" s="3477" t="s">
        <v>4368</v>
      </c>
      <c r="C105" s="3478">
        <v>25.984877000000001</v>
      </c>
    </row>
    <row r="106" spans="2:3">
      <c r="B106" s="3477" t="s">
        <v>4367</v>
      </c>
      <c r="C106" s="3478">
        <v>60.690961999999999</v>
      </c>
    </row>
    <row r="107" spans="2:3">
      <c r="B107" s="3477" t="s">
        <v>4366</v>
      </c>
      <c r="C107" s="3478">
        <v>58.304124999999999</v>
      </c>
    </row>
    <row r="108" spans="2:3">
      <c r="B108" s="3477" t="s">
        <v>4365</v>
      </c>
      <c r="C108" s="3478">
        <v>31.002828000000001</v>
      </c>
    </row>
    <row r="109" spans="2:3">
      <c r="B109" s="3477" t="s">
        <v>4364</v>
      </c>
      <c r="C109" s="3478">
        <v>25.958694999999999</v>
      </c>
    </row>
    <row r="110" spans="2:3">
      <c r="B110" s="3477" t="s">
        <v>4363</v>
      </c>
      <c r="C110" s="3478">
        <v>75.646324000000007</v>
      </c>
    </row>
    <row r="111" spans="2:3">
      <c r="B111" s="3477" t="s">
        <v>4362</v>
      </c>
      <c r="C111" s="3478">
        <v>167.08595099999999</v>
      </c>
    </row>
    <row r="112" spans="2:3">
      <c r="B112" s="3477" t="s">
        <v>4361</v>
      </c>
      <c r="C112" s="3478">
        <v>24.215450000000001</v>
      </c>
    </row>
    <row r="113" spans="2:3">
      <c r="B113" s="3477" t="s">
        <v>4360</v>
      </c>
      <c r="C113" s="3478">
        <v>112.560455</v>
      </c>
    </row>
    <row r="114" spans="2:3">
      <c r="B114" s="3477" t="s">
        <v>4359</v>
      </c>
      <c r="C114" s="3478">
        <v>32.482765999999998</v>
      </c>
    </row>
    <row r="115" spans="2:3">
      <c r="B115" s="3477" t="s">
        <v>4358</v>
      </c>
      <c r="C115" s="3478">
        <v>6.4861079999999998</v>
      </c>
    </row>
    <row r="116" spans="2:3">
      <c r="B116" s="3477" t="s">
        <v>4357</v>
      </c>
      <c r="C116" s="3478">
        <v>6.214512</v>
      </c>
    </row>
    <row r="117" spans="2:3">
      <c r="B117" s="3477" t="s">
        <v>4356</v>
      </c>
      <c r="C117" s="3478">
        <v>45.126399999999997</v>
      </c>
    </row>
    <row r="118" spans="2:3">
      <c r="B118" s="3477" t="s">
        <v>4355</v>
      </c>
      <c r="C118" s="3478">
        <v>119.87882500000001</v>
      </c>
    </row>
    <row r="119" spans="2:3">
      <c r="B119" s="3477" t="s">
        <v>4354</v>
      </c>
      <c r="C119" s="3478">
        <v>89.983395000000002</v>
      </c>
    </row>
    <row r="120" spans="2:3">
      <c r="B120" s="3477" t="s">
        <v>4353</v>
      </c>
      <c r="C120" s="3478">
        <v>11.042989</v>
      </c>
    </row>
    <row r="121" spans="2:3">
      <c r="B121" s="3477" t="s">
        <v>4352</v>
      </c>
      <c r="C121" s="3478">
        <v>29.832536999999999</v>
      </c>
    </row>
    <row r="122" spans="2:3">
      <c r="B122" s="3477" t="s">
        <v>4351</v>
      </c>
      <c r="C122" s="3478">
        <v>29.396861000000001</v>
      </c>
    </row>
    <row r="123" spans="2:3">
      <c r="B123" s="3477" t="s">
        <v>4350</v>
      </c>
      <c r="C123" s="3478">
        <v>73.165831999999995</v>
      </c>
    </row>
    <row r="124" spans="2:3">
      <c r="B124" s="3477" t="s">
        <v>4349</v>
      </c>
      <c r="C124" s="3478">
        <v>71.0334</v>
      </c>
    </row>
    <row r="125" spans="2:3">
      <c r="B125" s="3477" t="s">
        <v>4348</v>
      </c>
      <c r="C125" s="3478">
        <v>92.447509999999994</v>
      </c>
    </row>
    <row r="126" spans="2:3">
      <c r="B126" s="3477" t="s">
        <v>4347</v>
      </c>
      <c r="C126" s="3478">
        <v>25.316891999999999</v>
      </c>
    </row>
    <row r="127" spans="2:3">
      <c r="B127" s="3477" t="s">
        <v>4346</v>
      </c>
      <c r="C127" s="3478">
        <v>4.7386299999999997</v>
      </c>
    </row>
    <row r="128" spans="2:3">
      <c r="B128" s="3477" t="s">
        <v>4345</v>
      </c>
      <c r="C128" s="3478">
        <v>130.827268</v>
      </c>
    </row>
    <row r="129" spans="2:3">
      <c r="B129" s="3477" t="s">
        <v>4344</v>
      </c>
      <c r="C129" s="3478">
        <v>22.214130000000001</v>
      </c>
    </row>
    <row r="130" spans="2:3">
      <c r="B130" s="3477" t="s">
        <v>4343</v>
      </c>
      <c r="C130" s="3478">
        <v>52.620567000000001</v>
      </c>
    </row>
    <row r="131" spans="2:3">
      <c r="B131" s="3477" t="s">
        <v>4342</v>
      </c>
      <c r="C131" s="3478">
        <v>9.0130099999999995</v>
      </c>
    </row>
    <row r="132" spans="2:3">
      <c r="B132" s="3477" t="s">
        <v>4341</v>
      </c>
      <c r="C132" s="3478">
        <v>6.5494089999999998</v>
      </c>
    </row>
    <row r="133" spans="2:3">
      <c r="B133" s="3477" t="s">
        <v>4340</v>
      </c>
      <c r="C133" s="3478">
        <v>4.5397699999999999</v>
      </c>
    </row>
    <row r="134" spans="2:3">
      <c r="B134" s="3477" t="s">
        <v>4339</v>
      </c>
      <c r="C134" s="3478">
        <v>97.970331999999999</v>
      </c>
    </row>
    <row r="135" spans="2:3">
      <c r="B135" s="3477" t="s">
        <v>4338</v>
      </c>
      <c r="C135" s="3478">
        <v>5.6315609999999996</v>
      </c>
    </row>
    <row r="136" spans="2:3">
      <c r="B136" s="3477" t="s">
        <v>4337</v>
      </c>
      <c r="C136" s="3478">
        <v>3.2482340000000001</v>
      </c>
    </row>
    <row r="137" spans="2:3">
      <c r="B137" s="3477" t="s">
        <v>4336</v>
      </c>
      <c r="C137" s="3478">
        <v>3.9332799999999999</v>
      </c>
    </row>
    <row r="138" spans="2:3">
      <c r="B138" s="3477" t="s">
        <v>4335</v>
      </c>
      <c r="C138" s="3478">
        <v>4.7743989999999998</v>
      </c>
    </row>
    <row r="139" spans="2:3">
      <c r="B139" s="3477" t="s">
        <v>4334</v>
      </c>
      <c r="C139" s="3478">
        <v>88.059844999999996</v>
      </c>
    </row>
    <row r="140" spans="2:3">
      <c r="B140" s="3477" t="s">
        <v>4333</v>
      </c>
      <c r="C140" s="3478">
        <v>53.401359999999997</v>
      </c>
    </row>
    <row r="141" spans="2:3">
      <c r="B141" s="3477" t="s">
        <v>4332</v>
      </c>
      <c r="C141" s="3478">
        <v>76.038629</v>
      </c>
    </row>
    <row r="142" spans="2:3">
      <c r="B142" s="3477" t="s">
        <v>4331</v>
      </c>
      <c r="C142" s="3478">
        <v>51.290329999999997</v>
      </c>
    </row>
    <row r="143" spans="2:3">
      <c r="B143" s="3477" t="s">
        <v>4330</v>
      </c>
      <c r="C143" s="3478">
        <v>5.2779769999999999</v>
      </c>
    </row>
    <row r="144" spans="2:3">
      <c r="B144" s="3477" t="s">
        <v>4329</v>
      </c>
      <c r="C144" s="3478">
        <v>5.6230260000000003</v>
      </c>
    </row>
    <row r="145" spans="2:3">
      <c r="B145" s="3477" t="s">
        <v>4328</v>
      </c>
      <c r="C145" s="3478">
        <v>2.9798079999999998</v>
      </c>
    </row>
    <row r="146" spans="2:3">
      <c r="B146" s="3477" t="s">
        <v>4327</v>
      </c>
      <c r="C146" s="3478">
        <v>5.7202729999999997</v>
      </c>
    </row>
    <row r="147" spans="2:3">
      <c r="B147" s="3477" t="s">
        <v>4326</v>
      </c>
      <c r="C147" s="3478">
        <v>8.4132979999999993</v>
      </c>
    </row>
    <row r="148" spans="2:3">
      <c r="B148" s="3477" t="s">
        <v>4325</v>
      </c>
      <c r="C148" s="3478">
        <v>7.0455920000000001</v>
      </c>
    </row>
    <row r="149" spans="2:3">
      <c r="B149" s="3477" t="s">
        <v>4324</v>
      </c>
      <c r="C149" s="3478">
        <v>23.343789000000001</v>
      </c>
    </row>
    <row r="150" spans="2:3">
      <c r="B150" s="3477" t="s">
        <v>4323</v>
      </c>
      <c r="C150" s="3478">
        <v>6.7312029999999998</v>
      </c>
    </row>
    <row r="151" spans="2:3">
      <c r="B151" s="3477" t="s">
        <v>4322</v>
      </c>
      <c r="C151" s="3478">
        <v>4.7176390000000001</v>
      </c>
    </row>
    <row r="152" spans="2:3">
      <c r="B152" s="3477" t="s">
        <v>4321</v>
      </c>
      <c r="C152" s="3478">
        <v>10.458</v>
      </c>
    </row>
    <row r="153" spans="2:3">
      <c r="B153" s="3477" t="s">
        <v>4320</v>
      </c>
      <c r="C153" s="3478">
        <v>80.576235999999994</v>
      </c>
    </row>
    <row r="154" spans="2:3">
      <c r="B154" s="3477" t="s">
        <v>4319</v>
      </c>
      <c r="C154" s="3478">
        <v>118.07319200000001</v>
      </c>
    </row>
    <row r="155" spans="2:3">
      <c r="B155" s="3477" t="s">
        <v>4318</v>
      </c>
      <c r="C155" s="3478">
        <v>23.826225000000001</v>
      </c>
    </row>
    <row r="156" spans="2:3">
      <c r="B156" s="3477" t="s">
        <v>4317</v>
      </c>
      <c r="C156" s="3478">
        <v>45.064838999999999</v>
      </c>
    </row>
    <row r="157" spans="2:3">
      <c r="B157" s="3477" t="s">
        <v>4316</v>
      </c>
      <c r="C157" s="3478">
        <v>4.9654999999999996</v>
      </c>
    </row>
    <row r="158" spans="2:3">
      <c r="B158" s="3477" t="s">
        <v>4315</v>
      </c>
      <c r="C158" s="3478">
        <v>24.949555</v>
      </c>
    </row>
    <row r="159" spans="2:3">
      <c r="B159" s="3477" t="s">
        <v>4314</v>
      </c>
      <c r="C159" s="3478">
        <v>2.1455000000000002</v>
      </c>
    </row>
    <row r="160" spans="2:3">
      <c r="B160" s="3477" t="s">
        <v>4313</v>
      </c>
      <c r="C160" s="3478">
        <v>12.980598000000001</v>
      </c>
    </row>
    <row r="161" spans="2:3">
      <c r="B161" s="3477" t="s">
        <v>4312</v>
      </c>
      <c r="C161" s="3478">
        <v>32.381241000000003</v>
      </c>
    </row>
    <row r="162" spans="2:3">
      <c r="B162" s="3477" t="s">
        <v>4311</v>
      </c>
      <c r="C162" s="3478">
        <v>30.946653000000001</v>
      </c>
    </row>
    <row r="163" spans="2:3">
      <c r="B163" s="3477" t="s">
        <v>4310</v>
      </c>
      <c r="C163" s="3478">
        <v>34.222943999999998</v>
      </c>
    </row>
    <row r="164" spans="2:3">
      <c r="B164" s="3477" t="s">
        <v>4309</v>
      </c>
      <c r="C164" s="3478">
        <v>10.531127</v>
      </c>
    </row>
    <row r="165" spans="2:3">
      <c r="B165" s="3477" t="s">
        <v>4308</v>
      </c>
      <c r="C165" s="3478">
        <v>2.6657999999999999</v>
      </c>
    </row>
    <row r="166" spans="2:3">
      <c r="B166" s="3477" t="s">
        <v>4307</v>
      </c>
      <c r="C166" s="3478">
        <v>23.185424000000001</v>
      </c>
    </row>
    <row r="167" spans="2:3">
      <c r="B167" s="3477" t="s">
        <v>4306</v>
      </c>
      <c r="C167" s="3478">
        <v>7.7931900000000001</v>
      </c>
    </row>
    <row r="168" spans="2:3">
      <c r="B168" s="3477" t="s">
        <v>4305</v>
      </c>
      <c r="C168" s="3478">
        <v>38.932614999999998</v>
      </c>
    </row>
    <row r="169" spans="2:3">
      <c r="B169" s="3477" t="s">
        <v>4304</v>
      </c>
      <c r="C169" s="3478">
        <v>44.383085999999999</v>
      </c>
    </row>
    <row r="170" spans="2:3">
      <c r="B170" s="3477" t="s">
        <v>4303</v>
      </c>
      <c r="C170" s="3478">
        <v>58.743628000000001</v>
      </c>
    </row>
    <row r="171" spans="2:3">
      <c r="B171" s="3477" t="s">
        <v>4302</v>
      </c>
      <c r="C171" s="3478">
        <v>38.986381000000002</v>
      </c>
    </row>
    <row r="172" spans="2:3">
      <c r="B172" s="3477" t="s">
        <v>4301</v>
      </c>
      <c r="C172" s="3478">
        <v>7.2000120000000001</v>
      </c>
    </row>
    <row r="173" spans="2:3">
      <c r="B173" s="3477" t="s">
        <v>4300</v>
      </c>
      <c r="C173" s="3478">
        <v>29.455494000000002</v>
      </c>
    </row>
    <row r="174" spans="2:3">
      <c r="B174" s="3477" t="s">
        <v>4299</v>
      </c>
      <c r="C174" s="3478">
        <v>6.1805099999999999</v>
      </c>
    </row>
    <row r="175" spans="2:3">
      <c r="B175" s="3477" t="s">
        <v>4298</v>
      </c>
      <c r="C175" s="3478">
        <v>68.292922000000004</v>
      </c>
    </row>
    <row r="176" spans="2:3">
      <c r="B176" s="3477" t="s">
        <v>4297</v>
      </c>
      <c r="C176" s="3478">
        <v>79.683488999999994</v>
      </c>
    </row>
    <row r="177" spans="2:3">
      <c r="B177" s="3477" t="s">
        <v>4296</v>
      </c>
      <c r="C177" s="3478">
        <v>62.564678000000001</v>
      </c>
    </row>
    <row r="178" spans="2:3">
      <c r="B178" s="3477" t="s">
        <v>4295</v>
      </c>
      <c r="C178" s="3478">
        <v>94.256984000000003</v>
      </c>
    </row>
    <row r="179" spans="2:3">
      <c r="B179" s="3477" t="s">
        <v>4294</v>
      </c>
      <c r="C179" s="3478">
        <v>7.9286399999999997</v>
      </c>
    </row>
    <row r="180" spans="2:3">
      <c r="B180" s="3477" t="s">
        <v>4293</v>
      </c>
      <c r="C180" s="3478">
        <v>105.671257</v>
      </c>
    </row>
    <row r="181" spans="2:3">
      <c r="B181" s="3477" t="s">
        <v>4292</v>
      </c>
      <c r="C181" s="3478">
        <v>101.21300100000001</v>
      </c>
    </row>
    <row r="182" spans="2:3">
      <c r="B182" s="3477" t="s">
        <v>4291</v>
      </c>
      <c r="C182" s="3478">
        <v>25.231539000000001</v>
      </c>
    </row>
    <row r="183" spans="2:3">
      <c r="B183" s="3477" t="s">
        <v>4290</v>
      </c>
      <c r="C183" s="3478">
        <v>8.5904720000000001</v>
      </c>
    </row>
    <row r="184" spans="2:3">
      <c r="B184" s="3477" t="s">
        <v>4289</v>
      </c>
      <c r="C184" s="3478">
        <v>21.103680000000001</v>
      </c>
    </row>
    <row r="185" spans="2:3">
      <c r="B185" s="3477" t="s">
        <v>4288</v>
      </c>
      <c r="C185" s="3478">
        <v>22.586929999999999</v>
      </c>
    </row>
    <row r="186" spans="2:3">
      <c r="B186" s="3477" t="s">
        <v>4287</v>
      </c>
      <c r="C186" s="3478">
        <v>3.3310110000000002</v>
      </c>
    </row>
    <row r="187" spans="2:3">
      <c r="B187" s="3477" t="s">
        <v>4286</v>
      </c>
      <c r="C187" s="3478">
        <v>5.3096399999999999</v>
      </c>
    </row>
    <row r="188" spans="2:3">
      <c r="B188" s="3477" t="s">
        <v>4285</v>
      </c>
      <c r="C188" s="3478">
        <v>106.599349</v>
      </c>
    </row>
    <row r="189" spans="2:3">
      <c r="B189" s="3477" t="s">
        <v>4284</v>
      </c>
      <c r="C189" s="3478">
        <v>46.450194000000003</v>
      </c>
    </row>
    <row r="190" spans="2:3">
      <c r="B190" s="3477" t="s">
        <v>4283</v>
      </c>
      <c r="C190" s="3478">
        <v>44.162404000000002</v>
      </c>
    </row>
    <row r="191" spans="2:3">
      <c r="B191" s="3477" t="s">
        <v>4282</v>
      </c>
      <c r="C191" s="3478">
        <v>66.484324000000001</v>
      </c>
    </row>
    <row r="192" spans="2:3">
      <c r="B192" s="3477" t="s">
        <v>4281</v>
      </c>
      <c r="C192" s="3478">
        <v>71.501649</v>
      </c>
    </row>
    <row r="193" spans="2:3">
      <c r="B193" s="3477" t="s">
        <v>4280</v>
      </c>
      <c r="C193" s="3478">
        <v>3.9942299999999999</v>
      </c>
    </row>
    <row r="194" spans="2:3">
      <c r="B194" s="3477" t="s">
        <v>4279</v>
      </c>
      <c r="C194" s="3478">
        <v>14.315792</v>
      </c>
    </row>
    <row r="195" spans="2:3">
      <c r="B195" s="3477" t="s">
        <v>4278</v>
      </c>
      <c r="C195" s="3478">
        <v>88.332599999999999</v>
      </c>
    </row>
    <row r="196" spans="2:3">
      <c r="B196" s="3477" t="s">
        <v>4277</v>
      </c>
      <c r="C196" s="3478">
        <v>44.665979999999998</v>
      </c>
    </row>
    <row r="197" spans="2:3">
      <c r="B197" s="3477" t="s">
        <v>4276</v>
      </c>
      <c r="C197" s="3478">
        <v>39.387540000000001</v>
      </c>
    </row>
    <row r="198" spans="2:3">
      <c r="B198" s="3477" t="s">
        <v>4275</v>
      </c>
      <c r="C198" s="3478">
        <v>62.941028000000003</v>
      </c>
    </row>
    <row r="199" spans="2:3">
      <c r="B199" s="3477" t="s">
        <v>4274</v>
      </c>
      <c r="C199" s="3478">
        <v>84.984172000000001</v>
      </c>
    </row>
    <row r="200" spans="2:3">
      <c r="B200" s="3477" t="s">
        <v>4273</v>
      </c>
      <c r="C200" s="3478">
        <v>80.634352000000007</v>
      </c>
    </row>
    <row r="201" spans="2:3">
      <c r="B201" s="3477" t="s">
        <v>4272</v>
      </c>
      <c r="C201" s="3478">
        <v>53.453532000000003</v>
      </c>
    </row>
    <row r="202" spans="2:3">
      <c r="B202" s="3477" t="s">
        <v>4271</v>
      </c>
      <c r="C202" s="3478">
        <v>38.714615000000002</v>
      </c>
    </row>
    <row r="203" spans="2:3">
      <c r="B203" s="3477" t="s">
        <v>4270</v>
      </c>
      <c r="C203" s="3478">
        <v>46.453149000000003</v>
      </c>
    </row>
    <row r="204" spans="2:3">
      <c r="B204" s="3477" t="s">
        <v>4269</v>
      </c>
      <c r="C204" s="3478">
        <v>42.215392999999999</v>
      </c>
    </row>
    <row r="205" spans="2:3">
      <c r="B205" s="3477" t="s">
        <v>4268</v>
      </c>
      <c r="C205" s="3478">
        <v>36.931558000000003</v>
      </c>
    </row>
    <row r="206" spans="2:3">
      <c r="B206" s="3477" t="s">
        <v>4267</v>
      </c>
      <c r="C206" s="3478">
        <v>30.171522</v>
      </c>
    </row>
    <row r="207" spans="2:3">
      <c r="B207" s="3477" t="s">
        <v>4266</v>
      </c>
      <c r="C207" s="3478">
        <v>36.984364999999997</v>
      </c>
    </row>
    <row r="208" spans="2:3">
      <c r="B208" s="3477" t="s">
        <v>4265</v>
      </c>
      <c r="C208" s="3478">
        <v>29.155200000000001</v>
      </c>
    </row>
    <row r="209" spans="2:3">
      <c r="B209" s="3477" t="s">
        <v>4264</v>
      </c>
      <c r="C209" s="3478">
        <v>43.233355000000003</v>
      </c>
    </row>
    <row r="210" spans="2:3">
      <c r="B210" s="3477" t="s">
        <v>4263</v>
      </c>
      <c r="C210" s="3478">
        <v>32.402917000000002</v>
      </c>
    </row>
    <row r="211" spans="2:3">
      <c r="B211" s="3477" t="s">
        <v>4262</v>
      </c>
      <c r="C211" s="3478">
        <v>21.055564</v>
      </c>
    </row>
    <row r="212" spans="2:3">
      <c r="B212" s="3477" t="s">
        <v>4261</v>
      </c>
      <c r="C212" s="3478">
        <v>43.048838000000003</v>
      </c>
    </row>
    <row r="213" spans="2:3">
      <c r="B213" s="3477" t="s">
        <v>4260</v>
      </c>
      <c r="C213" s="3478">
        <v>19.474578999999999</v>
      </c>
    </row>
    <row r="214" spans="2:3">
      <c r="B214" s="3477" t="s">
        <v>4259</v>
      </c>
      <c r="C214" s="3478">
        <v>46.855759999999997</v>
      </c>
    </row>
    <row r="215" spans="2:3">
      <c r="B215" s="3477" t="s">
        <v>4258</v>
      </c>
      <c r="C215" s="3478">
        <v>38.925454000000002</v>
      </c>
    </row>
    <row r="216" spans="2:3">
      <c r="B216" s="3477" t="s">
        <v>4257</v>
      </c>
      <c r="C216" s="3478">
        <v>32.851914000000001</v>
      </c>
    </row>
    <row r="217" spans="2:3">
      <c r="B217" s="3477" t="s">
        <v>4256</v>
      </c>
      <c r="C217" s="3478">
        <v>6.6109349999999996</v>
      </c>
    </row>
    <row r="218" spans="2:3">
      <c r="B218" s="3477" t="s">
        <v>4255</v>
      </c>
      <c r="C218" s="3478">
        <v>3.6042000000000001</v>
      </c>
    </row>
    <row r="219" spans="2:3">
      <c r="B219" s="3477" t="s">
        <v>4254</v>
      </c>
      <c r="C219" s="3478">
        <v>30.087349</v>
      </c>
    </row>
    <row r="220" spans="2:3">
      <c r="B220" s="3477" t="s">
        <v>4253</v>
      </c>
      <c r="C220" s="3478">
        <v>110.630353</v>
      </c>
    </row>
    <row r="221" spans="2:3">
      <c r="B221" s="3477" t="s">
        <v>4252</v>
      </c>
      <c r="C221" s="3478">
        <v>118.479089</v>
      </c>
    </row>
    <row r="222" spans="2:3">
      <c r="B222" s="3477" t="s">
        <v>4251</v>
      </c>
      <c r="C222" s="3478">
        <v>45.144145000000002</v>
      </c>
    </row>
    <row r="223" spans="2:3">
      <c r="B223" s="3477" t="s">
        <v>4250</v>
      </c>
      <c r="C223" s="3478">
        <v>91.586361999999994</v>
      </c>
    </row>
    <row r="224" spans="2:3">
      <c r="B224" s="3477" t="s">
        <v>4249</v>
      </c>
      <c r="C224" s="3478">
        <v>7.2370679999999998</v>
      </c>
    </row>
    <row r="225" spans="2:3">
      <c r="B225" s="3477" t="s">
        <v>4248</v>
      </c>
      <c r="C225" s="3478">
        <v>20.7712</v>
      </c>
    </row>
    <row r="226" spans="2:3">
      <c r="B226" s="3477" t="s">
        <v>4247</v>
      </c>
      <c r="C226" s="3478">
        <v>54.389381</v>
      </c>
    </row>
    <row r="227" spans="2:3">
      <c r="B227" s="3477" t="s">
        <v>4246</v>
      </c>
      <c r="C227" s="3478">
        <v>24.665196999999999</v>
      </c>
    </row>
    <row r="228" spans="2:3">
      <c r="B228" s="3477" t="s">
        <v>4245</v>
      </c>
      <c r="C228" s="3478">
        <v>48.276910999999998</v>
      </c>
    </row>
    <row r="229" spans="2:3">
      <c r="B229" s="3477" t="s">
        <v>4244</v>
      </c>
      <c r="C229" s="3478">
        <v>31.219080000000002</v>
      </c>
    </row>
    <row r="230" spans="2:3">
      <c r="B230" s="3477" t="s">
        <v>4243</v>
      </c>
      <c r="C230" s="3478">
        <v>81.400879000000003</v>
      </c>
    </row>
    <row r="231" spans="2:3">
      <c r="B231" s="3477" t="s">
        <v>4242</v>
      </c>
      <c r="C231" s="3478">
        <v>23.888247</v>
      </c>
    </row>
    <row r="232" spans="2:3">
      <c r="B232" s="3477" t="s">
        <v>4241</v>
      </c>
      <c r="C232" s="3478">
        <v>8.0104900000000008</v>
      </c>
    </row>
    <row r="233" spans="2:3">
      <c r="B233" s="3477" t="s">
        <v>4240</v>
      </c>
      <c r="C233" s="3478">
        <v>29.359362000000001</v>
      </c>
    </row>
    <row r="234" spans="2:3">
      <c r="B234" s="3477" t="s">
        <v>4239</v>
      </c>
      <c r="C234" s="3478">
        <v>69.218277</v>
      </c>
    </row>
    <row r="235" spans="2:3">
      <c r="B235" s="3477" t="s">
        <v>4238</v>
      </c>
      <c r="C235" s="3478">
        <v>18.972078</v>
      </c>
    </row>
    <row r="236" spans="2:3">
      <c r="B236" s="3477" t="s">
        <v>4237</v>
      </c>
      <c r="C236" s="3478">
        <v>51.764336999999998</v>
      </c>
    </row>
    <row r="237" spans="2:3">
      <c r="B237" s="3477" t="s">
        <v>4236</v>
      </c>
      <c r="C237" s="3478">
        <v>22.961040000000001</v>
      </c>
    </row>
    <row r="238" spans="2:3">
      <c r="B238" s="3477" t="s">
        <v>4235</v>
      </c>
      <c r="C238" s="3478">
        <v>21.546375000000001</v>
      </c>
    </row>
    <row r="239" spans="2:3">
      <c r="B239" s="3477" t="s">
        <v>4234</v>
      </c>
      <c r="C239" s="3478">
        <v>55.064672999999999</v>
      </c>
    </row>
    <row r="240" spans="2:3">
      <c r="B240" s="3477" t="s">
        <v>4233</v>
      </c>
      <c r="C240" s="3478">
        <v>11.83464</v>
      </c>
    </row>
    <row r="241" spans="2:3">
      <c r="B241" s="3477" t="s">
        <v>4232</v>
      </c>
      <c r="C241" s="3478">
        <v>10.402445</v>
      </c>
    </row>
    <row r="242" spans="2:3">
      <c r="B242" s="3477" t="s">
        <v>4231</v>
      </c>
      <c r="C242" s="3478">
        <v>58.079554999999999</v>
      </c>
    </row>
    <row r="243" spans="2:3">
      <c r="B243" s="3477" t="s">
        <v>4230</v>
      </c>
      <c r="C243" s="3478">
        <v>53.831229</v>
      </c>
    </row>
    <row r="244" spans="2:3">
      <c r="B244" s="3477" t="s">
        <v>4229</v>
      </c>
      <c r="C244" s="3478">
        <v>66.890818999999993</v>
      </c>
    </row>
    <row r="245" spans="2:3">
      <c r="B245" s="3477" t="s">
        <v>4228</v>
      </c>
      <c r="C245" s="3478">
        <v>6.6407999999999996</v>
      </c>
    </row>
    <row r="246" spans="2:3">
      <c r="B246" s="3477" t="s">
        <v>4227</v>
      </c>
      <c r="C246" s="3478">
        <v>36.041860999999997</v>
      </c>
    </row>
    <row r="247" spans="2:3">
      <c r="B247" s="3477" t="s">
        <v>4226</v>
      </c>
      <c r="C247" s="3478">
        <v>20.101922999999999</v>
      </c>
    </row>
    <row r="248" spans="2:3">
      <c r="B248" s="3477" t="s">
        <v>4225</v>
      </c>
      <c r="C248" s="3478">
        <v>45.208395000000003</v>
      </c>
    </row>
    <row r="249" spans="2:3">
      <c r="B249" s="3477" t="s">
        <v>4224</v>
      </c>
      <c r="C249" s="3478">
        <v>9.9551999999999996</v>
      </c>
    </row>
    <row r="250" spans="2:3">
      <c r="B250" s="3477" t="s">
        <v>4223</v>
      </c>
      <c r="C250" s="3478">
        <v>41.3568</v>
      </c>
    </row>
    <row r="251" spans="2:3">
      <c r="B251" s="3477" t="s">
        <v>4222</v>
      </c>
      <c r="C251" s="3478">
        <v>16.453279999999999</v>
      </c>
    </row>
    <row r="252" spans="2:3">
      <c r="B252" s="3477" t="s">
        <v>4221</v>
      </c>
      <c r="C252" s="3478">
        <v>79.040572999999995</v>
      </c>
    </row>
    <row r="253" spans="2:3">
      <c r="B253" s="3477" t="s">
        <v>4220</v>
      </c>
      <c r="C253" s="3478">
        <v>31.435938</v>
      </c>
    </row>
    <row r="254" spans="2:3">
      <c r="B254" s="3477" t="s">
        <v>4219</v>
      </c>
      <c r="C254" s="3478">
        <v>43.122618000000003</v>
      </c>
    </row>
    <row r="255" spans="2:3">
      <c r="B255" s="3477" t="s">
        <v>4218</v>
      </c>
      <c r="C255" s="3478">
        <v>20.587233999999999</v>
      </c>
    </row>
    <row r="256" spans="2:3">
      <c r="B256" s="3477" t="s">
        <v>4217</v>
      </c>
      <c r="C256" s="3478">
        <v>13.654536999999999</v>
      </c>
    </row>
    <row r="257" spans="2:3">
      <c r="B257" s="3477" t="s">
        <v>4216</v>
      </c>
      <c r="C257" s="3478">
        <v>10.963632</v>
      </c>
    </row>
    <row r="258" spans="2:3">
      <c r="B258" s="3477" t="s">
        <v>4215</v>
      </c>
      <c r="C258" s="3478">
        <v>49.232398000000003</v>
      </c>
    </row>
    <row r="259" spans="2:3">
      <c r="B259" s="3477" t="s">
        <v>4214</v>
      </c>
      <c r="C259" s="3478">
        <v>1.70245</v>
      </c>
    </row>
    <row r="260" spans="2:3">
      <c r="B260" s="3477" t="s">
        <v>4213</v>
      </c>
      <c r="C260" s="3478">
        <v>91.064115000000001</v>
      </c>
    </row>
    <row r="261" spans="2:3">
      <c r="B261" s="3477" t="s">
        <v>4212</v>
      </c>
      <c r="C261" s="3478">
        <v>13.503342</v>
      </c>
    </row>
    <row r="262" spans="2:3">
      <c r="B262" s="3477" t="s">
        <v>4211</v>
      </c>
      <c r="C262" s="3478">
        <v>81.769807999999998</v>
      </c>
    </row>
    <row r="263" spans="2:3">
      <c r="B263" s="3477" t="s">
        <v>4210</v>
      </c>
      <c r="C263" s="3478">
        <v>19.958400000000001</v>
      </c>
    </row>
    <row r="264" spans="2:3">
      <c r="B264" s="3477" t="s">
        <v>4209</v>
      </c>
      <c r="C264" s="3478">
        <v>37.286914000000003</v>
      </c>
    </row>
    <row r="265" spans="2:3">
      <c r="B265" s="3477" t="s">
        <v>4208</v>
      </c>
      <c r="C265" s="3478">
        <v>52.47654</v>
      </c>
    </row>
    <row r="266" spans="2:3">
      <c r="B266" s="3477" t="s">
        <v>4207</v>
      </c>
      <c r="C266" s="3478">
        <v>9.745965</v>
      </c>
    </row>
    <row r="267" spans="2:3">
      <c r="B267" s="3477" t="s">
        <v>4206</v>
      </c>
      <c r="C267" s="3478">
        <v>4.2468409999999999</v>
      </c>
    </row>
    <row r="268" spans="2:3">
      <c r="B268" s="3477" t="s">
        <v>4205</v>
      </c>
      <c r="C268" s="3478">
        <v>41.098945999999998</v>
      </c>
    </row>
    <row r="269" spans="2:3">
      <c r="B269" s="3477" t="s">
        <v>4204</v>
      </c>
      <c r="C269" s="3478">
        <v>1.1843999999999999</v>
      </c>
    </row>
    <row r="270" spans="2:3">
      <c r="B270" s="3477" t="s">
        <v>4203</v>
      </c>
      <c r="C270" s="3478">
        <v>123.24505600000001</v>
      </c>
    </row>
    <row r="271" spans="2:3">
      <c r="B271" s="3477" t="s">
        <v>4202</v>
      </c>
      <c r="C271" s="3478">
        <v>26.547550000000001</v>
      </c>
    </row>
    <row r="272" spans="2:3">
      <c r="B272" s="3477" t="s">
        <v>4201</v>
      </c>
      <c r="C272" s="3478">
        <v>11.673361999999999</v>
      </c>
    </row>
    <row r="273" spans="2:3">
      <c r="B273" s="3477" t="s">
        <v>4200</v>
      </c>
      <c r="C273" s="3478">
        <v>45.407240999999999</v>
      </c>
    </row>
    <row r="274" spans="2:3">
      <c r="B274" s="3477" t="s">
        <v>4199</v>
      </c>
      <c r="C274" s="3478">
        <v>21.442423000000002</v>
      </c>
    </row>
    <row r="275" spans="2:3">
      <c r="B275" s="3477" t="s">
        <v>4198</v>
      </c>
      <c r="C275" s="3478">
        <v>37.409602</v>
      </c>
    </row>
    <row r="276" spans="2:3">
      <c r="B276" s="3477" t="s">
        <v>4197</v>
      </c>
      <c r="C276" s="3478">
        <v>26.84272</v>
      </c>
    </row>
    <row r="277" spans="2:3">
      <c r="B277" s="3477" t="s">
        <v>4196</v>
      </c>
      <c r="C277" s="3478">
        <v>30.544823999999998</v>
      </c>
    </row>
    <row r="278" spans="2:3">
      <c r="B278" s="3477" t="s">
        <v>4195</v>
      </c>
      <c r="C278" s="3478">
        <v>17.112120999999998</v>
      </c>
    </row>
    <row r="279" spans="2:3">
      <c r="B279" s="3477" t="s">
        <v>4194</v>
      </c>
      <c r="C279" s="3478">
        <v>35.671391999999997</v>
      </c>
    </row>
    <row r="280" spans="2:3">
      <c r="B280" s="3477" t="s">
        <v>4193</v>
      </c>
      <c r="C280" s="3478">
        <v>57.971184000000001</v>
      </c>
    </row>
    <row r="281" spans="2:3">
      <c r="B281" s="3477" t="s">
        <v>4192</v>
      </c>
      <c r="C281" s="3478">
        <v>85.131135</v>
      </c>
    </row>
    <row r="282" spans="2:3">
      <c r="B282" s="3477" t="s">
        <v>4191</v>
      </c>
      <c r="C282" s="3478">
        <v>36.04524</v>
      </c>
    </row>
    <row r="283" spans="2:3">
      <c r="B283" s="3477" t="s">
        <v>4190</v>
      </c>
      <c r="C283" s="3478">
        <v>40.614899999999999</v>
      </c>
    </row>
    <row r="284" spans="2:3">
      <c r="B284" s="3477" t="s">
        <v>4189</v>
      </c>
      <c r="C284" s="3478">
        <v>6.4786669999999997</v>
      </c>
    </row>
    <row r="285" spans="2:3">
      <c r="B285" s="3477" t="s">
        <v>4188</v>
      </c>
      <c r="C285" s="3478">
        <v>0.74175000000000002</v>
      </c>
    </row>
    <row r="286" spans="2:3">
      <c r="B286" s="3477" t="s">
        <v>4187</v>
      </c>
      <c r="C286" s="3478">
        <v>25.309877</v>
      </c>
    </row>
    <row r="287" spans="2:3">
      <c r="B287" s="3477" t="s">
        <v>4186</v>
      </c>
      <c r="C287" s="3478">
        <v>23.608367999999999</v>
      </c>
    </row>
    <row r="288" spans="2:3">
      <c r="B288" s="3477" t="s">
        <v>4185</v>
      </c>
      <c r="C288" s="3478">
        <v>8.6325310000000002</v>
      </c>
    </row>
    <row r="289" spans="2:3">
      <c r="B289" s="3477" t="s">
        <v>4184</v>
      </c>
      <c r="C289" s="3478">
        <v>94.574926000000005</v>
      </c>
    </row>
    <row r="290" spans="2:3">
      <c r="B290" s="3477" t="s">
        <v>4183</v>
      </c>
      <c r="C290" s="3478">
        <v>31.236927000000001</v>
      </c>
    </row>
    <row r="291" spans="2:3">
      <c r="B291" s="3477" t="s">
        <v>4182</v>
      </c>
      <c r="C291" s="3478">
        <v>22.02</v>
      </c>
    </row>
    <row r="292" spans="2:3">
      <c r="B292" s="3477" t="s">
        <v>4181</v>
      </c>
      <c r="C292" s="3478">
        <v>17.82977</v>
      </c>
    </row>
    <row r="293" spans="2:3">
      <c r="B293" s="3477" t="s">
        <v>4180</v>
      </c>
      <c r="C293" s="3478">
        <v>25.540600000000001</v>
      </c>
    </row>
    <row r="294" spans="2:3">
      <c r="B294" s="3477" t="s">
        <v>4179</v>
      </c>
      <c r="C294" s="3478">
        <v>4.4504999999999999</v>
      </c>
    </row>
    <row r="295" spans="2:3">
      <c r="B295" s="3477" t="s">
        <v>4178</v>
      </c>
      <c r="C295" s="3478">
        <v>29.60013</v>
      </c>
    </row>
    <row r="296" spans="2:3">
      <c r="B296" s="3477" t="s">
        <v>4177</v>
      </c>
      <c r="C296" s="3478">
        <v>36.417957000000001</v>
      </c>
    </row>
    <row r="297" spans="2:3">
      <c r="B297" s="3477" t="s">
        <v>4176</v>
      </c>
      <c r="C297" s="3478">
        <v>31.793724999999998</v>
      </c>
    </row>
    <row r="298" spans="2:3">
      <c r="B298" s="3477" t="s">
        <v>4175</v>
      </c>
      <c r="C298" s="3478">
        <v>21.050280000000001</v>
      </c>
    </row>
    <row r="299" spans="2:3">
      <c r="B299" s="3477" t="s">
        <v>4174</v>
      </c>
      <c r="C299" s="3478">
        <v>15.53715</v>
      </c>
    </row>
    <row r="300" spans="2:3">
      <c r="B300" s="3477" t="s">
        <v>4173</v>
      </c>
      <c r="C300" s="3478">
        <v>22.289615000000001</v>
      </c>
    </row>
    <row r="301" spans="2:3">
      <c r="B301" s="3477" t="s">
        <v>4172</v>
      </c>
      <c r="C301" s="3478">
        <v>82.397279999999995</v>
      </c>
    </row>
    <row r="302" spans="2:3">
      <c r="B302" s="3477" t="s">
        <v>4171</v>
      </c>
      <c r="C302" s="3478">
        <v>14.622120000000001</v>
      </c>
    </row>
    <row r="303" spans="2:3">
      <c r="B303" s="3477" t="s">
        <v>4170</v>
      </c>
      <c r="C303" s="3478">
        <v>28.951910999999999</v>
      </c>
    </row>
    <row r="304" spans="2:3">
      <c r="B304" s="3477" t="s">
        <v>4169</v>
      </c>
      <c r="C304" s="3478">
        <v>56.172648000000002</v>
      </c>
    </row>
    <row r="305" spans="2:3">
      <c r="B305" s="3477" t="s">
        <v>4168</v>
      </c>
      <c r="C305" s="3478">
        <v>26.128736</v>
      </c>
    </row>
    <row r="306" spans="2:3">
      <c r="B306" s="3477" t="s">
        <v>4167</v>
      </c>
      <c r="C306" s="3478">
        <v>42.034680000000002</v>
      </c>
    </row>
    <row r="307" spans="2:3">
      <c r="B307" s="3477" t="s">
        <v>4166</v>
      </c>
      <c r="C307" s="3478">
        <v>25.877756999999999</v>
      </c>
    </row>
    <row r="308" spans="2:3">
      <c r="B308" s="3477" t="s">
        <v>4165</v>
      </c>
      <c r="C308" s="3478">
        <v>7.7594880000000002</v>
      </c>
    </row>
    <row r="309" spans="2:3">
      <c r="B309" s="3477" t="s">
        <v>4164</v>
      </c>
      <c r="C309" s="3478">
        <v>261.88595199999997</v>
      </c>
    </row>
    <row r="310" spans="2:3">
      <c r="B310" s="3477" t="s">
        <v>4163</v>
      </c>
      <c r="C310" s="3478">
        <v>23.038323999999999</v>
      </c>
    </row>
    <row r="311" spans="2:3">
      <c r="B311" s="3477" t="s">
        <v>4162</v>
      </c>
      <c r="C311" s="3478">
        <v>36.038963000000003</v>
      </c>
    </row>
    <row r="312" spans="2:3">
      <c r="B312" s="3477" t="s">
        <v>4161</v>
      </c>
      <c r="C312" s="3478">
        <v>3.6038999999999999</v>
      </c>
    </row>
    <row r="313" spans="2:3">
      <c r="B313" s="3477" t="s">
        <v>4160</v>
      </c>
      <c r="C313" s="3478">
        <v>11.810415000000001</v>
      </c>
    </row>
    <row r="314" spans="2:3">
      <c r="B314" s="3477" t="s">
        <v>4159</v>
      </c>
      <c r="C314" s="3478">
        <v>15.727344</v>
      </c>
    </row>
    <row r="315" spans="2:3">
      <c r="B315" s="3477" t="s">
        <v>4158</v>
      </c>
      <c r="C315" s="3478">
        <v>46.511920000000003</v>
      </c>
    </row>
    <row r="316" spans="2:3">
      <c r="B316" s="3477" t="s">
        <v>4157</v>
      </c>
      <c r="C316" s="3478">
        <v>11.68</v>
      </c>
    </row>
    <row r="317" spans="2:3">
      <c r="B317" s="3477" t="s">
        <v>4156</v>
      </c>
      <c r="C317" s="3478">
        <v>34.259183999999998</v>
      </c>
    </row>
    <row r="318" spans="2:3">
      <c r="B318" s="3477" t="s">
        <v>4155</v>
      </c>
      <c r="C318" s="3478">
        <v>7.7114520000000004</v>
      </c>
    </row>
    <row r="319" spans="2:3">
      <c r="B319" s="3477" t="s">
        <v>4154</v>
      </c>
      <c r="C319" s="3478">
        <v>12.553594</v>
      </c>
    </row>
    <row r="320" spans="2:3">
      <c r="B320" s="3477" t="s">
        <v>4153</v>
      </c>
      <c r="C320" s="3478">
        <v>11.924160000000001</v>
      </c>
    </row>
    <row r="321" spans="2:3">
      <c r="B321" s="3477" t="s">
        <v>4152</v>
      </c>
      <c r="C321" s="3478">
        <v>20.76323</v>
      </c>
    </row>
    <row r="322" spans="2:3">
      <c r="B322" s="3477" t="s">
        <v>4151</v>
      </c>
      <c r="C322" s="3478">
        <v>14.201052000000001</v>
      </c>
    </row>
    <row r="323" spans="2:3">
      <c r="B323" s="3477" t="s">
        <v>4150</v>
      </c>
      <c r="C323" s="3478">
        <v>11.050523</v>
      </c>
    </row>
    <row r="324" spans="2:3">
      <c r="B324" s="3477" t="s">
        <v>4149</v>
      </c>
      <c r="C324" s="3478">
        <v>43.823999999999998</v>
      </c>
    </row>
    <row r="325" spans="2:3">
      <c r="B325" s="3477" t="s">
        <v>4148</v>
      </c>
      <c r="C325" s="3478">
        <v>52.103138999999999</v>
      </c>
    </row>
    <row r="326" spans="2:3">
      <c r="B326" s="3477" t="s">
        <v>4147</v>
      </c>
      <c r="C326" s="3478">
        <v>11.285524000000001</v>
      </c>
    </row>
    <row r="327" spans="2:3">
      <c r="B327" s="3477" t="s">
        <v>4146</v>
      </c>
      <c r="C327" s="3478">
        <v>60.179920000000003</v>
      </c>
    </row>
    <row r="328" spans="2:3">
      <c r="B328" s="3477" t="s">
        <v>4145</v>
      </c>
      <c r="C328" s="3478">
        <v>15.168691000000001</v>
      </c>
    </row>
    <row r="329" spans="2:3">
      <c r="B329" s="3477" t="s">
        <v>4144</v>
      </c>
      <c r="C329" s="3478">
        <v>56.066569999999999</v>
      </c>
    </row>
    <row r="330" spans="2:3">
      <c r="B330" s="3477" t="s">
        <v>4143</v>
      </c>
      <c r="C330" s="3478">
        <v>3.8681999999999999</v>
      </c>
    </row>
    <row r="331" spans="2:3">
      <c r="B331" s="3477" t="s">
        <v>4142</v>
      </c>
      <c r="C331" s="3478">
        <v>44.52861</v>
      </c>
    </row>
    <row r="332" spans="2:3">
      <c r="B332" s="3477" t="s">
        <v>4141</v>
      </c>
      <c r="C332" s="3478">
        <v>5.0370090000000003</v>
      </c>
    </row>
    <row r="333" spans="2:3">
      <c r="B333" s="3477" t="s">
        <v>4140</v>
      </c>
      <c r="C333" s="3478">
        <v>29.269103999999999</v>
      </c>
    </row>
    <row r="334" spans="2:3">
      <c r="B334" s="3477" t="s">
        <v>4139</v>
      </c>
      <c r="C334" s="3478">
        <v>19.486879999999999</v>
      </c>
    </row>
    <row r="335" spans="2:3">
      <c r="B335" s="3477" t="s">
        <v>4138</v>
      </c>
      <c r="C335" s="3478">
        <v>5.2290000000000001</v>
      </c>
    </row>
    <row r="336" spans="2:3">
      <c r="B336" s="3477" t="s">
        <v>4137</v>
      </c>
      <c r="C336" s="3478">
        <v>15.293699999999999</v>
      </c>
    </row>
    <row r="337" spans="2:3">
      <c r="B337" s="3477" t="s">
        <v>4136</v>
      </c>
      <c r="C337" s="3478">
        <v>10.545004</v>
      </c>
    </row>
    <row r="338" spans="2:3">
      <c r="B338" s="3477" t="s">
        <v>4135</v>
      </c>
      <c r="C338" s="3478">
        <v>7.4213100000000001</v>
      </c>
    </row>
    <row r="339" spans="2:3">
      <c r="B339" s="3477" t="s">
        <v>4134</v>
      </c>
      <c r="C339" s="3478">
        <v>30.27308</v>
      </c>
    </row>
    <row r="340" spans="2:3">
      <c r="B340" s="3477" t="s">
        <v>4133</v>
      </c>
      <c r="C340" s="3478">
        <v>12.7624</v>
      </c>
    </row>
    <row r="341" spans="2:3">
      <c r="B341" s="3477" t="s">
        <v>4132</v>
      </c>
      <c r="C341" s="3478">
        <v>15.772399999999999</v>
      </c>
    </row>
    <row r="342" spans="2:3">
      <c r="B342" s="3477" t="s">
        <v>4131</v>
      </c>
      <c r="C342" s="3478">
        <v>5.74275</v>
      </c>
    </row>
    <row r="343" spans="2:3">
      <c r="B343" s="3477" t="s">
        <v>4130</v>
      </c>
      <c r="C343" s="3478">
        <v>21.964559999999999</v>
      </c>
    </row>
    <row r="344" spans="2:3">
      <c r="B344" s="3477" t="s">
        <v>4129</v>
      </c>
      <c r="C344" s="3478">
        <v>18.452293000000001</v>
      </c>
    </row>
    <row r="345" spans="2:3">
      <c r="B345" s="3477" t="s">
        <v>4128</v>
      </c>
      <c r="C345" s="3478">
        <v>21.606456000000001</v>
      </c>
    </row>
    <row r="346" spans="2:3">
      <c r="B346" s="3477" t="s">
        <v>4127</v>
      </c>
      <c r="C346" s="3478">
        <v>31.950800000000001</v>
      </c>
    </row>
    <row r="347" spans="2:3">
      <c r="B347" s="3477" t="s">
        <v>4126</v>
      </c>
      <c r="C347" s="3478">
        <v>11.920864999999999</v>
      </c>
    </row>
    <row r="348" spans="2:3">
      <c r="B348" s="3477" t="s">
        <v>4125</v>
      </c>
      <c r="C348" s="3478">
        <v>27.226739999999999</v>
      </c>
    </row>
    <row r="349" spans="2:3">
      <c r="B349" s="3477" t="s">
        <v>4124</v>
      </c>
      <c r="C349" s="3478">
        <v>21.206104</v>
      </c>
    </row>
    <row r="350" spans="2:3">
      <c r="B350" s="3477" t="s">
        <v>4123</v>
      </c>
      <c r="C350" s="3478">
        <v>20.629159000000001</v>
      </c>
    </row>
    <row r="351" spans="2:3">
      <c r="B351" s="3477" t="s">
        <v>4122</v>
      </c>
      <c r="C351" s="3478">
        <v>21.43656</v>
      </c>
    </row>
    <row r="352" spans="2:3">
      <c r="B352" s="3477" t="s">
        <v>4121</v>
      </c>
      <c r="C352" s="3478">
        <v>15.388332</v>
      </c>
    </row>
    <row r="353" spans="2:3">
      <c r="B353" s="3477" t="s">
        <v>4120</v>
      </c>
      <c r="C353" s="3478">
        <v>34.778314999999999</v>
      </c>
    </row>
    <row r="354" spans="2:3">
      <c r="B354" s="3477" t="s">
        <v>4119</v>
      </c>
      <c r="C354" s="3478">
        <v>25.886009000000001</v>
      </c>
    </row>
    <row r="355" spans="2:3">
      <c r="B355" s="3477" t="s">
        <v>4118</v>
      </c>
      <c r="C355" s="3478">
        <v>27.621535999999999</v>
      </c>
    </row>
    <row r="356" spans="2:3">
      <c r="B356" s="3477" t="s">
        <v>4117</v>
      </c>
      <c r="C356" s="3478">
        <v>23.153343</v>
      </c>
    </row>
    <row r="357" spans="2:3">
      <c r="B357" s="3477" t="s">
        <v>4116</v>
      </c>
      <c r="C357" s="3478">
        <v>22.954730999999999</v>
      </c>
    </row>
    <row r="358" spans="2:3">
      <c r="B358" s="3477" t="s">
        <v>4115</v>
      </c>
      <c r="C358" s="3478">
        <v>11.95884</v>
      </c>
    </row>
    <row r="359" spans="2:3">
      <c r="B359" s="3477" t="s">
        <v>4114</v>
      </c>
      <c r="C359" s="3478">
        <v>44.283214999999998</v>
      </c>
    </row>
    <row r="360" spans="2:3">
      <c r="B360" s="3477" t="s">
        <v>4113</v>
      </c>
      <c r="C360" s="3478">
        <v>37.777799999999999</v>
      </c>
    </row>
    <row r="361" spans="2:3">
      <c r="B361" s="3477" t="s">
        <v>4112</v>
      </c>
      <c r="C361" s="3478">
        <v>11.94624</v>
      </c>
    </row>
    <row r="362" spans="2:3">
      <c r="B362" s="3477" t="s">
        <v>4111</v>
      </c>
      <c r="C362" s="3478">
        <v>20.854199999999999</v>
      </c>
    </row>
    <row r="363" spans="2:3">
      <c r="B363" s="3477" t="s">
        <v>4110</v>
      </c>
      <c r="C363" s="3478">
        <v>18.647684999999999</v>
      </c>
    </row>
    <row r="364" spans="2:3">
      <c r="B364" s="3477" t="s">
        <v>4109</v>
      </c>
      <c r="C364" s="3478">
        <v>12.91056</v>
      </c>
    </row>
    <row r="365" spans="2:3">
      <c r="B365" s="3477" t="s">
        <v>4108</v>
      </c>
      <c r="C365" s="3478">
        <v>16.586048000000002</v>
      </c>
    </row>
    <row r="366" spans="2:3">
      <c r="B366" s="3477" t="s">
        <v>4107</v>
      </c>
      <c r="C366" s="3478">
        <v>10.3856</v>
      </c>
    </row>
    <row r="367" spans="2:3">
      <c r="B367" s="3477" t="s">
        <v>4106</v>
      </c>
      <c r="C367" s="3478">
        <v>21.767602</v>
      </c>
    </row>
    <row r="368" spans="2:3">
      <c r="B368" s="3477" t="s">
        <v>4105</v>
      </c>
      <c r="C368" s="3478">
        <v>2.9586600000000001</v>
      </c>
    </row>
    <row r="369" spans="2:3">
      <c r="B369" s="3477" t="s">
        <v>4104</v>
      </c>
      <c r="C369" s="3478">
        <v>13.6754</v>
      </c>
    </row>
    <row r="370" spans="2:3">
      <c r="B370" s="3477" t="s">
        <v>4103</v>
      </c>
      <c r="C370" s="3478">
        <v>90.001807999999997</v>
      </c>
    </row>
    <row r="371" spans="2:3">
      <c r="B371" s="3477" t="s">
        <v>4102</v>
      </c>
      <c r="C371" s="3478">
        <v>89.188215</v>
      </c>
    </row>
    <row r="372" spans="2:3">
      <c r="B372" s="3477" t="s">
        <v>4101</v>
      </c>
      <c r="C372" s="3478">
        <v>64.471693000000002</v>
      </c>
    </row>
    <row r="373" spans="2:3">
      <c r="B373" s="3477" t="s">
        <v>4100</v>
      </c>
      <c r="C373" s="3478">
        <v>175.53198499999999</v>
      </c>
    </row>
    <row r="374" spans="2:3">
      <c r="B374" s="3477" t="s">
        <v>4099</v>
      </c>
      <c r="C374" s="3478">
        <v>21.396820999999999</v>
      </c>
    </row>
    <row r="375" spans="2:3">
      <c r="B375" s="3477" t="s">
        <v>4098</v>
      </c>
      <c r="C375" s="3478">
        <v>10.84665</v>
      </c>
    </row>
    <row r="376" spans="2:3">
      <c r="B376" s="3477" t="s">
        <v>4097</v>
      </c>
      <c r="C376" s="3478">
        <v>19.396536000000001</v>
      </c>
    </row>
    <row r="377" spans="2:3">
      <c r="B377" s="3477" t="s">
        <v>4096</v>
      </c>
      <c r="C377" s="3478">
        <v>8.6085309999999993</v>
      </c>
    </row>
    <row r="378" spans="2:3">
      <c r="B378" s="3477" t="s">
        <v>4095</v>
      </c>
      <c r="C378" s="3478">
        <v>7.624593</v>
      </c>
    </row>
    <row r="379" spans="2:3">
      <c r="B379" s="3477" t="s">
        <v>4094</v>
      </c>
      <c r="C379" s="3478">
        <v>19.86476</v>
      </c>
    </row>
    <row r="380" spans="2:3">
      <c r="B380" s="3477" t="s">
        <v>4093</v>
      </c>
      <c r="C380" s="3478">
        <v>20.333064</v>
      </c>
    </row>
    <row r="381" spans="2:3">
      <c r="B381" s="3477" t="s">
        <v>4092</v>
      </c>
      <c r="C381" s="3478">
        <v>21.588408000000001</v>
      </c>
    </row>
    <row r="382" spans="2:3">
      <c r="B382" s="3477" t="s">
        <v>4091</v>
      </c>
      <c r="C382" s="3478">
        <v>4.3109999999999999</v>
      </c>
    </row>
    <row r="383" spans="2:3">
      <c r="B383" s="3477" t="s">
        <v>4090</v>
      </c>
      <c r="C383" s="3478">
        <v>8.6684769999999993</v>
      </c>
    </row>
    <row r="384" spans="2:3">
      <c r="B384" s="3477" t="s">
        <v>4089</v>
      </c>
      <c r="C384" s="3478">
        <v>30.156047999999998</v>
      </c>
    </row>
    <row r="385" spans="2:3">
      <c r="B385" s="3477" t="s">
        <v>4088</v>
      </c>
      <c r="C385" s="3478">
        <v>45.140748000000002</v>
      </c>
    </row>
    <row r="386" spans="2:3">
      <c r="B386" s="3477" t="s">
        <v>4087</v>
      </c>
      <c r="C386" s="3478">
        <v>11.552099999999999</v>
      </c>
    </row>
    <row r="387" spans="2:3">
      <c r="B387" s="3477" t="s">
        <v>4086</v>
      </c>
      <c r="C387" s="3478">
        <v>15.415152000000001</v>
      </c>
    </row>
    <row r="388" spans="2:3">
      <c r="B388" s="3477" t="s">
        <v>4085</v>
      </c>
      <c r="C388" s="3478">
        <v>30.232291</v>
      </c>
    </row>
    <row r="389" spans="2:3">
      <c r="B389" s="3477" t="s">
        <v>4084</v>
      </c>
      <c r="C389" s="3478">
        <v>5.0278299999999998</v>
      </c>
    </row>
    <row r="390" spans="2:3">
      <c r="B390" s="3477" t="s">
        <v>4083</v>
      </c>
      <c r="C390" s="3478">
        <v>9.4544519999999999</v>
      </c>
    </row>
    <row r="391" spans="2:3">
      <c r="B391" s="3477" t="s">
        <v>4082</v>
      </c>
      <c r="C391" s="3478">
        <v>4.5270770000000002</v>
      </c>
    </row>
    <row r="392" spans="2:3">
      <c r="B392" s="3477" t="s">
        <v>4081</v>
      </c>
      <c r="C392" s="3478">
        <v>32.788871999999998</v>
      </c>
    </row>
    <row r="393" spans="2:3">
      <c r="B393" s="3477" t="s">
        <v>4080</v>
      </c>
      <c r="C393" s="3478">
        <v>8.9563620000000004</v>
      </c>
    </row>
    <row r="394" spans="2:3">
      <c r="B394" s="3477" t="s">
        <v>4079</v>
      </c>
      <c r="C394" s="3478">
        <v>12.996942000000001</v>
      </c>
    </row>
    <row r="395" spans="2:3">
      <c r="B395" s="3477" t="s">
        <v>4078</v>
      </c>
      <c r="C395" s="3478">
        <v>26.411989999999999</v>
      </c>
    </row>
    <row r="396" spans="2:3">
      <c r="B396" s="3477" t="s">
        <v>4077</v>
      </c>
      <c r="C396" s="3478">
        <v>17.483744999999999</v>
      </c>
    </row>
    <row r="397" spans="2:3">
      <c r="B397" s="3477" t="s">
        <v>4076</v>
      </c>
      <c r="C397" s="3478">
        <v>12.641748</v>
      </c>
    </row>
    <row r="398" spans="2:3">
      <c r="B398" s="3477" t="s">
        <v>4075</v>
      </c>
      <c r="C398" s="3478">
        <v>40.660499999999999</v>
      </c>
    </row>
    <row r="399" spans="2:3">
      <c r="B399" s="3477" t="s">
        <v>4074</v>
      </c>
      <c r="C399" s="3478">
        <v>7.5297499999999999</v>
      </c>
    </row>
    <row r="400" spans="2:3">
      <c r="B400" s="3477" t="s">
        <v>4073</v>
      </c>
      <c r="C400" s="3478">
        <v>22.40361</v>
      </c>
    </row>
    <row r="401" spans="2:3">
      <c r="B401" s="3477" t="s">
        <v>4072</v>
      </c>
      <c r="C401" s="3478">
        <v>23.202656000000001</v>
      </c>
    </row>
    <row r="402" spans="2:3">
      <c r="B402" s="3477" t="s">
        <v>4071</v>
      </c>
      <c r="C402" s="3478">
        <v>1.70295</v>
      </c>
    </row>
    <row r="403" spans="2:3">
      <c r="B403" s="3477" t="s">
        <v>4070</v>
      </c>
      <c r="C403" s="3478">
        <v>5.3096399999999999</v>
      </c>
    </row>
    <row r="404" spans="2:3">
      <c r="B404" s="3477" t="s">
        <v>4069</v>
      </c>
      <c r="C404" s="3478">
        <v>7.0555500000000002</v>
      </c>
    </row>
    <row r="405" spans="2:3">
      <c r="B405" s="3477" t="s">
        <v>4068</v>
      </c>
      <c r="C405" s="3478">
        <v>3.48</v>
      </c>
    </row>
    <row r="406" spans="2:3">
      <c r="B406" s="3477" t="s">
        <v>4067</v>
      </c>
      <c r="C406" s="3478">
        <v>13.46532</v>
      </c>
    </row>
    <row r="407" spans="2:3">
      <c r="B407" s="3477" t="s">
        <v>4066</v>
      </c>
      <c r="C407" s="3478">
        <v>1.3787069999999999</v>
      </c>
    </row>
    <row r="408" spans="2:3">
      <c r="B408" s="3477" t="s">
        <v>4065</v>
      </c>
      <c r="C408" s="3478">
        <v>28.368186999999999</v>
      </c>
    </row>
    <row r="409" spans="2:3">
      <c r="B409" s="3477" t="s">
        <v>4064</v>
      </c>
      <c r="C409" s="3478">
        <v>11.710812000000001</v>
      </c>
    </row>
    <row r="410" spans="2:3">
      <c r="B410" s="3477" t="s">
        <v>4063</v>
      </c>
      <c r="C410" s="3478">
        <v>14.662734</v>
      </c>
    </row>
    <row r="411" spans="2:3">
      <c r="B411" s="3477" t="s">
        <v>4062</v>
      </c>
      <c r="C411" s="3478">
        <v>16.88156</v>
      </c>
    </row>
    <row r="412" spans="2:3">
      <c r="B412" s="3477" t="s">
        <v>4061</v>
      </c>
      <c r="C412" s="3478">
        <v>2.8740000000000001</v>
      </c>
    </row>
    <row r="413" spans="2:3">
      <c r="B413" s="3477" t="s">
        <v>4060</v>
      </c>
      <c r="C413" s="3478">
        <v>3.970218</v>
      </c>
    </row>
    <row r="414" spans="2:3">
      <c r="B414" s="3477" t="s">
        <v>4059</v>
      </c>
      <c r="C414" s="3478">
        <v>4.5728960000000001</v>
      </c>
    </row>
    <row r="415" spans="2:3">
      <c r="B415" s="3477" t="s">
        <v>4058</v>
      </c>
      <c r="C415" s="3478">
        <v>3.0680000000000001</v>
      </c>
    </row>
    <row r="416" spans="2:3">
      <c r="B416" s="3477" t="s">
        <v>4057</v>
      </c>
      <c r="C416" s="3478">
        <v>6.1814999999999998</v>
      </c>
    </row>
    <row r="417" spans="2:3">
      <c r="B417" s="3477" t="s">
        <v>4056</v>
      </c>
      <c r="C417" s="3478">
        <v>5.2759200000000002</v>
      </c>
    </row>
    <row r="418" spans="2:3">
      <c r="B418" s="3477" t="s">
        <v>4055</v>
      </c>
      <c r="C418" s="3478">
        <v>1.7430000000000001</v>
      </c>
    </row>
    <row r="419" spans="2:3">
      <c r="B419" s="3477" t="s">
        <v>4054</v>
      </c>
      <c r="C419" s="3478">
        <v>56.052799999999998</v>
      </c>
    </row>
    <row r="420" spans="2:3">
      <c r="B420" s="3477" t="s">
        <v>4053</v>
      </c>
      <c r="C420" s="3478">
        <v>20.025342999999999</v>
      </c>
    </row>
    <row r="421" spans="2:3">
      <c r="B421" s="3477" t="s">
        <v>4052</v>
      </c>
      <c r="C421" s="3478">
        <v>23.822880000000001</v>
      </c>
    </row>
    <row r="422" spans="2:3">
      <c r="B422" s="3477" t="s">
        <v>4051</v>
      </c>
      <c r="C422" s="3478">
        <v>21.892989</v>
      </c>
    </row>
    <row r="423" spans="2:3">
      <c r="B423" s="3477" t="s">
        <v>4050</v>
      </c>
      <c r="C423" s="3478">
        <v>5.8233119999999996</v>
      </c>
    </row>
    <row r="424" spans="2:3">
      <c r="B424" s="3477" t="s">
        <v>4049</v>
      </c>
      <c r="C424" s="3478">
        <v>8.8016450000000006</v>
      </c>
    </row>
    <row r="425" spans="2:3">
      <c r="B425" s="3477" t="s">
        <v>4048</v>
      </c>
      <c r="C425" s="3478">
        <v>13.417403999999999</v>
      </c>
    </row>
    <row r="426" spans="2:3">
      <c r="B426" s="3477" t="s">
        <v>4047</v>
      </c>
      <c r="C426" s="3478">
        <v>3.3846630000000002</v>
      </c>
    </row>
    <row r="427" spans="2:3">
      <c r="B427" s="3477" t="s">
        <v>4046</v>
      </c>
      <c r="C427" s="3478">
        <v>5.0457599999999996</v>
      </c>
    </row>
    <row r="428" spans="2:3">
      <c r="B428" s="3477" t="s">
        <v>4045</v>
      </c>
      <c r="C428" s="3478">
        <v>11.281599999999999</v>
      </c>
    </row>
    <row r="429" spans="2:3">
      <c r="B429" s="3477" t="s">
        <v>4044</v>
      </c>
      <c r="C429" s="3478">
        <v>5.5803200000000004</v>
      </c>
    </row>
    <row r="430" spans="2:3">
      <c r="B430" s="3477" t="s">
        <v>4043</v>
      </c>
      <c r="C430" s="3478">
        <v>22.807487999999999</v>
      </c>
    </row>
    <row r="431" spans="2:3">
      <c r="B431" s="3477" t="s">
        <v>4042</v>
      </c>
      <c r="C431" s="3478">
        <v>29.443999999999999</v>
      </c>
    </row>
    <row r="432" spans="2:3">
      <c r="B432" s="3477" t="s">
        <v>4041</v>
      </c>
      <c r="C432" s="3478">
        <v>4.1184760000000002</v>
      </c>
    </row>
    <row r="433" spans="2:3">
      <c r="B433" s="3477" t="s">
        <v>4040</v>
      </c>
      <c r="C433" s="3478">
        <v>7.3259359999999996</v>
      </c>
    </row>
    <row r="434" spans="2:3">
      <c r="B434" s="3477" t="s">
        <v>4039</v>
      </c>
      <c r="C434" s="3478">
        <v>9.5560399999999994</v>
      </c>
    </row>
    <row r="435" spans="2:3">
      <c r="B435" s="3477" t="s">
        <v>4038</v>
      </c>
      <c r="C435" s="3478">
        <v>32.844273000000001</v>
      </c>
    </row>
    <row r="436" spans="2:3">
      <c r="B436" s="3477" t="s">
        <v>4037</v>
      </c>
      <c r="C436" s="3478">
        <v>12.616091000000001</v>
      </c>
    </row>
    <row r="437" spans="2:3">
      <c r="B437" s="3477" t="s">
        <v>4036</v>
      </c>
      <c r="C437" s="3478">
        <v>13.338160999999999</v>
      </c>
    </row>
    <row r="438" spans="2:3">
      <c r="B438" s="3477" t="s">
        <v>4035</v>
      </c>
      <c r="C438" s="3478">
        <v>5.3335330000000001</v>
      </c>
    </row>
    <row r="439" spans="2:3">
      <c r="B439" s="3477" t="s">
        <v>4034</v>
      </c>
      <c r="C439" s="3478">
        <v>17.855435</v>
      </c>
    </row>
    <row r="440" spans="2:3">
      <c r="B440" s="3477" t="s">
        <v>4033</v>
      </c>
      <c r="C440" s="3478">
        <v>6.9746759999999997</v>
      </c>
    </row>
    <row r="441" spans="2:3">
      <c r="B441" s="3477" t="s">
        <v>4032</v>
      </c>
      <c r="C441" s="3478">
        <v>1.746726</v>
      </c>
    </row>
    <row r="442" spans="2:3">
      <c r="B442" s="3477" t="s">
        <v>4031</v>
      </c>
      <c r="C442" s="3478">
        <v>27.241619</v>
      </c>
    </row>
    <row r="443" spans="2:3">
      <c r="B443" s="3477" t="s">
        <v>4030</v>
      </c>
      <c r="C443" s="3478">
        <v>7.5540320000000003</v>
      </c>
    </row>
    <row r="444" spans="2:3">
      <c r="B444" s="3477" t="s">
        <v>4029</v>
      </c>
      <c r="C444" s="3478">
        <v>9.1250879999999999</v>
      </c>
    </row>
    <row r="445" spans="2:3">
      <c r="B445" s="3477" t="s">
        <v>4028</v>
      </c>
      <c r="C445" s="3478">
        <v>19.962358999999999</v>
      </c>
    </row>
    <row r="446" spans="2:3">
      <c r="B446" s="3477" t="s">
        <v>4027</v>
      </c>
      <c r="C446" s="3478">
        <v>42.277070000000002</v>
      </c>
    </row>
    <row r="447" spans="2:3">
      <c r="B447" s="3477" t="s">
        <v>4026</v>
      </c>
      <c r="C447" s="3478">
        <v>17.995491000000001</v>
      </c>
    </row>
    <row r="448" spans="2:3">
      <c r="B448" s="3477" t="s">
        <v>4025</v>
      </c>
      <c r="C448" s="3478">
        <v>7.0514999999999999</v>
      </c>
    </row>
    <row r="449" spans="2:3">
      <c r="B449" s="3477" t="s">
        <v>4024</v>
      </c>
      <c r="C449" s="3478">
        <v>24.661709999999999</v>
      </c>
    </row>
    <row r="450" spans="2:3">
      <c r="B450" s="3477" t="s">
        <v>4023</v>
      </c>
      <c r="C450" s="3478">
        <v>6.1070700000000002</v>
      </c>
    </row>
    <row r="451" spans="2:3">
      <c r="B451" s="3477" t="s">
        <v>4022</v>
      </c>
      <c r="C451" s="3478">
        <v>34.665636999999997</v>
      </c>
    </row>
    <row r="452" spans="2:3">
      <c r="B452" s="3477" t="s">
        <v>4021</v>
      </c>
      <c r="C452" s="3478">
        <v>23.175953</v>
      </c>
    </row>
    <row r="453" spans="2:3">
      <c r="B453" s="3477" t="s">
        <v>4020</v>
      </c>
      <c r="C453" s="3478">
        <v>18.15549</v>
      </c>
    </row>
    <row r="454" spans="2:3">
      <c r="B454" s="3477" t="s">
        <v>4019</v>
      </c>
      <c r="C454" s="3478">
        <v>16.194317000000002</v>
      </c>
    </row>
    <row r="455" spans="2:3">
      <c r="B455" s="3477" t="s">
        <v>4018</v>
      </c>
      <c r="C455" s="3478">
        <v>21.422301000000001</v>
      </c>
    </row>
    <row r="456" spans="2:3">
      <c r="B456" s="3477" t="s">
        <v>4017</v>
      </c>
      <c r="C456" s="3478">
        <v>19.29251</v>
      </c>
    </row>
    <row r="457" spans="2:3">
      <c r="B457" s="3477" t="s">
        <v>4016</v>
      </c>
      <c r="C457" s="3478">
        <v>3.3957290000000002</v>
      </c>
    </row>
    <row r="458" spans="2:3">
      <c r="B458" s="3477" t="s">
        <v>4015</v>
      </c>
      <c r="C458" s="3478">
        <v>8.1292360000000006</v>
      </c>
    </row>
    <row r="459" spans="2:3">
      <c r="B459" s="3477" t="s">
        <v>4014</v>
      </c>
      <c r="C459" s="3478">
        <v>28.400289999999998</v>
      </c>
    </row>
    <row r="460" spans="2:3">
      <c r="B460" s="3477" t="s">
        <v>4013</v>
      </c>
      <c r="C460" s="3478">
        <v>6.7259520000000004</v>
      </c>
    </row>
    <row r="461" spans="2:3">
      <c r="B461" s="3477" t="s">
        <v>4012</v>
      </c>
      <c r="C461" s="3478">
        <v>2.9842629999999999</v>
      </c>
    </row>
    <row r="462" spans="2:3">
      <c r="B462" s="3477" t="s">
        <v>4011</v>
      </c>
      <c r="C462" s="3478">
        <v>3.726871</v>
      </c>
    </row>
    <row r="463" spans="2:3">
      <c r="B463" s="3477" t="s">
        <v>4010</v>
      </c>
      <c r="C463" s="3478">
        <v>6.7006410000000001</v>
      </c>
    </row>
    <row r="464" spans="2:3">
      <c r="B464" s="3477" t="s">
        <v>4009</v>
      </c>
      <c r="C464" s="3478">
        <v>3.2591410000000001</v>
      </c>
    </row>
    <row r="465" spans="2:3">
      <c r="B465" s="3477" t="s">
        <v>4008</v>
      </c>
      <c r="C465" s="3478">
        <v>2.0235850000000002</v>
      </c>
    </row>
    <row r="466" spans="2:3">
      <c r="B466" s="3477" t="s">
        <v>4007</v>
      </c>
      <c r="C466" s="3478">
        <v>1.2281599999999999</v>
      </c>
    </row>
    <row r="467" spans="2:3">
      <c r="B467" s="3477" t="s">
        <v>4006</v>
      </c>
      <c r="C467" s="3478">
        <v>5.1215799999999998</v>
      </c>
    </row>
    <row r="468" spans="2:3">
      <c r="B468" s="3477" t="s">
        <v>4005</v>
      </c>
      <c r="C468" s="3478">
        <v>2.67584</v>
      </c>
    </row>
    <row r="469" spans="2:3">
      <c r="B469" s="3477" t="s">
        <v>4004</v>
      </c>
      <c r="C469" s="3478">
        <v>10.567871999999999</v>
      </c>
    </row>
    <row r="470" spans="2:3">
      <c r="B470" s="3477" t="s">
        <v>4003</v>
      </c>
      <c r="C470" s="3478">
        <v>1.4370000000000001</v>
      </c>
    </row>
    <row r="471" spans="2:3">
      <c r="B471" s="3477" t="s">
        <v>4002</v>
      </c>
      <c r="C471" s="3478">
        <v>7.7109649999999998</v>
      </c>
    </row>
    <row r="472" spans="2:3">
      <c r="B472" s="3477" t="s">
        <v>4001</v>
      </c>
      <c r="C472" s="3478">
        <v>1.6250249999999999</v>
      </c>
    </row>
    <row r="473" spans="2:3">
      <c r="B473" s="3477" t="s">
        <v>4000</v>
      </c>
      <c r="C473" s="3478">
        <v>5.3467500000000001</v>
      </c>
    </row>
    <row r="474" spans="2:3">
      <c r="B474" s="3477" t="s">
        <v>3999</v>
      </c>
      <c r="C474" s="3478">
        <v>2.8915700000000002</v>
      </c>
    </row>
    <row r="475" spans="2:3">
      <c r="B475" s="3477" t="s">
        <v>3998</v>
      </c>
      <c r="C475" s="3478">
        <v>3.0276000000000001</v>
      </c>
    </row>
    <row r="476" spans="2:3">
      <c r="B476" s="3477" t="s">
        <v>3997</v>
      </c>
      <c r="C476" s="3478">
        <v>2.3987400000000001</v>
      </c>
    </row>
    <row r="477" spans="2:3">
      <c r="B477" s="3477" t="s">
        <v>3996</v>
      </c>
      <c r="C477" s="3478">
        <v>2.1504150000000002</v>
      </c>
    </row>
    <row r="478" spans="2:3">
      <c r="B478" s="3477" t="s">
        <v>3995</v>
      </c>
      <c r="C478" s="3478">
        <v>1.4370000000000001</v>
      </c>
    </row>
    <row r="479" spans="2:3">
      <c r="B479" s="3477" t="s">
        <v>3994</v>
      </c>
      <c r="C479" s="3478">
        <v>1.197767</v>
      </c>
    </row>
    <row r="480" spans="2:3">
      <c r="B480" s="3477" t="s">
        <v>3993</v>
      </c>
      <c r="C480" s="3478">
        <v>0.56983099999999998</v>
      </c>
    </row>
    <row r="481" spans="2:3">
      <c r="B481" s="3477" t="s">
        <v>3992</v>
      </c>
      <c r="C481" s="3478">
        <v>0.26950000000000002</v>
      </c>
    </row>
    <row r="482" spans="2:3">
      <c r="B482" s="3477" t="s">
        <v>3991</v>
      </c>
      <c r="C482" s="3478">
        <v>1.6164000000000001</v>
      </c>
    </row>
    <row r="483" spans="2:3">
      <c r="B483" s="3477" t="s">
        <v>3990</v>
      </c>
      <c r="C483" s="3478">
        <v>3.4529000000000001</v>
      </c>
    </row>
    <row r="484" spans="2:3">
      <c r="B484" s="3477" t="s">
        <v>3989</v>
      </c>
      <c r="C484" s="3478">
        <v>6.4770989999999999</v>
      </c>
    </row>
    <row r="485" spans="2:3">
      <c r="B485" s="3477" t="s">
        <v>3988</v>
      </c>
      <c r="C485" s="3478">
        <v>2.61008</v>
      </c>
    </row>
    <row r="486" spans="2:3">
      <c r="B486" s="3477" t="s">
        <v>3987</v>
      </c>
      <c r="C486" s="3478">
        <v>1.9299280000000001</v>
      </c>
    </row>
    <row r="487" spans="2:3">
      <c r="B487" s="3477" t="s">
        <v>3986</v>
      </c>
      <c r="C487" s="3478">
        <v>5.3635799999999998</v>
      </c>
    </row>
    <row r="488" spans="2:3">
      <c r="B488" s="3477" t="s">
        <v>3985</v>
      </c>
      <c r="C488" s="3478">
        <v>2.947092</v>
      </c>
    </row>
    <row r="489" spans="2:3">
      <c r="C489" s="3478">
        <f>SUM(C4:C488)</f>
        <v>18512.987979000041</v>
      </c>
    </row>
  </sheetData>
  <autoFilter ref="B3:C488"/>
  <mergeCells count="1">
    <mergeCell ref="B2:C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E1" workbookViewId="0">
      <selection activeCell="L42" sqref="L42"/>
    </sheetView>
  </sheetViews>
  <sheetFormatPr defaultRowHeight="13.5"/>
  <cols>
    <col min="1" max="1" width="11.625" style="3452" customWidth="1"/>
    <col min="2" max="2" width="10.875" style="3452" customWidth="1"/>
    <col min="3" max="3" width="13.375" style="3452" customWidth="1"/>
    <col min="4" max="4" width="9" style="3452"/>
    <col min="5" max="5" width="12.125" style="3452" customWidth="1"/>
    <col min="6" max="6" width="18.25" style="3452" customWidth="1"/>
    <col min="7" max="7" width="15.75" style="3452" customWidth="1"/>
    <col min="8" max="8" width="16.875" style="3452" customWidth="1"/>
    <col min="9" max="9" width="9" style="3452"/>
    <col min="10" max="10" width="13" style="3452" bestFit="1" customWidth="1"/>
    <col min="11" max="11" width="9" style="3452"/>
    <col min="12" max="13" width="12.75" style="3452" bestFit="1" customWidth="1"/>
    <col min="14" max="15" width="9" style="3452"/>
    <col min="16" max="16" width="10.5" style="3452" bestFit="1" customWidth="1"/>
    <col min="17" max="16384" width="9" style="3452"/>
  </cols>
  <sheetData>
    <row r="1" spans="1:14">
      <c r="A1" s="3451" t="s">
        <v>3523</v>
      </c>
      <c r="B1" s="3452">
        <v>24498.84</v>
      </c>
    </row>
    <row r="2" spans="1:14">
      <c r="E2" s="3453" t="s">
        <v>3524</v>
      </c>
      <c r="F2" s="3454"/>
      <c r="G2" s="3454"/>
      <c r="H2" s="3453"/>
      <c r="J2" s="3454"/>
      <c r="K2" s="3453" t="s">
        <v>3525</v>
      </c>
      <c r="L2" s="3453" t="s">
        <v>3526</v>
      </c>
      <c r="M2" s="3455" t="s">
        <v>3527</v>
      </c>
    </row>
    <row r="3" spans="1:14">
      <c r="E3" s="3454"/>
      <c r="F3" s="3453" t="s">
        <v>3528</v>
      </c>
      <c r="G3" s="3453" t="s">
        <v>3529</v>
      </c>
      <c r="H3" s="3453" t="s">
        <v>3530</v>
      </c>
      <c r="J3" s="3454" t="s">
        <v>3531</v>
      </c>
      <c r="K3" s="3454">
        <f>'数据-汇总表'!F19</f>
        <v>85551.93</v>
      </c>
      <c r="L3" s="3454">
        <f ca="1">结果表!D118*'土地比较法-住宅、综合'!F56/'土地比较法-住宅、综合'!F65+结果表!G118*面积指标!K3/10000</f>
        <v>253194.36640012998</v>
      </c>
      <c r="M3" s="3454">
        <f ca="1">ROUND(L3/K3*10000,0)</f>
        <v>29595</v>
      </c>
    </row>
    <row r="4" spans="1:14">
      <c r="A4" s="3453" t="s">
        <v>3532</v>
      </c>
      <c r="B4" s="3453" t="s">
        <v>3533</v>
      </c>
      <c r="C4" s="3454">
        <v>47.62</v>
      </c>
      <c r="E4" s="3453" t="s">
        <v>3532</v>
      </c>
      <c r="F4" s="3453">
        <v>17244.13</v>
      </c>
      <c r="G4" s="3453">
        <v>12518.16</v>
      </c>
      <c r="H4" s="3453">
        <f>F4-G4</f>
        <v>4725.9700000000012</v>
      </c>
      <c r="J4" s="3453" t="s">
        <v>3534</v>
      </c>
      <c r="K4" s="3454">
        <f>G37</f>
        <v>15467.050000000001</v>
      </c>
      <c r="L4" s="3454">
        <f ca="1">结果表!D118*'土地比较法-住宅、综合'!F57/'土地比较法-住宅、综合'!F65+结果表!G118*面积指标!K4/10000</f>
        <v>17147.498189490572</v>
      </c>
      <c r="M4" s="3454">
        <f t="shared" ref="M4:M6" ca="1" si="0">ROUND(L4/K4*10000,0)</f>
        <v>11086</v>
      </c>
    </row>
    <row r="5" spans="1:14">
      <c r="A5" s="3454"/>
      <c r="B5" s="3453" t="s">
        <v>3535</v>
      </c>
      <c r="C5" s="3454">
        <v>47.62</v>
      </c>
      <c r="E5" s="3453" t="s">
        <v>3536</v>
      </c>
      <c r="F5" s="3453">
        <v>17106.86</v>
      </c>
      <c r="G5" s="3453">
        <v>118.42</v>
      </c>
      <c r="H5" s="3453">
        <f t="shared" ref="H5:H13" si="1">F5-G5</f>
        <v>16988.440000000002</v>
      </c>
      <c r="J5" s="3453" t="s">
        <v>3537</v>
      </c>
      <c r="K5" s="3454">
        <f>H37</f>
        <v>2669.4900000000071</v>
      </c>
      <c r="L5" s="3454">
        <f ca="1">结果表!D118*'土地比较法-住宅、综合'!F58/'土地比较法-住宅、综合'!F65+结果表!G118*面积指标!K5/10000</f>
        <v>2523.5243838171241</v>
      </c>
      <c r="M5" s="3454">
        <f t="shared" ca="1" si="0"/>
        <v>9453</v>
      </c>
    </row>
    <row r="6" spans="1:14">
      <c r="A6" s="3454"/>
      <c r="B6" s="3453" t="s">
        <v>3538</v>
      </c>
      <c r="C6" s="3454">
        <v>46.06</v>
      </c>
      <c r="E6" s="3453" t="s">
        <v>3539</v>
      </c>
      <c r="F6" s="3453">
        <v>15606.7</v>
      </c>
      <c r="G6" s="3453">
        <v>139.65</v>
      </c>
      <c r="H6" s="3453">
        <f t="shared" si="1"/>
        <v>15467.050000000001</v>
      </c>
      <c r="J6" s="3454" t="s">
        <v>3540</v>
      </c>
      <c r="K6" s="3454">
        <f>'数据-基础表'!M13</f>
        <v>16275.06</v>
      </c>
      <c r="L6" s="3454">
        <f ca="1">结果表!D118*'土地比较法-住宅、综合'!F63/'土地比较法-住宅、综合'!F65+结果表!G118*面积指标!K6/10000</f>
        <v>14057.0878395623</v>
      </c>
      <c r="M6" s="3454">
        <f t="shared" ca="1" si="0"/>
        <v>8637</v>
      </c>
      <c r="N6" s="3456"/>
    </row>
    <row r="7" spans="1:14">
      <c r="A7" s="3454"/>
      <c r="B7" s="3453" t="s">
        <v>3541</v>
      </c>
      <c r="C7" s="3454">
        <v>46.06</v>
      </c>
      <c r="E7" s="3453" t="s">
        <v>3542</v>
      </c>
      <c r="F7" s="3453">
        <v>14406.6</v>
      </c>
      <c r="G7" s="3453">
        <v>86.49</v>
      </c>
      <c r="H7" s="3453">
        <f>F7-G7</f>
        <v>14320.11</v>
      </c>
      <c r="J7" s="3454"/>
      <c r="K7" s="3454">
        <f>SUM(K3:K6)</f>
        <v>119963.53</v>
      </c>
      <c r="L7" s="3454">
        <f ca="1">ROUND(SUM(L3:L6),0)</f>
        <v>286922</v>
      </c>
      <c r="M7" s="3454"/>
      <c r="N7" s="3456"/>
    </row>
    <row r="8" spans="1:14">
      <c r="A8" s="3454"/>
      <c r="B8" s="3453" t="s">
        <v>3543</v>
      </c>
      <c r="C8" s="3454">
        <v>46.06</v>
      </c>
      <c r="E8" s="3453" t="s">
        <v>3544</v>
      </c>
      <c r="F8" s="3453">
        <v>14588.99</v>
      </c>
      <c r="G8" s="3453"/>
      <c r="H8" s="3453">
        <f t="shared" si="1"/>
        <v>14588.99</v>
      </c>
    </row>
    <row r="9" spans="1:14">
      <c r="A9" s="3454"/>
      <c r="B9" s="3453" t="s">
        <v>3545</v>
      </c>
      <c r="C9" s="3454">
        <v>49.56</v>
      </c>
      <c r="E9" s="3453" t="s">
        <v>3546</v>
      </c>
      <c r="F9" s="3453">
        <v>14713.93</v>
      </c>
      <c r="G9" s="3453"/>
      <c r="H9" s="3453">
        <f t="shared" si="1"/>
        <v>14713.93</v>
      </c>
    </row>
    <row r="10" spans="1:14">
      <c r="A10" s="3454"/>
      <c r="B10" s="3453" t="s">
        <v>3547</v>
      </c>
      <c r="C10" s="3454">
        <v>47.62</v>
      </c>
      <c r="E10" s="3453" t="s">
        <v>3548</v>
      </c>
      <c r="F10" s="3453">
        <v>14715.7</v>
      </c>
      <c r="G10" s="3453"/>
      <c r="H10" s="3453">
        <f t="shared" si="1"/>
        <v>14715.7</v>
      </c>
    </row>
    <row r="11" spans="1:14">
      <c r="A11" s="3454"/>
      <c r="B11" s="3453" t="s">
        <v>3549</v>
      </c>
      <c r="C11" s="3454">
        <v>48.57</v>
      </c>
      <c r="E11" s="3453" t="s">
        <v>3550</v>
      </c>
      <c r="F11" s="3453">
        <v>14978.2</v>
      </c>
      <c r="G11" s="3453"/>
      <c r="H11" s="3453">
        <f t="shared" si="1"/>
        <v>14978.2</v>
      </c>
    </row>
    <row r="12" spans="1:14">
      <c r="A12" s="3454"/>
      <c r="B12" s="3453" t="s">
        <v>3551</v>
      </c>
      <c r="C12" s="3454">
        <v>48.57</v>
      </c>
      <c r="E12" s="3453" t="s">
        <v>3552</v>
      </c>
      <c r="F12" s="3453">
        <v>12235</v>
      </c>
      <c r="G12" s="3453"/>
      <c r="H12" s="3453">
        <f t="shared" si="1"/>
        <v>12235</v>
      </c>
    </row>
    <row r="13" spans="1:14">
      <c r="A13" s="3454"/>
      <c r="B13" s="3453" t="s">
        <v>3553</v>
      </c>
      <c r="C13" s="3454">
        <v>48.57</v>
      </c>
      <c r="E13" s="3453" t="s">
        <v>3554</v>
      </c>
      <c r="F13" s="3453">
        <v>378.24</v>
      </c>
      <c r="G13" s="3454"/>
      <c r="H13" s="3453">
        <f t="shared" si="1"/>
        <v>378.24</v>
      </c>
    </row>
    <row r="14" spans="1:14">
      <c r="A14" s="3454"/>
      <c r="B14" s="3453" t="s">
        <v>3555</v>
      </c>
      <c r="C14" s="3454">
        <v>48.57</v>
      </c>
      <c r="E14" s="3454"/>
      <c r="F14" s="3453">
        <f>SUM(F4:F13)</f>
        <v>135974.34999999998</v>
      </c>
      <c r="G14" s="3454">
        <f>SUM(G4:G12)</f>
        <v>12862.72</v>
      </c>
      <c r="H14" s="3454">
        <f>SUM(H4:H13)</f>
        <v>123111.63000000002</v>
      </c>
    </row>
    <row r="15" spans="1:14">
      <c r="A15" s="3454"/>
      <c r="B15" s="3453" t="s">
        <v>3556</v>
      </c>
      <c r="C15" s="3454">
        <v>48.57</v>
      </c>
    </row>
    <row r="16" spans="1:14">
      <c r="A16" s="3454"/>
      <c r="B16" s="3453" t="s">
        <v>3557</v>
      </c>
      <c r="C16" s="3454">
        <v>45.68</v>
      </c>
      <c r="E16" s="3454"/>
      <c r="F16" s="3453" t="s">
        <v>3558</v>
      </c>
      <c r="G16" s="3453" t="s">
        <v>3559</v>
      </c>
      <c r="H16" s="3453" t="s">
        <v>3560</v>
      </c>
    </row>
    <row r="17" spans="1:16">
      <c r="A17" s="3454"/>
      <c r="B17" s="3453" t="s">
        <v>3561</v>
      </c>
      <c r="C17" s="3454">
        <v>45.68</v>
      </c>
      <c r="E17" s="3457" t="s">
        <v>3562</v>
      </c>
      <c r="F17" s="3454">
        <f>C37</f>
        <v>1587.42</v>
      </c>
      <c r="G17" s="3454">
        <f>H4</f>
        <v>4725.9700000000012</v>
      </c>
      <c r="H17" s="3454">
        <f>F17-G17</f>
        <v>-3138.5500000000011</v>
      </c>
      <c r="J17" s="3451" t="s">
        <v>3563</v>
      </c>
      <c r="K17" s="3451" t="s">
        <v>3564</v>
      </c>
    </row>
    <row r="18" spans="1:16">
      <c r="A18" s="3454"/>
      <c r="B18" s="3453" t="s">
        <v>3565</v>
      </c>
      <c r="C18" s="3454">
        <v>44.69</v>
      </c>
      <c r="E18" s="3457" t="s">
        <v>3566</v>
      </c>
      <c r="F18" s="3454">
        <f>C338</f>
        <v>14687.639999999994</v>
      </c>
      <c r="G18" s="3454">
        <f>H5</f>
        <v>16988.440000000002</v>
      </c>
      <c r="H18" s="3454">
        <f t="shared" ref="H18:H21" si="2">F18-G18</f>
        <v>-2300.8000000000084</v>
      </c>
      <c r="J18" s="3452">
        <v>2434.54</v>
      </c>
      <c r="K18" s="3452">
        <v>378.24</v>
      </c>
    </row>
    <row r="19" spans="1:16">
      <c r="A19" s="3454"/>
      <c r="B19" s="3453" t="s">
        <v>3567</v>
      </c>
      <c r="C19" s="3454">
        <v>52.99</v>
      </c>
      <c r="E19" s="3457" t="s">
        <v>3568</v>
      </c>
      <c r="F19" s="3454">
        <f>C339</f>
        <v>103688.47</v>
      </c>
      <c r="G19" s="3454">
        <f>SUM(H6:H12)</f>
        <v>101018.98</v>
      </c>
      <c r="H19" s="3454">
        <f t="shared" si="2"/>
        <v>2669.4900000000052</v>
      </c>
    </row>
    <row r="20" spans="1:16">
      <c r="A20" s="3454"/>
      <c r="B20" s="3453" t="s">
        <v>3569</v>
      </c>
      <c r="C20" s="3454">
        <v>52.99</v>
      </c>
      <c r="E20" s="3458" t="s">
        <v>3564</v>
      </c>
      <c r="F20" s="3454"/>
      <c r="G20" s="3454">
        <v>378.24</v>
      </c>
      <c r="H20" s="3454">
        <f t="shared" si="2"/>
        <v>-378.24</v>
      </c>
    </row>
    <row r="21" spans="1:16">
      <c r="A21" s="3454"/>
      <c r="B21" s="3453" t="s">
        <v>3570</v>
      </c>
      <c r="C21" s="3454">
        <v>52.99</v>
      </c>
      <c r="E21" s="3457" t="s">
        <v>2587</v>
      </c>
      <c r="F21" s="3454">
        <f>SUM(F17:F19)</f>
        <v>119963.53</v>
      </c>
      <c r="G21" s="3454">
        <f>SUM(G17:G20)</f>
        <v>123111.63</v>
      </c>
      <c r="H21" s="3454">
        <f t="shared" si="2"/>
        <v>-3148.1000000000058</v>
      </c>
    </row>
    <row r="22" spans="1:16">
      <c r="A22" s="3454"/>
      <c r="B22" s="3453" t="s">
        <v>3571</v>
      </c>
      <c r="C22" s="3454">
        <v>49.07</v>
      </c>
    </row>
    <row r="23" spans="1:16">
      <c r="A23" s="3454"/>
      <c r="B23" s="3453" t="s">
        <v>3572</v>
      </c>
      <c r="C23" s="3454">
        <v>49.07</v>
      </c>
    </row>
    <row r="24" spans="1:16">
      <c r="A24" s="3454"/>
      <c r="B24" s="3453" t="s">
        <v>3573</v>
      </c>
      <c r="C24" s="3454">
        <v>49.07</v>
      </c>
      <c r="E24" s="3458" t="s">
        <v>3574</v>
      </c>
      <c r="F24" s="3454"/>
      <c r="J24" s="3454" t="s">
        <v>3575</v>
      </c>
      <c r="K24" s="3454" t="s">
        <v>3576</v>
      </c>
      <c r="L24" s="3453" t="s">
        <v>3577</v>
      </c>
      <c r="M24" s="3454" t="s">
        <v>3578</v>
      </c>
      <c r="N24" s="3454" t="s">
        <v>3579</v>
      </c>
      <c r="O24" s="3454"/>
      <c r="P24" s="3454"/>
    </row>
    <row r="25" spans="1:16">
      <c r="A25" s="3454"/>
      <c r="B25" s="3453" t="s">
        <v>3580</v>
      </c>
      <c r="C25" s="3454">
        <v>49.07</v>
      </c>
      <c r="E25" s="3457" t="s">
        <v>3581</v>
      </c>
      <c r="F25" s="3454">
        <v>16275.06</v>
      </c>
      <c r="J25" s="3454">
        <v>1</v>
      </c>
      <c r="K25" s="3454">
        <v>1</v>
      </c>
      <c r="L25" s="3454">
        <v>40000</v>
      </c>
      <c r="M25" s="3454">
        <v>10</v>
      </c>
      <c r="N25" s="3454">
        <f>H7</f>
        <v>14320.11</v>
      </c>
      <c r="O25" s="3454">
        <f>M25*N25</f>
        <v>143201.1</v>
      </c>
      <c r="P25" s="3454">
        <f>L25*N25/10000</f>
        <v>57280.44</v>
      </c>
    </row>
    <row r="26" spans="1:16">
      <c r="A26" s="3454"/>
      <c r="B26" s="3453" t="s">
        <v>3582</v>
      </c>
      <c r="C26" s="3454">
        <v>49.07</v>
      </c>
      <c r="E26" s="3457" t="s">
        <v>3583</v>
      </c>
      <c r="F26" s="3454">
        <v>103688.47</v>
      </c>
      <c r="J26" s="3454">
        <v>2</v>
      </c>
      <c r="K26" s="3454">
        <v>0.7</v>
      </c>
      <c r="L26" s="3454">
        <f>$L$25*K26</f>
        <v>28000</v>
      </c>
      <c r="M26" s="3454">
        <f t="shared" ref="M26:M32" si="3">$M$25*K26</f>
        <v>7</v>
      </c>
      <c r="N26" s="3454">
        <f t="shared" ref="N26:N30" si="4">H8</f>
        <v>14588.99</v>
      </c>
      <c r="O26" s="3454">
        <f t="shared" ref="O26:O33" si="5">M26*N26</f>
        <v>102122.93</v>
      </c>
      <c r="P26" s="3454">
        <f t="shared" ref="P26:P32" si="6">L26*N26/10000</f>
        <v>40849.171999999999</v>
      </c>
    </row>
    <row r="27" spans="1:16">
      <c r="A27" s="3454"/>
      <c r="B27" s="3453" t="s">
        <v>3584</v>
      </c>
      <c r="C27" s="3454">
        <v>49.07</v>
      </c>
      <c r="E27" s="3457" t="s">
        <v>3585</v>
      </c>
      <c r="F27" s="3454">
        <v>2434.54</v>
      </c>
      <c r="J27" s="3454">
        <v>3</v>
      </c>
      <c r="K27" s="3454">
        <v>0.6</v>
      </c>
      <c r="L27" s="3454">
        <f t="shared" ref="L27:L32" si="7">$L$25*K27</f>
        <v>24000</v>
      </c>
      <c r="M27" s="3454">
        <f t="shared" si="3"/>
        <v>6</v>
      </c>
      <c r="N27" s="3454">
        <f t="shared" si="4"/>
        <v>14713.93</v>
      </c>
      <c r="O27" s="3454">
        <f t="shared" si="5"/>
        <v>88283.58</v>
      </c>
      <c r="P27" s="3454">
        <f t="shared" si="6"/>
        <v>35313.432000000001</v>
      </c>
    </row>
    <row r="28" spans="1:16">
      <c r="A28" s="3454"/>
      <c r="B28" s="3453" t="s">
        <v>3586</v>
      </c>
      <c r="C28" s="3454">
        <v>46.51</v>
      </c>
      <c r="E28" s="3457" t="s">
        <v>2587</v>
      </c>
      <c r="F28" s="3454">
        <f>SUM(F25:F27)</f>
        <v>122398.06999999999</v>
      </c>
      <c r="J28" s="3454">
        <v>4</v>
      </c>
      <c r="K28" s="3454">
        <v>0.5</v>
      </c>
      <c r="L28" s="3454">
        <f t="shared" si="7"/>
        <v>20000</v>
      </c>
      <c r="M28" s="3454">
        <f t="shared" si="3"/>
        <v>5</v>
      </c>
      <c r="N28" s="3454">
        <f t="shared" si="4"/>
        <v>14715.7</v>
      </c>
      <c r="O28" s="3454">
        <f t="shared" si="5"/>
        <v>73578.5</v>
      </c>
      <c r="P28" s="3454">
        <f t="shared" si="6"/>
        <v>29431.4</v>
      </c>
    </row>
    <row r="29" spans="1:16">
      <c r="A29" s="3454"/>
      <c r="B29" s="3453" t="s">
        <v>3587</v>
      </c>
      <c r="C29" s="3454">
        <v>46.51</v>
      </c>
      <c r="J29" s="3454">
        <v>5</v>
      </c>
      <c r="K29" s="3454">
        <v>0.5</v>
      </c>
      <c r="L29" s="3454">
        <f t="shared" si="7"/>
        <v>20000</v>
      </c>
      <c r="M29" s="3454">
        <f t="shared" si="3"/>
        <v>5</v>
      </c>
      <c r="N29" s="3454">
        <f t="shared" si="4"/>
        <v>14978.2</v>
      </c>
      <c r="O29" s="3454">
        <f t="shared" si="5"/>
        <v>74891</v>
      </c>
      <c r="P29" s="3454">
        <f t="shared" si="6"/>
        <v>29956.400000000001</v>
      </c>
    </row>
    <row r="30" spans="1:16">
      <c r="A30" s="3454"/>
      <c r="B30" s="3453" t="s">
        <v>3588</v>
      </c>
      <c r="C30" s="3454">
        <v>46.51</v>
      </c>
      <c r="E30" s="3458" t="s">
        <v>3583</v>
      </c>
      <c r="F30" s="3453" t="s">
        <v>3589</v>
      </c>
      <c r="G30" s="3453" t="s">
        <v>3590</v>
      </c>
      <c r="H30" s="3455" t="s">
        <v>3591</v>
      </c>
      <c r="J30" s="3454">
        <v>6</v>
      </c>
      <c r="K30" s="3454">
        <v>0.5</v>
      </c>
      <c r="L30" s="3454">
        <f t="shared" si="7"/>
        <v>20000</v>
      </c>
      <c r="M30" s="3454">
        <f t="shared" si="3"/>
        <v>5</v>
      </c>
      <c r="N30" s="3454">
        <f t="shared" si="4"/>
        <v>12235</v>
      </c>
      <c r="O30" s="3454">
        <f t="shared" si="5"/>
        <v>61175</v>
      </c>
      <c r="P30" s="3454">
        <f t="shared" si="6"/>
        <v>24470</v>
      </c>
    </row>
    <row r="31" spans="1:16">
      <c r="A31" s="3454"/>
      <c r="B31" s="3453" t="s">
        <v>3592</v>
      </c>
      <c r="C31" s="3454">
        <v>47.5</v>
      </c>
      <c r="E31" s="3458" t="s">
        <v>3542</v>
      </c>
      <c r="F31" s="3453">
        <f t="shared" ref="F31:F36" si="8">H7</f>
        <v>14320.11</v>
      </c>
      <c r="G31" s="3454"/>
      <c r="H31" s="3454"/>
      <c r="J31" s="3453" t="s">
        <v>3593</v>
      </c>
      <c r="K31" s="3454">
        <v>0.6</v>
      </c>
      <c r="L31" s="3454">
        <f t="shared" si="7"/>
        <v>24000</v>
      </c>
      <c r="M31" s="3454">
        <f t="shared" si="3"/>
        <v>6</v>
      </c>
      <c r="N31" s="3454">
        <f>G37</f>
        <v>15467.050000000001</v>
      </c>
      <c r="O31" s="3454">
        <f t="shared" si="5"/>
        <v>92802.3</v>
      </c>
      <c r="P31" s="3454">
        <f t="shared" si="6"/>
        <v>37120.92</v>
      </c>
    </row>
    <row r="32" spans="1:16">
      <c r="A32" s="3454"/>
      <c r="B32" s="3453" t="s">
        <v>3594</v>
      </c>
      <c r="C32" s="3454">
        <v>47.5</v>
      </c>
      <c r="E32" s="3458" t="s">
        <v>3595</v>
      </c>
      <c r="F32" s="3453">
        <f t="shared" si="8"/>
        <v>14588.99</v>
      </c>
      <c r="G32" s="3454"/>
      <c r="H32" s="3454"/>
      <c r="J32" s="3453" t="s">
        <v>3596</v>
      </c>
      <c r="K32" s="3454">
        <v>0.4</v>
      </c>
      <c r="L32" s="3454">
        <f t="shared" si="7"/>
        <v>16000</v>
      </c>
      <c r="M32" s="3454">
        <f t="shared" si="3"/>
        <v>4</v>
      </c>
      <c r="N32" s="3454">
        <f>H37</f>
        <v>2669.4900000000071</v>
      </c>
      <c r="O32" s="3454">
        <f t="shared" si="5"/>
        <v>10677.960000000028</v>
      </c>
      <c r="P32" s="3454">
        <f t="shared" si="6"/>
        <v>4271.1840000000111</v>
      </c>
    </row>
    <row r="33" spans="1:16">
      <c r="A33" s="3454"/>
      <c r="B33" s="3453" t="s">
        <v>3597</v>
      </c>
      <c r="C33" s="3454">
        <v>47.5</v>
      </c>
      <c r="E33" s="3458" t="s">
        <v>3598</v>
      </c>
      <c r="F33" s="3453">
        <f t="shared" si="8"/>
        <v>14713.93</v>
      </c>
      <c r="G33" s="3454"/>
      <c r="H33" s="3454"/>
      <c r="J33" s="3453" t="s">
        <v>3599</v>
      </c>
      <c r="K33" s="3454"/>
      <c r="L33" s="3454"/>
      <c r="M33" s="3454">
        <f>1000/30/35</f>
        <v>0.95238095238095244</v>
      </c>
      <c r="N33" s="3454">
        <f>'数据-基础表'!M13</f>
        <v>16275.06</v>
      </c>
      <c r="O33" s="3454">
        <f t="shared" si="5"/>
        <v>15500.057142857144</v>
      </c>
      <c r="P33" s="3454"/>
    </row>
    <row r="34" spans="1:16">
      <c r="A34" s="3454"/>
      <c r="B34" s="3453" t="s">
        <v>3600</v>
      </c>
      <c r="C34" s="3454">
        <v>47.5</v>
      </c>
      <c r="E34" s="3458" t="s">
        <v>3601</v>
      </c>
      <c r="F34" s="3453">
        <f t="shared" si="8"/>
        <v>14715.7</v>
      </c>
      <c r="G34" s="3454"/>
      <c r="H34" s="3454"/>
      <c r="J34" s="3454"/>
      <c r="K34" s="3454"/>
      <c r="L34" s="3454">
        <f>P34/N34*10000</f>
        <v>21564.29941666438</v>
      </c>
      <c r="M34" s="3454">
        <f>O34/N34</f>
        <v>5.5202812650049333</v>
      </c>
      <c r="N34" s="3454">
        <f>SUM(N25:N33)</f>
        <v>119963.53</v>
      </c>
      <c r="O34" s="3454">
        <f>SUM(O25:O33)</f>
        <v>662232.42714285722</v>
      </c>
      <c r="P34" s="3454">
        <f>SUM(P25:P33)</f>
        <v>258692.94799999997</v>
      </c>
    </row>
    <row r="35" spans="1:16">
      <c r="A35" s="3454"/>
      <c r="B35" s="3453" t="s">
        <v>3602</v>
      </c>
      <c r="C35" s="3454">
        <v>47.5</v>
      </c>
      <c r="E35" s="3458" t="s">
        <v>3603</v>
      </c>
      <c r="F35" s="3453">
        <f t="shared" si="8"/>
        <v>14978.2</v>
      </c>
      <c r="G35" s="3454"/>
      <c r="H35" s="3454"/>
    </row>
    <row r="36" spans="1:16">
      <c r="A36" s="3454"/>
      <c r="B36" s="3453" t="s">
        <v>3604</v>
      </c>
      <c r="C36" s="3454">
        <v>47.5</v>
      </c>
      <c r="E36" s="3458" t="s">
        <v>3605</v>
      </c>
      <c r="F36" s="3453">
        <f t="shared" si="8"/>
        <v>12235</v>
      </c>
      <c r="G36" s="3454"/>
      <c r="H36" s="3454"/>
    </row>
    <row r="37" spans="1:16">
      <c r="A37" s="3459" t="s">
        <v>3606</v>
      </c>
      <c r="B37" s="3460"/>
      <c r="C37" s="3460">
        <f>SUM(C4:C36)</f>
        <v>1587.42</v>
      </c>
      <c r="E37" s="3458" t="s">
        <v>3607</v>
      </c>
      <c r="F37" s="3455">
        <f>F26-SUM(F31:F36)</f>
        <v>18136.540000000008</v>
      </c>
      <c r="G37" s="3454">
        <f>H6</f>
        <v>15467.050000000001</v>
      </c>
      <c r="H37" s="3454">
        <f>F37-G37</f>
        <v>2669.4900000000071</v>
      </c>
    </row>
    <row r="38" spans="1:16">
      <c r="A38" s="3453" t="s">
        <v>3608</v>
      </c>
      <c r="B38" s="3453" t="s">
        <v>3609</v>
      </c>
      <c r="C38" s="3454">
        <v>48.57</v>
      </c>
    </row>
    <row r="39" spans="1:16">
      <c r="A39" s="3454"/>
      <c r="B39" s="3453" t="s">
        <v>3610</v>
      </c>
      <c r="C39" s="3454">
        <v>48.57</v>
      </c>
    </row>
    <row r="40" spans="1:16">
      <c r="A40" s="3454"/>
      <c r="B40" s="3453" t="s">
        <v>3611</v>
      </c>
      <c r="C40" s="3454">
        <v>48.57</v>
      </c>
      <c r="E40" s="3454"/>
      <c r="F40" s="3454" t="s">
        <v>3612</v>
      </c>
      <c r="G40" s="3454" t="s">
        <v>3613</v>
      </c>
      <c r="H40" s="3454" t="s">
        <v>3614</v>
      </c>
    </row>
    <row r="41" spans="1:16">
      <c r="A41" s="3454"/>
      <c r="B41" s="3453" t="s">
        <v>3615</v>
      </c>
      <c r="C41" s="3454">
        <v>48.57</v>
      </c>
      <c r="E41" s="3454" t="s">
        <v>3616</v>
      </c>
      <c r="F41" s="3454">
        <v>242415</v>
      </c>
      <c r="G41" s="3454">
        <v>267181</v>
      </c>
      <c r="H41" s="3454">
        <v>254798</v>
      </c>
    </row>
    <row r="42" spans="1:16">
      <c r="A42" s="3454"/>
      <c r="B42" s="3453" t="s">
        <v>3617</v>
      </c>
      <c r="C42" s="3454">
        <v>48.57</v>
      </c>
      <c r="E42" s="3454" t="s">
        <v>3618</v>
      </c>
      <c r="F42" s="3454">
        <v>357444</v>
      </c>
      <c r="G42" s="3454">
        <v>182398</v>
      </c>
      <c r="H42" s="3454">
        <v>252416</v>
      </c>
    </row>
    <row r="43" spans="1:16">
      <c r="A43" s="3454"/>
      <c r="B43" s="3453" t="s">
        <v>3619</v>
      </c>
      <c r="C43" s="3454">
        <v>48.57</v>
      </c>
    </row>
    <row r="44" spans="1:16">
      <c r="A44" s="3454"/>
      <c r="B44" s="3453" t="s">
        <v>3620</v>
      </c>
      <c r="C44" s="3454">
        <v>48.57</v>
      </c>
    </row>
    <row r="45" spans="1:16">
      <c r="A45" s="3454"/>
      <c r="B45" s="3453" t="s">
        <v>3621</v>
      </c>
      <c r="C45" s="3454">
        <v>48.57</v>
      </c>
    </row>
    <row r="46" spans="1:16">
      <c r="A46" s="3454"/>
      <c r="B46" s="3453" t="s">
        <v>3622</v>
      </c>
      <c r="C46" s="3454">
        <v>48.57</v>
      </c>
    </row>
    <row r="47" spans="1:16">
      <c r="A47" s="3454"/>
      <c r="B47" s="3453" t="s">
        <v>3623</v>
      </c>
      <c r="C47" s="3454">
        <v>48.57</v>
      </c>
    </row>
    <row r="48" spans="1:16">
      <c r="A48" s="3454"/>
      <c r="B48" s="3453" t="s">
        <v>3624</v>
      </c>
      <c r="C48" s="3454">
        <v>48.57</v>
      </c>
    </row>
    <row r="49" spans="1:3">
      <c r="A49" s="3454"/>
      <c r="B49" s="3453" t="s">
        <v>3625</v>
      </c>
      <c r="C49" s="3454">
        <v>48.57</v>
      </c>
    </row>
    <row r="50" spans="1:3">
      <c r="A50" s="3454"/>
      <c r="B50" s="3453" t="s">
        <v>3626</v>
      </c>
      <c r="C50" s="3454">
        <v>48.57</v>
      </c>
    </row>
    <row r="51" spans="1:3">
      <c r="A51" s="3454"/>
      <c r="B51" s="3453" t="s">
        <v>3627</v>
      </c>
      <c r="C51" s="3454">
        <v>48.57</v>
      </c>
    </row>
    <row r="52" spans="1:3">
      <c r="A52" s="3454"/>
      <c r="B52" s="3453" t="s">
        <v>3628</v>
      </c>
      <c r="C52" s="3454">
        <v>48.57</v>
      </c>
    </row>
    <row r="53" spans="1:3">
      <c r="A53" s="3454"/>
      <c r="B53" s="3453" t="s">
        <v>3629</v>
      </c>
      <c r="C53" s="3454">
        <v>48.57</v>
      </c>
    </row>
    <row r="54" spans="1:3">
      <c r="A54" s="3454"/>
      <c r="B54" s="3453" t="s">
        <v>3630</v>
      </c>
      <c r="C54" s="3454">
        <v>48.57</v>
      </c>
    </row>
    <row r="55" spans="1:3">
      <c r="A55" s="3454"/>
      <c r="B55" s="3453" t="s">
        <v>3631</v>
      </c>
      <c r="C55" s="3454">
        <v>48.57</v>
      </c>
    </row>
    <row r="56" spans="1:3">
      <c r="A56" s="3454"/>
      <c r="B56" s="3453" t="s">
        <v>3632</v>
      </c>
      <c r="C56" s="3454">
        <v>48.57</v>
      </c>
    </row>
    <row r="57" spans="1:3">
      <c r="A57" s="3454"/>
      <c r="B57" s="3453" t="s">
        <v>3633</v>
      </c>
      <c r="C57" s="3454">
        <v>48.57</v>
      </c>
    </row>
    <row r="58" spans="1:3">
      <c r="A58" s="3454"/>
      <c r="B58" s="3453" t="s">
        <v>3634</v>
      </c>
      <c r="C58" s="3454">
        <v>49.56</v>
      </c>
    </row>
    <row r="59" spans="1:3">
      <c r="A59" s="3454"/>
      <c r="B59" s="3453" t="s">
        <v>3635</v>
      </c>
      <c r="C59" s="3454">
        <v>49.56</v>
      </c>
    </row>
    <row r="60" spans="1:3">
      <c r="A60" s="3454"/>
      <c r="B60" s="3453" t="s">
        <v>3636</v>
      </c>
      <c r="C60" s="3454">
        <v>48.57</v>
      </c>
    </row>
    <row r="61" spans="1:3">
      <c r="A61" s="3454"/>
      <c r="B61" s="3453" t="s">
        <v>3637</v>
      </c>
      <c r="C61" s="3454">
        <v>48.57</v>
      </c>
    </row>
    <row r="62" spans="1:3">
      <c r="A62" s="3454"/>
      <c r="B62" s="3453" t="s">
        <v>3638</v>
      </c>
      <c r="C62" s="3454">
        <v>48.57</v>
      </c>
    </row>
    <row r="63" spans="1:3">
      <c r="A63" s="3454"/>
      <c r="B63" s="3453" t="s">
        <v>3639</v>
      </c>
      <c r="C63" s="3454">
        <v>48.57</v>
      </c>
    </row>
    <row r="64" spans="1:3">
      <c r="A64" s="3454"/>
      <c r="B64" s="3453" t="s">
        <v>3640</v>
      </c>
      <c r="C64" s="3454">
        <v>48.57</v>
      </c>
    </row>
    <row r="65" spans="1:3">
      <c r="A65" s="3454"/>
      <c r="B65" s="3453" t="s">
        <v>3641</v>
      </c>
      <c r="C65" s="3454">
        <v>48.57</v>
      </c>
    </row>
    <row r="66" spans="1:3">
      <c r="A66" s="3454"/>
      <c r="B66" s="3453" t="s">
        <v>3642</v>
      </c>
      <c r="C66" s="3454">
        <v>48.57</v>
      </c>
    </row>
    <row r="67" spans="1:3">
      <c r="A67" s="3454"/>
      <c r="B67" s="3453" t="s">
        <v>3643</v>
      </c>
      <c r="C67" s="3454">
        <v>48.57</v>
      </c>
    </row>
    <row r="68" spans="1:3">
      <c r="A68" s="3454"/>
      <c r="B68" s="3453" t="s">
        <v>3644</v>
      </c>
      <c r="C68" s="3454">
        <v>48.57</v>
      </c>
    </row>
    <row r="69" spans="1:3">
      <c r="A69" s="3454"/>
      <c r="B69" s="3453" t="s">
        <v>3645</v>
      </c>
      <c r="C69" s="3454">
        <v>48.57</v>
      </c>
    </row>
    <row r="70" spans="1:3">
      <c r="A70" s="3454"/>
      <c r="B70" s="3453" t="s">
        <v>3646</v>
      </c>
      <c r="C70" s="3454">
        <v>48.57</v>
      </c>
    </row>
    <row r="71" spans="1:3">
      <c r="A71" s="3454"/>
      <c r="B71" s="3453" t="s">
        <v>3647</v>
      </c>
      <c r="C71" s="3454">
        <v>54.97</v>
      </c>
    </row>
    <row r="72" spans="1:3">
      <c r="A72" s="3454"/>
      <c r="B72" s="3453" t="s">
        <v>3648</v>
      </c>
      <c r="C72" s="3454">
        <v>54.97</v>
      </c>
    </row>
    <row r="73" spans="1:3">
      <c r="A73" s="3454"/>
      <c r="B73" s="3453" t="s">
        <v>3649</v>
      </c>
      <c r="C73" s="3454">
        <v>54.97</v>
      </c>
    </row>
    <row r="74" spans="1:3">
      <c r="A74" s="3454"/>
      <c r="B74" s="3453" t="s">
        <v>3650</v>
      </c>
      <c r="C74" s="3454">
        <v>48.57</v>
      </c>
    </row>
    <row r="75" spans="1:3">
      <c r="A75" s="3454"/>
      <c r="B75" s="3453" t="s">
        <v>3651</v>
      </c>
      <c r="C75" s="3454">
        <v>48.57</v>
      </c>
    </row>
    <row r="76" spans="1:3">
      <c r="A76" s="3454"/>
      <c r="B76" s="3453" t="s">
        <v>3652</v>
      </c>
      <c r="C76" s="3454">
        <v>48.57</v>
      </c>
    </row>
    <row r="77" spans="1:3">
      <c r="A77" s="3454"/>
      <c r="B77" s="3453" t="s">
        <v>3653</v>
      </c>
      <c r="C77" s="3454">
        <v>68.989999999999995</v>
      </c>
    </row>
    <row r="78" spans="1:3">
      <c r="A78" s="3454"/>
      <c r="B78" s="3453" t="s">
        <v>3654</v>
      </c>
      <c r="C78" s="3454">
        <v>52.46</v>
      </c>
    </row>
    <row r="79" spans="1:3">
      <c r="A79" s="3454"/>
      <c r="B79" s="3453" t="s">
        <v>3655</v>
      </c>
      <c r="C79" s="3454">
        <v>48.57</v>
      </c>
    </row>
    <row r="80" spans="1:3">
      <c r="A80" s="3454"/>
      <c r="B80" s="3453" t="s">
        <v>3656</v>
      </c>
      <c r="C80" s="3454">
        <v>48.57</v>
      </c>
    </row>
    <row r="81" spans="1:3">
      <c r="A81" s="3454"/>
      <c r="B81" s="3453" t="s">
        <v>3657</v>
      </c>
      <c r="C81" s="3454">
        <v>48.57</v>
      </c>
    </row>
    <row r="82" spans="1:3">
      <c r="A82" s="3454"/>
      <c r="B82" s="3453" t="s">
        <v>3658</v>
      </c>
      <c r="C82" s="3454">
        <v>94.29</v>
      </c>
    </row>
    <row r="83" spans="1:3">
      <c r="A83" s="3454"/>
      <c r="B83" s="3453" t="s">
        <v>3659</v>
      </c>
      <c r="C83" s="3454">
        <v>46.63</v>
      </c>
    </row>
    <row r="84" spans="1:3">
      <c r="A84" s="3454"/>
      <c r="B84" s="3453" t="s">
        <v>3660</v>
      </c>
      <c r="C84" s="3454">
        <v>46.63</v>
      </c>
    </row>
    <row r="85" spans="1:3">
      <c r="A85" s="3454"/>
      <c r="B85" s="3453" t="s">
        <v>3661</v>
      </c>
      <c r="C85" s="3454">
        <v>46.63</v>
      </c>
    </row>
    <row r="86" spans="1:3">
      <c r="A86" s="3454"/>
      <c r="B86" s="3453" t="s">
        <v>3662</v>
      </c>
      <c r="C86" s="3454">
        <v>46.63</v>
      </c>
    </row>
    <row r="87" spans="1:3">
      <c r="A87" s="3454"/>
      <c r="B87" s="3453" t="s">
        <v>3663</v>
      </c>
      <c r="C87" s="3454">
        <v>46.63</v>
      </c>
    </row>
    <row r="88" spans="1:3">
      <c r="A88" s="3454"/>
      <c r="B88" s="3453" t="s">
        <v>3664</v>
      </c>
      <c r="C88" s="3454">
        <v>46.63</v>
      </c>
    </row>
    <row r="89" spans="1:3">
      <c r="A89" s="3454"/>
      <c r="B89" s="3453" t="s">
        <v>3665</v>
      </c>
      <c r="C89" s="3454">
        <v>48.57</v>
      </c>
    </row>
    <row r="90" spans="1:3">
      <c r="A90" s="3454"/>
      <c r="B90" s="3453" t="s">
        <v>3666</v>
      </c>
      <c r="C90" s="3454">
        <v>48.57</v>
      </c>
    </row>
    <row r="91" spans="1:3">
      <c r="A91" s="3454"/>
      <c r="B91" s="3453" t="s">
        <v>3667</v>
      </c>
      <c r="C91" s="3454">
        <v>48.57</v>
      </c>
    </row>
    <row r="92" spans="1:3">
      <c r="A92" s="3454"/>
      <c r="B92" s="3453" t="s">
        <v>3668</v>
      </c>
      <c r="C92" s="3454">
        <v>48.57</v>
      </c>
    </row>
    <row r="93" spans="1:3">
      <c r="A93" s="3454"/>
      <c r="B93" s="3453" t="s">
        <v>3669</v>
      </c>
      <c r="C93" s="3454">
        <v>48.57</v>
      </c>
    </row>
    <row r="94" spans="1:3">
      <c r="A94" s="3454"/>
      <c r="B94" s="3453" t="s">
        <v>3670</v>
      </c>
      <c r="C94" s="3454">
        <v>48.57</v>
      </c>
    </row>
    <row r="95" spans="1:3">
      <c r="A95" s="3454"/>
      <c r="B95" s="3453" t="s">
        <v>3671</v>
      </c>
      <c r="C95" s="3454">
        <v>48.57</v>
      </c>
    </row>
    <row r="96" spans="1:3">
      <c r="A96" s="3454"/>
      <c r="B96" s="3453" t="s">
        <v>3672</v>
      </c>
      <c r="C96" s="3454">
        <v>48.57</v>
      </c>
    </row>
    <row r="97" spans="1:3">
      <c r="A97" s="3454"/>
      <c r="B97" s="3453" t="s">
        <v>3673</v>
      </c>
      <c r="C97" s="3454">
        <v>48.57</v>
      </c>
    </row>
    <row r="98" spans="1:3">
      <c r="A98" s="3454"/>
      <c r="B98" s="3453" t="s">
        <v>3674</v>
      </c>
      <c r="C98" s="3454">
        <v>47.62</v>
      </c>
    </row>
    <row r="99" spans="1:3">
      <c r="A99" s="3454"/>
      <c r="B99" s="3453" t="s">
        <v>3675</v>
      </c>
      <c r="C99" s="3454">
        <v>47.62</v>
      </c>
    </row>
    <row r="100" spans="1:3">
      <c r="A100" s="3454"/>
      <c r="B100" s="3453" t="s">
        <v>3676</v>
      </c>
      <c r="C100" s="3454">
        <v>47.62</v>
      </c>
    </row>
    <row r="101" spans="1:3">
      <c r="A101" s="3454"/>
      <c r="B101" s="3453" t="s">
        <v>3677</v>
      </c>
      <c r="C101" s="3454">
        <v>48.57</v>
      </c>
    </row>
    <row r="102" spans="1:3">
      <c r="A102" s="3454"/>
      <c r="B102" s="3453" t="s">
        <v>3678</v>
      </c>
      <c r="C102" s="3454">
        <v>48.57</v>
      </c>
    </row>
    <row r="103" spans="1:3">
      <c r="A103" s="3454"/>
      <c r="B103" s="3453" t="s">
        <v>3679</v>
      </c>
      <c r="C103" s="3454">
        <v>48.57</v>
      </c>
    </row>
    <row r="104" spans="1:3">
      <c r="A104" s="3454"/>
      <c r="B104" s="3453" t="s">
        <v>3680</v>
      </c>
      <c r="C104" s="3454">
        <v>49.56</v>
      </c>
    </row>
    <row r="105" spans="1:3">
      <c r="A105" s="3454"/>
      <c r="B105" s="3453" t="s">
        <v>3681</v>
      </c>
      <c r="C105" s="3454">
        <v>47.62</v>
      </c>
    </row>
    <row r="106" spans="1:3">
      <c r="A106" s="3454"/>
      <c r="B106" s="3453" t="s">
        <v>3682</v>
      </c>
      <c r="C106" s="3454">
        <v>47.62</v>
      </c>
    </row>
    <row r="107" spans="1:3">
      <c r="A107" s="3454"/>
      <c r="B107" s="3453" t="s">
        <v>3683</v>
      </c>
      <c r="C107" s="3454">
        <v>47.62</v>
      </c>
    </row>
    <row r="108" spans="1:3">
      <c r="A108" s="3454"/>
      <c r="B108" s="3453" t="s">
        <v>3684</v>
      </c>
      <c r="C108" s="3454">
        <v>47.62</v>
      </c>
    </row>
    <row r="109" spans="1:3">
      <c r="A109" s="3454"/>
      <c r="B109" s="3453" t="s">
        <v>3685</v>
      </c>
      <c r="C109" s="3454">
        <v>48</v>
      </c>
    </row>
    <row r="110" spans="1:3">
      <c r="A110" s="3454"/>
      <c r="B110" s="3453" t="s">
        <v>3686</v>
      </c>
      <c r="C110" s="3454">
        <v>48</v>
      </c>
    </row>
    <row r="111" spans="1:3">
      <c r="A111" s="3454"/>
      <c r="B111" s="3453" t="s">
        <v>3687</v>
      </c>
      <c r="C111" s="3454">
        <v>48</v>
      </c>
    </row>
    <row r="112" spans="1:3">
      <c r="A112" s="3454"/>
      <c r="B112" s="3453" t="s">
        <v>3688</v>
      </c>
      <c r="C112" s="3454">
        <v>49.07</v>
      </c>
    </row>
    <row r="113" spans="1:3">
      <c r="A113" s="3454"/>
      <c r="B113" s="3453" t="s">
        <v>3689</v>
      </c>
      <c r="C113" s="3454">
        <v>47.5</v>
      </c>
    </row>
    <row r="114" spans="1:3">
      <c r="A114" s="3454"/>
      <c r="B114" s="3453" t="s">
        <v>3690</v>
      </c>
      <c r="C114" s="3454">
        <v>47.5</v>
      </c>
    </row>
    <row r="115" spans="1:3">
      <c r="A115" s="3454"/>
      <c r="B115" s="3453" t="s">
        <v>3691</v>
      </c>
      <c r="C115" s="3454">
        <v>47.5</v>
      </c>
    </row>
    <row r="116" spans="1:3">
      <c r="A116" s="3454"/>
      <c r="B116" s="3453" t="s">
        <v>3692</v>
      </c>
      <c r="C116" s="3454">
        <v>49.07</v>
      </c>
    </row>
    <row r="117" spans="1:3">
      <c r="A117" s="3454"/>
      <c r="B117" s="3453" t="s">
        <v>3693</v>
      </c>
      <c r="C117" s="3454">
        <v>43.31</v>
      </c>
    </row>
    <row r="118" spans="1:3">
      <c r="A118" s="3454"/>
      <c r="B118" s="3453" t="s">
        <v>3694</v>
      </c>
      <c r="C118" s="3454">
        <v>43.31</v>
      </c>
    </row>
    <row r="119" spans="1:3">
      <c r="A119" s="3454"/>
      <c r="B119" s="3453" t="s">
        <v>3695</v>
      </c>
      <c r="C119" s="3454">
        <v>43.31</v>
      </c>
    </row>
    <row r="120" spans="1:3">
      <c r="A120" s="3454"/>
      <c r="B120" s="3453" t="s">
        <v>3696</v>
      </c>
      <c r="C120" s="3454">
        <v>46.63</v>
      </c>
    </row>
    <row r="121" spans="1:3">
      <c r="A121" s="3454"/>
      <c r="B121" s="3453" t="s">
        <v>3697</v>
      </c>
      <c r="C121" s="3454">
        <v>46.63</v>
      </c>
    </row>
    <row r="122" spans="1:3">
      <c r="A122" s="3454"/>
      <c r="B122" s="3453" t="s">
        <v>3698</v>
      </c>
      <c r="C122" s="3454">
        <v>48.57</v>
      </c>
    </row>
    <row r="123" spans="1:3">
      <c r="A123" s="3454"/>
      <c r="B123" s="3453" t="s">
        <v>3699</v>
      </c>
      <c r="C123" s="3454">
        <v>48</v>
      </c>
    </row>
    <row r="124" spans="1:3">
      <c r="A124" s="3454"/>
      <c r="B124" s="3453" t="s">
        <v>3700</v>
      </c>
      <c r="C124" s="3454">
        <v>48</v>
      </c>
    </row>
    <row r="125" spans="1:3">
      <c r="A125" s="3454"/>
      <c r="B125" s="3453" t="s">
        <v>3701</v>
      </c>
      <c r="C125" s="3454">
        <v>48</v>
      </c>
    </row>
    <row r="126" spans="1:3">
      <c r="A126" s="3454"/>
      <c r="B126" s="3453" t="s">
        <v>3702</v>
      </c>
      <c r="C126" s="3454">
        <v>48.57</v>
      </c>
    </row>
    <row r="127" spans="1:3">
      <c r="A127" s="3454"/>
      <c r="B127" s="3453" t="s">
        <v>3703</v>
      </c>
      <c r="C127" s="3454">
        <v>48.57</v>
      </c>
    </row>
    <row r="128" spans="1:3">
      <c r="A128" s="3454"/>
      <c r="B128" s="3453" t="s">
        <v>3704</v>
      </c>
      <c r="C128" s="3454">
        <v>48.57</v>
      </c>
    </row>
    <row r="129" spans="1:3">
      <c r="A129" s="3454"/>
      <c r="B129" s="3453" t="s">
        <v>3705</v>
      </c>
      <c r="C129" s="3454">
        <v>48.57</v>
      </c>
    </row>
    <row r="130" spans="1:3">
      <c r="A130" s="3454"/>
      <c r="B130" s="3453" t="s">
        <v>3706</v>
      </c>
      <c r="C130" s="3454">
        <v>48.57</v>
      </c>
    </row>
    <row r="131" spans="1:3">
      <c r="A131" s="3454"/>
      <c r="B131" s="3453" t="s">
        <v>3707</v>
      </c>
      <c r="C131" s="3454">
        <v>46.86</v>
      </c>
    </row>
    <row r="132" spans="1:3">
      <c r="A132" s="3454"/>
      <c r="B132" s="3453" t="s">
        <v>3708</v>
      </c>
      <c r="C132" s="3454">
        <v>46.86</v>
      </c>
    </row>
    <row r="133" spans="1:3">
      <c r="A133" s="3454"/>
      <c r="B133" s="3453" t="s">
        <v>3709</v>
      </c>
      <c r="C133" s="3454">
        <v>46.86</v>
      </c>
    </row>
    <row r="134" spans="1:3">
      <c r="A134" s="3454"/>
      <c r="B134" s="3453" t="s">
        <v>3710</v>
      </c>
      <c r="C134" s="3454">
        <v>46.86</v>
      </c>
    </row>
    <row r="135" spans="1:3">
      <c r="A135" s="3454"/>
      <c r="B135" s="3453" t="s">
        <v>3711</v>
      </c>
      <c r="C135" s="3454">
        <v>46.86</v>
      </c>
    </row>
    <row r="136" spans="1:3">
      <c r="A136" s="3454"/>
      <c r="B136" s="3453" t="s">
        <v>3712</v>
      </c>
      <c r="C136" s="3454">
        <v>46.86</v>
      </c>
    </row>
    <row r="137" spans="1:3">
      <c r="A137" s="3454"/>
      <c r="B137" s="3453" t="s">
        <v>3713</v>
      </c>
      <c r="C137" s="3454">
        <v>46.48</v>
      </c>
    </row>
    <row r="138" spans="1:3">
      <c r="A138" s="3454"/>
      <c r="B138" s="3453" t="s">
        <v>3714</v>
      </c>
      <c r="C138" s="3454">
        <v>46.48</v>
      </c>
    </row>
    <row r="139" spans="1:3">
      <c r="A139" s="3454"/>
      <c r="B139" s="3453" t="s">
        <v>3715</v>
      </c>
      <c r="C139" s="3454">
        <v>46.48</v>
      </c>
    </row>
    <row r="140" spans="1:3">
      <c r="A140" s="3454"/>
      <c r="B140" s="3453" t="s">
        <v>3716</v>
      </c>
      <c r="C140" s="3454">
        <v>46.48</v>
      </c>
    </row>
    <row r="141" spans="1:3">
      <c r="A141" s="3454"/>
      <c r="B141" s="3453" t="s">
        <v>3717</v>
      </c>
      <c r="C141" s="3454">
        <v>47.43</v>
      </c>
    </row>
    <row r="142" spans="1:3">
      <c r="A142" s="3454"/>
      <c r="B142" s="3453" t="s">
        <v>3718</v>
      </c>
      <c r="C142" s="3454">
        <v>47.43</v>
      </c>
    </row>
    <row r="143" spans="1:3">
      <c r="A143" s="3454"/>
      <c r="B143" s="3453" t="s">
        <v>3719</v>
      </c>
      <c r="C143" s="3454">
        <v>47.43</v>
      </c>
    </row>
    <row r="144" spans="1:3">
      <c r="A144" s="3454"/>
      <c r="B144" s="3453" t="s">
        <v>3720</v>
      </c>
      <c r="C144" s="3454">
        <v>47.43</v>
      </c>
    </row>
    <row r="145" spans="1:3">
      <c r="A145" s="3454"/>
      <c r="B145" s="3453" t="s">
        <v>3721</v>
      </c>
      <c r="C145" s="3454">
        <v>47.43</v>
      </c>
    </row>
    <row r="146" spans="1:3">
      <c r="A146" s="3454"/>
      <c r="B146" s="3453" t="s">
        <v>3722</v>
      </c>
      <c r="C146" s="3454">
        <v>47.43</v>
      </c>
    </row>
    <row r="147" spans="1:3">
      <c r="A147" s="3454"/>
      <c r="B147" s="3453" t="s">
        <v>3723</v>
      </c>
      <c r="C147" s="3454">
        <v>47.43</v>
      </c>
    </row>
    <row r="148" spans="1:3">
      <c r="A148" s="3454"/>
      <c r="B148" s="3453" t="s">
        <v>3724</v>
      </c>
      <c r="C148" s="3454">
        <v>47.43</v>
      </c>
    </row>
    <row r="149" spans="1:3">
      <c r="A149" s="3454"/>
      <c r="B149" s="3453" t="s">
        <v>3725</v>
      </c>
      <c r="C149" s="3454">
        <v>48.57</v>
      </c>
    </row>
    <row r="150" spans="1:3">
      <c r="A150" s="3454"/>
      <c r="B150" s="3453" t="s">
        <v>3726</v>
      </c>
      <c r="C150" s="3454">
        <v>48.57</v>
      </c>
    </row>
    <row r="151" spans="1:3">
      <c r="A151" s="3454"/>
      <c r="B151" s="3453" t="s">
        <v>3727</v>
      </c>
      <c r="C151" s="3454">
        <v>48.57</v>
      </c>
    </row>
    <row r="152" spans="1:3">
      <c r="A152" s="3454"/>
      <c r="B152" s="3453" t="s">
        <v>3728</v>
      </c>
      <c r="C152" s="3454">
        <v>48.11</v>
      </c>
    </row>
    <row r="153" spans="1:3">
      <c r="A153" s="3454"/>
      <c r="B153" s="3453" t="s">
        <v>3729</v>
      </c>
      <c r="C153" s="3454">
        <v>48.11</v>
      </c>
    </row>
    <row r="154" spans="1:3">
      <c r="A154" s="3454"/>
      <c r="B154" s="3453" t="s">
        <v>3730</v>
      </c>
      <c r="C154" s="3454">
        <v>48</v>
      </c>
    </row>
    <row r="155" spans="1:3">
      <c r="A155" s="3454"/>
      <c r="B155" s="3453" t="s">
        <v>3731</v>
      </c>
      <c r="C155" s="3454">
        <v>48</v>
      </c>
    </row>
    <row r="156" spans="1:3">
      <c r="A156" s="3454"/>
      <c r="B156" s="3453" t="s">
        <v>3732</v>
      </c>
      <c r="C156" s="3454">
        <v>48</v>
      </c>
    </row>
    <row r="157" spans="1:3">
      <c r="A157" s="3454"/>
      <c r="B157" s="3453" t="s">
        <v>3733</v>
      </c>
      <c r="C157" s="3454">
        <v>58.29</v>
      </c>
    </row>
    <row r="158" spans="1:3">
      <c r="A158" s="3454"/>
      <c r="B158" s="3453" t="s">
        <v>3734</v>
      </c>
      <c r="C158" s="3454">
        <v>58.29</v>
      </c>
    </row>
    <row r="159" spans="1:3">
      <c r="A159" s="3454"/>
      <c r="B159" s="3453" t="s">
        <v>3735</v>
      </c>
      <c r="C159" s="3454">
        <v>48.57</v>
      </c>
    </row>
    <row r="160" spans="1:3">
      <c r="A160" s="3454"/>
      <c r="B160" s="3453" t="s">
        <v>3736</v>
      </c>
      <c r="C160" s="3454">
        <v>48.57</v>
      </c>
    </row>
    <row r="161" spans="1:3">
      <c r="A161" s="3454"/>
      <c r="B161" s="3453" t="s">
        <v>3737</v>
      </c>
      <c r="C161" s="3454">
        <v>47.43</v>
      </c>
    </row>
    <row r="162" spans="1:3">
      <c r="A162" s="3454"/>
      <c r="B162" s="3453" t="s">
        <v>3738</v>
      </c>
      <c r="C162" s="3454">
        <v>47.43</v>
      </c>
    </row>
    <row r="163" spans="1:3">
      <c r="A163" s="3454"/>
      <c r="B163" s="3453" t="s">
        <v>3739</v>
      </c>
      <c r="C163" s="3454">
        <v>47.43</v>
      </c>
    </row>
    <row r="164" spans="1:3">
      <c r="A164" s="3454"/>
      <c r="B164" s="3453" t="s">
        <v>3740</v>
      </c>
      <c r="C164" s="3454">
        <v>47.43</v>
      </c>
    </row>
    <row r="165" spans="1:3">
      <c r="A165" s="3454"/>
      <c r="B165" s="3453" t="s">
        <v>3741</v>
      </c>
      <c r="C165" s="3454">
        <v>47.43</v>
      </c>
    </row>
    <row r="166" spans="1:3">
      <c r="A166" s="3454"/>
      <c r="B166" s="3453" t="s">
        <v>3742</v>
      </c>
      <c r="C166" s="3454">
        <v>53.68</v>
      </c>
    </row>
    <row r="167" spans="1:3">
      <c r="A167" s="3454"/>
      <c r="B167" s="3453" t="s">
        <v>3743</v>
      </c>
      <c r="C167" s="3454">
        <v>53.68</v>
      </c>
    </row>
    <row r="168" spans="1:3">
      <c r="A168" s="3454"/>
      <c r="B168" s="3453" t="s">
        <v>3744</v>
      </c>
      <c r="C168" s="3454">
        <v>53.68</v>
      </c>
    </row>
    <row r="169" spans="1:3">
      <c r="A169" s="3454"/>
      <c r="B169" s="3453" t="s">
        <v>3745</v>
      </c>
      <c r="C169" s="3454">
        <v>47.43</v>
      </c>
    </row>
    <row r="170" spans="1:3">
      <c r="A170" s="3454"/>
      <c r="B170" s="3453" t="s">
        <v>3746</v>
      </c>
      <c r="C170" s="3454">
        <v>47.43</v>
      </c>
    </row>
    <row r="171" spans="1:3">
      <c r="A171" s="3454"/>
      <c r="B171" s="3453" t="s">
        <v>3747</v>
      </c>
      <c r="C171" s="3454">
        <v>47.43</v>
      </c>
    </row>
    <row r="172" spans="1:3">
      <c r="A172" s="3454"/>
      <c r="B172" s="3453" t="s">
        <v>3748</v>
      </c>
      <c r="C172" s="3454">
        <v>48.57</v>
      </c>
    </row>
    <row r="173" spans="1:3">
      <c r="A173" s="3454"/>
      <c r="B173" s="3453" t="s">
        <v>3749</v>
      </c>
      <c r="C173" s="3454">
        <v>48.57</v>
      </c>
    </row>
    <row r="174" spans="1:3">
      <c r="A174" s="3454"/>
      <c r="B174" s="3453" t="s">
        <v>3750</v>
      </c>
      <c r="C174" s="3454">
        <v>48.57</v>
      </c>
    </row>
    <row r="175" spans="1:3">
      <c r="A175" s="3454"/>
      <c r="B175" s="3453" t="s">
        <v>3751</v>
      </c>
      <c r="C175" s="3454">
        <v>48.57</v>
      </c>
    </row>
    <row r="176" spans="1:3">
      <c r="A176" s="3454"/>
      <c r="B176" s="3453" t="s">
        <v>3752</v>
      </c>
      <c r="C176" s="3454">
        <v>48.57</v>
      </c>
    </row>
    <row r="177" spans="1:3">
      <c r="A177" s="3454"/>
      <c r="B177" s="3453" t="s">
        <v>3753</v>
      </c>
      <c r="C177" s="3454">
        <v>48.57</v>
      </c>
    </row>
    <row r="178" spans="1:3">
      <c r="A178" s="3454"/>
      <c r="B178" s="3453" t="s">
        <v>3754</v>
      </c>
      <c r="C178" s="3454">
        <v>48.3</v>
      </c>
    </row>
    <row r="179" spans="1:3">
      <c r="A179" s="3454"/>
      <c r="B179" s="3453" t="s">
        <v>3755</v>
      </c>
      <c r="C179" s="3454">
        <v>48.3</v>
      </c>
    </row>
    <row r="180" spans="1:3">
      <c r="A180" s="3454"/>
      <c r="B180" s="3453" t="s">
        <v>3756</v>
      </c>
      <c r="C180" s="3454">
        <v>48.3</v>
      </c>
    </row>
    <row r="181" spans="1:3">
      <c r="A181" s="3454"/>
      <c r="B181" s="3453" t="s">
        <v>3757</v>
      </c>
      <c r="C181" s="3454">
        <v>48.3</v>
      </c>
    </row>
    <row r="182" spans="1:3">
      <c r="A182" s="3454"/>
      <c r="B182" s="3453" t="s">
        <v>3758</v>
      </c>
      <c r="C182" s="3454">
        <v>48.3</v>
      </c>
    </row>
    <row r="183" spans="1:3">
      <c r="A183" s="3454"/>
      <c r="B183" s="3453" t="s">
        <v>3759</v>
      </c>
      <c r="C183" s="3454">
        <v>48.3</v>
      </c>
    </row>
    <row r="184" spans="1:3">
      <c r="A184" s="3454"/>
      <c r="B184" s="3453" t="s">
        <v>3760</v>
      </c>
      <c r="C184" s="3454">
        <v>48.3</v>
      </c>
    </row>
    <row r="185" spans="1:3">
      <c r="A185" s="3454"/>
      <c r="B185" s="3453" t="s">
        <v>3761</v>
      </c>
      <c r="C185" s="3454">
        <v>48.3</v>
      </c>
    </row>
    <row r="186" spans="1:3">
      <c r="A186" s="3454"/>
      <c r="B186" s="3453" t="s">
        <v>3762</v>
      </c>
      <c r="C186" s="3454">
        <v>48.3</v>
      </c>
    </row>
    <row r="187" spans="1:3">
      <c r="A187" s="3454"/>
      <c r="B187" s="3453" t="s">
        <v>3763</v>
      </c>
      <c r="C187" s="3454">
        <v>48.3</v>
      </c>
    </row>
    <row r="188" spans="1:3">
      <c r="A188" s="3454"/>
      <c r="B188" s="3453" t="s">
        <v>3764</v>
      </c>
      <c r="C188" s="3454">
        <v>48.3</v>
      </c>
    </row>
    <row r="189" spans="1:3">
      <c r="A189" s="3454"/>
      <c r="B189" s="3453" t="s">
        <v>3765</v>
      </c>
      <c r="C189" s="3454">
        <v>48.3</v>
      </c>
    </row>
    <row r="190" spans="1:3">
      <c r="A190" s="3454"/>
      <c r="B190" s="3453" t="s">
        <v>3766</v>
      </c>
      <c r="C190" s="3454">
        <v>48.3</v>
      </c>
    </row>
    <row r="191" spans="1:3">
      <c r="A191" s="3454"/>
      <c r="B191" s="3453" t="s">
        <v>3767</v>
      </c>
      <c r="C191" s="3454">
        <v>48.3</v>
      </c>
    </row>
    <row r="192" spans="1:3">
      <c r="A192" s="3454"/>
      <c r="B192" s="3453" t="s">
        <v>3768</v>
      </c>
      <c r="C192" s="3454">
        <v>48.3</v>
      </c>
    </row>
    <row r="193" spans="1:3">
      <c r="A193" s="3454"/>
      <c r="B193" s="3453" t="s">
        <v>3769</v>
      </c>
      <c r="C193" s="3454">
        <v>48.3</v>
      </c>
    </row>
    <row r="194" spans="1:3">
      <c r="A194" s="3454"/>
      <c r="B194" s="3453" t="s">
        <v>3770</v>
      </c>
      <c r="C194" s="3454">
        <v>48.3</v>
      </c>
    </row>
    <row r="195" spans="1:3">
      <c r="A195" s="3454"/>
      <c r="B195" s="3453" t="s">
        <v>3771</v>
      </c>
      <c r="C195" s="3454">
        <v>48.3</v>
      </c>
    </row>
    <row r="196" spans="1:3">
      <c r="A196" s="3454"/>
      <c r="B196" s="3453" t="s">
        <v>3772</v>
      </c>
      <c r="C196" s="3454">
        <v>48.3</v>
      </c>
    </row>
    <row r="197" spans="1:3">
      <c r="A197" s="3454"/>
      <c r="B197" s="3453" t="s">
        <v>3773</v>
      </c>
      <c r="C197" s="3454">
        <v>48.3</v>
      </c>
    </row>
    <row r="198" spans="1:3">
      <c r="A198" s="3454"/>
      <c r="B198" s="3453" t="s">
        <v>3774</v>
      </c>
      <c r="C198" s="3454">
        <v>48.3</v>
      </c>
    </row>
    <row r="199" spans="1:3">
      <c r="A199" s="3454"/>
      <c r="B199" s="3453" t="s">
        <v>3775</v>
      </c>
      <c r="C199" s="3454">
        <v>48.3</v>
      </c>
    </row>
    <row r="200" spans="1:3">
      <c r="A200" s="3454"/>
      <c r="B200" s="3453" t="s">
        <v>3776</v>
      </c>
      <c r="C200" s="3454">
        <v>48.3</v>
      </c>
    </row>
    <row r="201" spans="1:3">
      <c r="A201" s="3454"/>
      <c r="B201" s="3453" t="s">
        <v>3777</v>
      </c>
      <c r="C201" s="3454">
        <v>48.3</v>
      </c>
    </row>
    <row r="202" spans="1:3">
      <c r="A202" s="3454"/>
      <c r="B202" s="3453" t="s">
        <v>3778</v>
      </c>
      <c r="C202" s="3454">
        <v>48.11</v>
      </c>
    </row>
    <row r="203" spans="1:3">
      <c r="A203" s="3454"/>
      <c r="B203" s="3453" t="s">
        <v>3779</v>
      </c>
      <c r="C203" s="3454">
        <v>48.11</v>
      </c>
    </row>
    <row r="204" spans="1:3">
      <c r="A204" s="3454"/>
      <c r="B204" s="3453" t="s">
        <v>3780</v>
      </c>
      <c r="C204" s="3454">
        <v>48.11</v>
      </c>
    </row>
    <row r="205" spans="1:3">
      <c r="A205" s="3454"/>
      <c r="B205" s="3453" t="s">
        <v>3781</v>
      </c>
      <c r="C205" s="3454">
        <v>48.11</v>
      </c>
    </row>
    <row r="206" spans="1:3">
      <c r="A206" s="3454"/>
      <c r="B206" s="3453" t="s">
        <v>3782</v>
      </c>
      <c r="C206" s="3454">
        <v>48.11</v>
      </c>
    </row>
    <row r="207" spans="1:3">
      <c r="A207" s="3454"/>
      <c r="B207" s="3453" t="s">
        <v>3783</v>
      </c>
      <c r="C207" s="3454">
        <v>48.11</v>
      </c>
    </row>
    <row r="208" spans="1:3">
      <c r="A208" s="3454"/>
      <c r="B208" s="3453" t="s">
        <v>3784</v>
      </c>
      <c r="C208" s="3454">
        <v>47.43</v>
      </c>
    </row>
    <row r="209" spans="1:3">
      <c r="A209" s="3454"/>
      <c r="B209" s="3453" t="s">
        <v>3785</v>
      </c>
      <c r="C209" s="3454">
        <v>47.43</v>
      </c>
    </row>
    <row r="210" spans="1:3">
      <c r="A210" s="3454"/>
      <c r="B210" s="3453" t="s">
        <v>3786</v>
      </c>
      <c r="C210" s="3454">
        <v>47.43</v>
      </c>
    </row>
    <row r="211" spans="1:3">
      <c r="A211" s="3454"/>
      <c r="B211" s="3453" t="s">
        <v>3787</v>
      </c>
      <c r="C211" s="3454">
        <v>53.68</v>
      </c>
    </row>
    <row r="212" spans="1:3">
      <c r="A212" s="3454"/>
      <c r="B212" s="3453" t="s">
        <v>3788</v>
      </c>
      <c r="C212" s="3454">
        <v>53.68</v>
      </c>
    </row>
    <row r="213" spans="1:3">
      <c r="A213" s="3454"/>
      <c r="B213" s="3453" t="s">
        <v>3789</v>
      </c>
      <c r="C213" s="3454">
        <v>53.68</v>
      </c>
    </row>
    <row r="214" spans="1:3">
      <c r="A214" s="3454"/>
      <c r="B214" s="3453" t="s">
        <v>3790</v>
      </c>
      <c r="C214" s="3454">
        <v>47.43</v>
      </c>
    </row>
    <row r="215" spans="1:3">
      <c r="A215" s="3454"/>
      <c r="B215" s="3453" t="s">
        <v>3791</v>
      </c>
      <c r="C215" s="3454">
        <v>47.43</v>
      </c>
    </row>
    <row r="216" spans="1:3">
      <c r="A216" s="3454"/>
      <c r="B216" s="3453" t="s">
        <v>3792</v>
      </c>
      <c r="C216" s="3454">
        <v>47.43</v>
      </c>
    </row>
    <row r="217" spans="1:3">
      <c r="A217" s="3454"/>
      <c r="B217" s="3453" t="s">
        <v>3793</v>
      </c>
      <c r="C217" s="3454">
        <v>47.43</v>
      </c>
    </row>
    <row r="218" spans="1:3">
      <c r="A218" s="3454"/>
      <c r="B218" s="3453" t="s">
        <v>3794</v>
      </c>
      <c r="C218" s="3454">
        <v>47.43</v>
      </c>
    </row>
    <row r="219" spans="1:3">
      <c r="A219" s="3454"/>
      <c r="B219" s="3453" t="s">
        <v>3795</v>
      </c>
      <c r="C219" s="3454">
        <v>48.11</v>
      </c>
    </row>
    <row r="220" spans="1:3">
      <c r="A220" s="3454"/>
      <c r="B220" s="3453" t="s">
        <v>3796</v>
      </c>
      <c r="C220" s="3454">
        <v>48.11</v>
      </c>
    </row>
    <row r="221" spans="1:3">
      <c r="A221" s="3454"/>
      <c r="B221" s="3453" t="s">
        <v>3797</v>
      </c>
      <c r="C221" s="3454">
        <v>47.12</v>
      </c>
    </row>
    <row r="222" spans="1:3">
      <c r="A222" s="3454"/>
      <c r="B222" s="3453" t="s">
        <v>3798</v>
      </c>
      <c r="C222" s="3454">
        <v>47.12</v>
      </c>
    </row>
    <row r="223" spans="1:3">
      <c r="A223" s="3454"/>
      <c r="B223" s="3453" t="s">
        <v>3799</v>
      </c>
      <c r="C223" s="3454">
        <v>47.12</v>
      </c>
    </row>
    <row r="224" spans="1:3">
      <c r="A224" s="3454"/>
      <c r="B224" s="3453" t="s">
        <v>3800</v>
      </c>
      <c r="C224" s="3454">
        <v>47.43</v>
      </c>
    </row>
    <row r="225" spans="1:3">
      <c r="A225" s="3454"/>
      <c r="B225" s="3453" t="s">
        <v>3801</v>
      </c>
      <c r="C225" s="3454">
        <v>47.43</v>
      </c>
    </row>
    <row r="226" spans="1:3">
      <c r="A226" s="3454"/>
      <c r="B226" s="3453" t="s">
        <v>3802</v>
      </c>
      <c r="C226" s="3454">
        <v>47.43</v>
      </c>
    </row>
    <row r="227" spans="1:3">
      <c r="A227" s="3454"/>
      <c r="B227" s="3453" t="s">
        <v>3803</v>
      </c>
      <c r="C227" s="3454">
        <v>47.43</v>
      </c>
    </row>
    <row r="228" spans="1:3">
      <c r="A228" s="3454"/>
      <c r="B228" s="3453" t="s">
        <v>3804</v>
      </c>
      <c r="C228" s="3454">
        <v>47.43</v>
      </c>
    </row>
    <row r="229" spans="1:3">
      <c r="A229" s="3454"/>
      <c r="B229" s="3453" t="s">
        <v>3805</v>
      </c>
      <c r="C229" s="3454">
        <v>47.43</v>
      </c>
    </row>
    <row r="230" spans="1:3">
      <c r="A230" s="3454"/>
      <c r="B230" s="3453" t="s">
        <v>3806</v>
      </c>
      <c r="C230" s="3454">
        <v>47.43</v>
      </c>
    </row>
    <row r="231" spans="1:3">
      <c r="A231" s="3454"/>
      <c r="B231" s="3453" t="s">
        <v>3807</v>
      </c>
      <c r="C231" s="3454">
        <v>47.43</v>
      </c>
    </row>
    <row r="232" spans="1:3">
      <c r="A232" s="3454"/>
      <c r="B232" s="3453" t="s">
        <v>3808</v>
      </c>
      <c r="C232" s="3454">
        <v>46.48</v>
      </c>
    </row>
    <row r="233" spans="1:3">
      <c r="A233" s="3454"/>
      <c r="B233" s="3453" t="s">
        <v>3809</v>
      </c>
      <c r="C233" s="3454">
        <v>46.48</v>
      </c>
    </row>
    <row r="234" spans="1:3">
      <c r="A234" s="3454"/>
      <c r="B234" s="3453" t="s">
        <v>3810</v>
      </c>
      <c r="C234" s="3454">
        <v>46.48</v>
      </c>
    </row>
    <row r="235" spans="1:3">
      <c r="A235" s="3454"/>
      <c r="B235" s="3453" t="s">
        <v>3811</v>
      </c>
      <c r="C235" s="3454">
        <v>46.48</v>
      </c>
    </row>
    <row r="236" spans="1:3">
      <c r="A236" s="3454"/>
      <c r="B236" s="3453" t="s">
        <v>3812</v>
      </c>
      <c r="C236" s="3454">
        <v>46.86</v>
      </c>
    </row>
    <row r="237" spans="1:3">
      <c r="A237" s="3454"/>
      <c r="B237" s="3453" t="s">
        <v>3813</v>
      </c>
      <c r="C237" s="3454">
        <v>46.86</v>
      </c>
    </row>
    <row r="238" spans="1:3">
      <c r="A238" s="3454"/>
      <c r="B238" s="3453" t="s">
        <v>3814</v>
      </c>
      <c r="C238" s="3454">
        <v>46.86</v>
      </c>
    </row>
    <row r="239" spans="1:3">
      <c r="A239" s="3454"/>
      <c r="B239" s="3453" t="s">
        <v>3815</v>
      </c>
      <c r="C239" s="3454">
        <v>46.86</v>
      </c>
    </row>
    <row r="240" spans="1:3">
      <c r="A240" s="3454"/>
      <c r="B240" s="3453" t="s">
        <v>3816</v>
      </c>
      <c r="C240" s="3454">
        <v>46.86</v>
      </c>
    </row>
    <row r="241" spans="1:3">
      <c r="A241" s="3454"/>
      <c r="B241" s="3453" t="s">
        <v>3817</v>
      </c>
      <c r="C241" s="3454">
        <v>46.86</v>
      </c>
    </row>
    <row r="242" spans="1:3">
      <c r="A242" s="3454"/>
      <c r="B242" s="3453" t="s">
        <v>3818</v>
      </c>
      <c r="C242" s="3454">
        <v>46.63</v>
      </c>
    </row>
    <row r="243" spans="1:3">
      <c r="A243" s="3454"/>
      <c r="B243" s="3453" t="s">
        <v>3819</v>
      </c>
      <c r="C243" s="3454">
        <v>46.63</v>
      </c>
    </row>
    <row r="244" spans="1:3">
      <c r="A244" s="3454"/>
      <c r="B244" s="3453" t="s">
        <v>3820</v>
      </c>
      <c r="C244" s="3454">
        <v>46.63</v>
      </c>
    </row>
    <row r="245" spans="1:3">
      <c r="A245" s="3454"/>
      <c r="B245" s="3453" t="s">
        <v>3821</v>
      </c>
      <c r="C245" s="3454">
        <v>48.57</v>
      </c>
    </row>
    <row r="246" spans="1:3">
      <c r="A246" s="3454"/>
      <c r="B246" s="3453" t="s">
        <v>3822</v>
      </c>
      <c r="C246" s="3454">
        <v>48.57</v>
      </c>
    </row>
    <row r="247" spans="1:3">
      <c r="A247" s="3454"/>
      <c r="B247" s="3453" t="s">
        <v>3823</v>
      </c>
      <c r="C247" s="3454">
        <v>46.63</v>
      </c>
    </row>
    <row r="248" spans="1:3">
      <c r="A248" s="3454"/>
      <c r="B248" s="3453" t="s">
        <v>3824</v>
      </c>
      <c r="C248" s="3454">
        <v>48.11</v>
      </c>
    </row>
    <row r="249" spans="1:3">
      <c r="A249" s="3454"/>
      <c r="B249" s="3453" t="s">
        <v>3825</v>
      </c>
      <c r="C249" s="3454">
        <v>48.11</v>
      </c>
    </row>
    <row r="250" spans="1:3">
      <c r="A250" s="3454"/>
      <c r="B250" s="3453" t="s">
        <v>3826</v>
      </c>
      <c r="C250" s="3454">
        <v>48.11</v>
      </c>
    </row>
    <row r="251" spans="1:3">
      <c r="A251" s="3454"/>
      <c r="B251" s="3453" t="s">
        <v>3827</v>
      </c>
      <c r="C251" s="3454">
        <v>48.11</v>
      </c>
    </row>
    <row r="252" spans="1:3">
      <c r="A252" s="3454"/>
      <c r="B252" s="3453" t="s">
        <v>3828</v>
      </c>
      <c r="C252" s="3454">
        <v>48.11</v>
      </c>
    </row>
    <row r="253" spans="1:3">
      <c r="A253" s="3454"/>
      <c r="B253" s="3453" t="s">
        <v>3829</v>
      </c>
      <c r="C253" s="3454">
        <v>48.11</v>
      </c>
    </row>
    <row r="254" spans="1:3">
      <c r="A254" s="3454"/>
      <c r="B254" s="3453" t="s">
        <v>3830</v>
      </c>
      <c r="C254" s="3454">
        <v>46.17</v>
      </c>
    </row>
    <row r="255" spans="1:3">
      <c r="A255" s="3454"/>
      <c r="B255" s="3453" t="s">
        <v>3831</v>
      </c>
      <c r="C255" s="3454">
        <v>46.17</v>
      </c>
    </row>
    <row r="256" spans="1:3">
      <c r="A256" s="3454"/>
      <c r="B256" s="3453" t="s">
        <v>3832</v>
      </c>
      <c r="C256" s="3454">
        <v>46.17</v>
      </c>
    </row>
    <row r="257" spans="1:3">
      <c r="A257" s="3454"/>
      <c r="B257" s="3453" t="s">
        <v>3833</v>
      </c>
      <c r="C257" s="3454">
        <v>46.21</v>
      </c>
    </row>
    <row r="258" spans="1:3">
      <c r="A258" s="3454"/>
      <c r="B258" s="3453" t="s">
        <v>3834</v>
      </c>
      <c r="C258" s="3454">
        <v>48.57</v>
      </c>
    </row>
    <row r="259" spans="1:3">
      <c r="A259" s="3454"/>
      <c r="B259" s="3453" t="s">
        <v>3835</v>
      </c>
      <c r="C259" s="3454">
        <v>48.57</v>
      </c>
    </row>
    <row r="260" spans="1:3">
      <c r="A260" s="3454"/>
      <c r="B260" s="3453" t="s">
        <v>3836</v>
      </c>
      <c r="C260" s="3454">
        <v>48.57</v>
      </c>
    </row>
    <row r="261" spans="1:3">
      <c r="A261" s="3454"/>
      <c r="B261" s="3453" t="s">
        <v>3837</v>
      </c>
      <c r="C261" s="3454">
        <v>46.63</v>
      </c>
    </row>
    <row r="262" spans="1:3">
      <c r="A262" s="3454"/>
      <c r="B262" s="3453" t="s">
        <v>3838</v>
      </c>
      <c r="C262" s="3454">
        <v>46.63</v>
      </c>
    </row>
    <row r="263" spans="1:3">
      <c r="A263" s="3454"/>
      <c r="B263" s="3453" t="s">
        <v>3839</v>
      </c>
      <c r="C263" s="3454">
        <v>46.63</v>
      </c>
    </row>
    <row r="264" spans="1:3">
      <c r="A264" s="3454"/>
      <c r="B264" s="3453" t="s">
        <v>3840</v>
      </c>
      <c r="C264" s="3454">
        <v>47.62</v>
      </c>
    </row>
    <row r="265" spans="1:3">
      <c r="A265" s="3454"/>
      <c r="B265" s="3453" t="s">
        <v>3841</v>
      </c>
      <c r="C265" s="3454">
        <v>47.62</v>
      </c>
    </row>
    <row r="266" spans="1:3">
      <c r="A266" s="3454"/>
      <c r="B266" s="3453" t="s">
        <v>3842</v>
      </c>
      <c r="C266" s="3454">
        <v>47.62</v>
      </c>
    </row>
    <row r="267" spans="1:3">
      <c r="A267" s="3454"/>
      <c r="B267" s="3453" t="s">
        <v>3843</v>
      </c>
      <c r="C267" s="3454">
        <v>47.62</v>
      </c>
    </row>
    <row r="268" spans="1:3">
      <c r="A268" s="3454"/>
      <c r="B268" s="3453" t="s">
        <v>3844</v>
      </c>
      <c r="C268" s="3454">
        <v>46.63</v>
      </c>
    </row>
    <row r="269" spans="1:3">
      <c r="A269" s="3454"/>
      <c r="B269" s="3453" t="s">
        <v>3845</v>
      </c>
      <c r="C269" s="3454">
        <v>46.63</v>
      </c>
    </row>
    <row r="270" spans="1:3">
      <c r="A270" s="3454"/>
      <c r="B270" s="3453" t="s">
        <v>3846</v>
      </c>
      <c r="C270" s="3454">
        <v>46.63</v>
      </c>
    </row>
    <row r="271" spans="1:3">
      <c r="A271" s="3454"/>
      <c r="B271" s="3453" t="s">
        <v>3847</v>
      </c>
      <c r="C271" s="3454">
        <v>48.57</v>
      </c>
    </row>
    <row r="272" spans="1:3">
      <c r="A272" s="3454"/>
      <c r="B272" s="3453" t="s">
        <v>3848</v>
      </c>
      <c r="C272" s="3454">
        <v>48.57</v>
      </c>
    </row>
    <row r="273" spans="1:3">
      <c r="A273" s="3454"/>
      <c r="B273" s="3453" t="s">
        <v>3849</v>
      </c>
      <c r="C273" s="3454">
        <v>48.57</v>
      </c>
    </row>
    <row r="274" spans="1:3">
      <c r="A274" s="3454"/>
      <c r="B274" s="3453" t="s">
        <v>3850</v>
      </c>
      <c r="C274" s="3454">
        <v>46.17</v>
      </c>
    </row>
    <row r="275" spans="1:3">
      <c r="A275" s="3454"/>
      <c r="B275" s="3453" t="s">
        <v>3851</v>
      </c>
      <c r="C275" s="3454">
        <v>46.17</v>
      </c>
    </row>
    <row r="276" spans="1:3">
      <c r="A276" s="3454"/>
      <c r="B276" s="3453" t="s">
        <v>3852</v>
      </c>
      <c r="C276" s="3454">
        <v>46.17</v>
      </c>
    </row>
    <row r="277" spans="1:3">
      <c r="A277" s="3454"/>
      <c r="B277" s="3453" t="s">
        <v>3853</v>
      </c>
      <c r="C277" s="3454">
        <v>48.11</v>
      </c>
    </row>
    <row r="278" spans="1:3">
      <c r="A278" s="3454"/>
      <c r="B278" s="3453" t="s">
        <v>3854</v>
      </c>
      <c r="C278" s="3454">
        <v>48.11</v>
      </c>
    </row>
    <row r="279" spans="1:3">
      <c r="A279" s="3454"/>
      <c r="B279" s="3453" t="s">
        <v>3855</v>
      </c>
      <c r="C279" s="3454">
        <v>48.11</v>
      </c>
    </row>
    <row r="280" spans="1:3">
      <c r="A280" s="3454"/>
      <c r="B280" s="3453" t="s">
        <v>3856</v>
      </c>
      <c r="C280" s="3454">
        <v>48.11</v>
      </c>
    </row>
    <row r="281" spans="1:3">
      <c r="A281" s="3454"/>
      <c r="B281" s="3453" t="s">
        <v>3857</v>
      </c>
      <c r="C281" s="3454">
        <v>48.11</v>
      </c>
    </row>
    <row r="282" spans="1:3">
      <c r="A282" s="3454"/>
      <c r="B282" s="3453" t="s">
        <v>3858</v>
      </c>
      <c r="C282" s="3454">
        <v>48.11</v>
      </c>
    </row>
    <row r="283" spans="1:3">
      <c r="A283" s="3454"/>
      <c r="B283" s="3453" t="s">
        <v>3859</v>
      </c>
      <c r="C283" s="3454">
        <v>50.97</v>
      </c>
    </row>
    <row r="284" spans="1:3">
      <c r="A284" s="3454"/>
      <c r="B284" s="3453" t="s">
        <v>3860</v>
      </c>
      <c r="C284" s="3454">
        <v>50.97</v>
      </c>
    </row>
    <row r="285" spans="1:3">
      <c r="A285" s="3454"/>
      <c r="B285" s="3453" t="s">
        <v>3861</v>
      </c>
      <c r="C285" s="3454">
        <v>50.97</v>
      </c>
    </row>
    <row r="286" spans="1:3">
      <c r="A286" s="3454"/>
      <c r="B286" s="3453" t="s">
        <v>3862</v>
      </c>
      <c r="C286" s="3454">
        <v>52.46</v>
      </c>
    </row>
    <row r="287" spans="1:3">
      <c r="A287" s="3454"/>
      <c r="B287" s="3453" t="s">
        <v>3863</v>
      </c>
      <c r="C287" s="3454">
        <v>45.71</v>
      </c>
    </row>
    <row r="288" spans="1:3">
      <c r="A288" s="3454"/>
      <c r="B288" s="3453" t="s">
        <v>3864</v>
      </c>
      <c r="C288" s="3454">
        <v>48.57</v>
      </c>
    </row>
    <row r="289" spans="1:3">
      <c r="A289" s="3454"/>
      <c r="B289" s="3453" t="s">
        <v>3865</v>
      </c>
      <c r="C289" s="3454">
        <v>48.57</v>
      </c>
    </row>
    <row r="290" spans="1:3">
      <c r="A290" s="3454"/>
      <c r="B290" s="3453" t="s">
        <v>3866</v>
      </c>
      <c r="C290" s="3454">
        <v>48.57</v>
      </c>
    </row>
    <row r="291" spans="1:3">
      <c r="A291" s="3454"/>
      <c r="B291" s="3453" t="s">
        <v>3867</v>
      </c>
      <c r="C291" s="3454">
        <v>48.57</v>
      </c>
    </row>
    <row r="292" spans="1:3">
      <c r="A292" s="3454"/>
      <c r="B292" s="3453" t="s">
        <v>3868</v>
      </c>
      <c r="C292" s="3454">
        <v>48.57</v>
      </c>
    </row>
    <row r="293" spans="1:3">
      <c r="A293" s="3454"/>
      <c r="B293" s="3453" t="s">
        <v>3869</v>
      </c>
      <c r="C293" s="3454">
        <v>49.56</v>
      </c>
    </row>
    <row r="294" spans="1:3">
      <c r="A294" s="3454"/>
      <c r="B294" s="3453" t="s">
        <v>3870</v>
      </c>
      <c r="C294" s="3454">
        <v>49.56</v>
      </c>
    </row>
    <row r="295" spans="1:3">
      <c r="A295" s="3454"/>
      <c r="B295" s="3453" t="s">
        <v>3871</v>
      </c>
      <c r="C295" s="3454">
        <v>46.63</v>
      </c>
    </row>
    <row r="296" spans="1:3">
      <c r="A296" s="3454"/>
      <c r="B296" s="3453" t="s">
        <v>3872</v>
      </c>
      <c r="C296" s="3454">
        <v>48</v>
      </c>
    </row>
    <row r="297" spans="1:3">
      <c r="A297" s="3454"/>
      <c r="B297" s="3453" t="s">
        <v>3873</v>
      </c>
      <c r="C297" s="3454">
        <v>48</v>
      </c>
    </row>
    <row r="298" spans="1:3">
      <c r="A298" s="3454"/>
      <c r="B298" s="3453" t="s">
        <v>3874</v>
      </c>
      <c r="C298" s="3454">
        <v>48</v>
      </c>
    </row>
    <row r="299" spans="1:3">
      <c r="A299" s="3454"/>
      <c r="B299" s="3453" t="s">
        <v>3875</v>
      </c>
      <c r="C299" s="3454">
        <v>46.63</v>
      </c>
    </row>
    <row r="300" spans="1:3">
      <c r="A300" s="3454"/>
      <c r="B300" s="3453" t="s">
        <v>3876</v>
      </c>
      <c r="C300" s="3454">
        <v>46.63</v>
      </c>
    </row>
    <row r="301" spans="1:3">
      <c r="A301" s="3454"/>
      <c r="B301" s="3453" t="s">
        <v>3877</v>
      </c>
      <c r="C301" s="3454">
        <v>46.63</v>
      </c>
    </row>
    <row r="302" spans="1:3">
      <c r="A302" s="3454"/>
      <c r="B302" s="3453" t="s">
        <v>3878</v>
      </c>
      <c r="C302" s="3454">
        <v>48.57</v>
      </c>
    </row>
    <row r="303" spans="1:3">
      <c r="A303" s="3454"/>
      <c r="B303" s="3453" t="s">
        <v>3879</v>
      </c>
      <c r="C303" s="3454">
        <v>48.57</v>
      </c>
    </row>
    <row r="304" spans="1:3">
      <c r="A304" s="3454"/>
      <c r="B304" s="3453" t="s">
        <v>3880</v>
      </c>
      <c r="C304" s="3454">
        <v>48.57</v>
      </c>
    </row>
    <row r="305" spans="1:3">
      <c r="A305" s="3454"/>
      <c r="B305" s="3453" t="s">
        <v>3881</v>
      </c>
      <c r="C305" s="3454">
        <v>48.57</v>
      </c>
    </row>
    <row r="306" spans="1:3">
      <c r="A306" s="3454"/>
      <c r="B306" s="3453" t="s">
        <v>3882</v>
      </c>
      <c r="C306" s="3454">
        <v>48.57</v>
      </c>
    </row>
    <row r="307" spans="1:3">
      <c r="A307" s="3454"/>
      <c r="B307" s="3453" t="s">
        <v>3883</v>
      </c>
      <c r="C307" s="3454">
        <v>48.57</v>
      </c>
    </row>
    <row r="308" spans="1:3">
      <c r="A308" s="3454"/>
      <c r="B308" s="3453" t="s">
        <v>3884</v>
      </c>
      <c r="C308" s="3454">
        <v>48.57</v>
      </c>
    </row>
    <row r="309" spans="1:3">
      <c r="A309" s="3454"/>
      <c r="B309" s="3453" t="s">
        <v>3885</v>
      </c>
      <c r="C309" s="3454">
        <v>48.57</v>
      </c>
    </row>
    <row r="310" spans="1:3">
      <c r="A310" s="3454"/>
      <c r="B310" s="3453" t="s">
        <v>3886</v>
      </c>
      <c r="C310" s="3454">
        <v>48.57</v>
      </c>
    </row>
    <row r="311" spans="1:3">
      <c r="A311" s="3454"/>
      <c r="B311" s="3453" t="s">
        <v>3887</v>
      </c>
      <c r="C311" s="3454">
        <v>48.57</v>
      </c>
    </row>
    <row r="312" spans="1:3">
      <c r="A312" s="3454"/>
      <c r="B312" s="3453" t="s">
        <v>3888</v>
      </c>
      <c r="C312" s="3454">
        <v>48.57</v>
      </c>
    </row>
    <row r="313" spans="1:3">
      <c r="A313" s="3454"/>
      <c r="B313" s="3453" t="s">
        <v>3889</v>
      </c>
      <c r="C313" s="3454">
        <v>48.57</v>
      </c>
    </row>
    <row r="314" spans="1:3">
      <c r="A314" s="3454"/>
      <c r="B314" s="3453" t="s">
        <v>3890</v>
      </c>
      <c r="C314" s="3454">
        <v>48.57</v>
      </c>
    </row>
    <row r="315" spans="1:3">
      <c r="A315" s="3454"/>
      <c r="B315" s="3453" t="s">
        <v>3891</v>
      </c>
      <c r="C315" s="3454">
        <v>48.57</v>
      </c>
    </row>
    <row r="316" spans="1:3">
      <c r="A316" s="3454"/>
      <c r="B316" s="3453" t="s">
        <v>3892</v>
      </c>
      <c r="C316" s="3454">
        <v>48.57</v>
      </c>
    </row>
    <row r="317" spans="1:3">
      <c r="A317" s="3454"/>
      <c r="B317" s="3453" t="s">
        <v>3893</v>
      </c>
      <c r="C317" s="3454">
        <v>96.19</v>
      </c>
    </row>
    <row r="318" spans="1:3">
      <c r="A318" s="3454"/>
      <c r="B318" s="3453" t="s">
        <v>3894</v>
      </c>
      <c r="C318" s="3454">
        <v>96.19</v>
      </c>
    </row>
    <row r="319" spans="1:3">
      <c r="A319" s="3454"/>
      <c r="B319" s="3453" t="s">
        <v>3895</v>
      </c>
      <c r="C319" s="3454">
        <v>96.19</v>
      </c>
    </row>
    <row r="320" spans="1:3">
      <c r="A320" s="3454"/>
      <c r="B320" s="3453" t="s">
        <v>3896</v>
      </c>
      <c r="C320" s="3454">
        <v>54.97</v>
      </c>
    </row>
    <row r="321" spans="1:3">
      <c r="A321" s="3454"/>
      <c r="B321" s="3453" t="s">
        <v>3897</v>
      </c>
      <c r="C321" s="3454">
        <v>54.97</v>
      </c>
    </row>
    <row r="322" spans="1:3">
      <c r="A322" s="3454"/>
      <c r="B322" s="3453" t="s">
        <v>3898</v>
      </c>
      <c r="C322" s="3454">
        <v>54.97</v>
      </c>
    </row>
    <row r="323" spans="1:3">
      <c r="A323" s="3454"/>
      <c r="B323" s="3453" t="s">
        <v>3899</v>
      </c>
      <c r="C323" s="3454">
        <v>48.57</v>
      </c>
    </row>
    <row r="324" spans="1:3">
      <c r="A324" s="3454"/>
      <c r="B324" s="3453" t="s">
        <v>3900</v>
      </c>
      <c r="C324" s="3454">
        <v>48.57</v>
      </c>
    </row>
    <row r="325" spans="1:3">
      <c r="A325" s="3454"/>
      <c r="B325" s="3453" t="s">
        <v>3901</v>
      </c>
      <c r="C325" s="3454">
        <v>48.57</v>
      </c>
    </row>
    <row r="326" spans="1:3">
      <c r="A326" s="3454"/>
      <c r="B326" s="3453" t="s">
        <v>3902</v>
      </c>
      <c r="C326" s="3454">
        <v>48.57</v>
      </c>
    </row>
    <row r="327" spans="1:3">
      <c r="A327" s="3454"/>
      <c r="B327" s="3453" t="s">
        <v>3903</v>
      </c>
      <c r="C327" s="3454">
        <v>48.57</v>
      </c>
    </row>
    <row r="328" spans="1:3">
      <c r="A328" s="3454"/>
      <c r="B328" s="3453" t="s">
        <v>3904</v>
      </c>
      <c r="C328" s="3454">
        <v>48.57</v>
      </c>
    </row>
    <row r="329" spans="1:3">
      <c r="A329" s="3454"/>
      <c r="B329" s="3453" t="s">
        <v>3905</v>
      </c>
      <c r="C329" s="3454">
        <v>48.57</v>
      </c>
    </row>
    <row r="330" spans="1:3">
      <c r="A330" s="3454"/>
      <c r="B330" s="3453" t="s">
        <v>3906</v>
      </c>
      <c r="C330" s="3454">
        <v>48.57</v>
      </c>
    </row>
    <row r="331" spans="1:3">
      <c r="A331" s="3454"/>
      <c r="B331" s="3453" t="s">
        <v>3907</v>
      </c>
      <c r="C331" s="3454">
        <v>48.57</v>
      </c>
    </row>
    <row r="332" spans="1:3">
      <c r="A332" s="3454"/>
      <c r="B332" s="3453" t="s">
        <v>3908</v>
      </c>
      <c r="C332" s="3454">
        <v>48.57</v>
      </c>
    </row>
    <row r="333" spans="1:3">
      <c r="A333" s="3454"/>
      <c r="B333" s="3453" t="s">
        <v>3909</v>
      </c>
      <c r="C333" s="3454">
        <v>48.57</v>
      </c>
    </row>
    <row r="334" spans="1:3">
      <c r="A334" s="3454"/>
      <c r="B334" s="3453" t="s">
        <v>3910</v>
      </c>
      <c r="C334" s="3454">
        <v>48.57</v>
      </c>
    </row>
    <row r="335" spans="1:3">
      <c r="A335" s="3454"/>
      <c r="B335" s="3453" t="s">
        <v>3911</v>
      </c>
      <c r="C335" s="3454">
        <v>48.57</v>
      </c>
    </row>
    <row r="336" spans="1:3">
      <c r="A336" s="3454"/>
      <c r="B336" s="3453" t="s">
        <v>3912</v>
      </c>
      <c r="C336" s="3454">
        <v>44.3</v>
      </c>
    </row>
    <row r="337" spans="1:3">
      <c r="A337" s="3454"/>
      <c r="B337" s="3453" t="s">
        <v>3913</v>
      </c>
      <c r="C337" s="3454">
        <v>44.3</v>
      </c>
    </row>
    <row r="338" spans="1:3">
      <c r="A338" s="3459" t="s">
        <v>3914</v>
      </c>
      <c r="B338" s="3460"/>
      <c r="C338" s="3460">
        <f>SUM(C38:C337)</f>
        <v>14687.639999999994</v>
      </c>
    </row>
    <row r="339" spans="1:3">
      <c r="A339" s="3453" t="s">
        <v>3542</v>
      </c>
      <c r="B339" s="3453" t="s">
        <v>3915</v>
      </c>
      <c r="C339" s="3454">
        <v>103688.47</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V9"/>
  <sheetViews>
    <sheetView workbookViewId="0">
      <selection activeCell="P33" sqref="P33"/>
    </sheetView>
  </sheetViews>
  <sheetFormatPr defaultRowHeight="12.75"/>
  <cols>
    <col min="1" max="1" width="29.625" style="3447" customWidth="1"/>
    <col min="2" max="2" width="6.25" style="3447" customWidth="1"/>
    <col min="3" max="3" width="11.75" style="3447" customWidth="1"/>
    <col min="4" max="4" width="6.25" style="3447" customWidth="1"/>
    <col min="5" max="5" width="9.625" style="3447" customWidth="1"/>
    <col min="6" max="6" width="13.375" style="3447" customWidth="1"/>
    <col min="7" max="7" width="22.25" style="3447" customWidth="1"/>
    <col min="8" max="9" width="13.875" style="3447" customWidth="1"/>
    <col min="10" max="10" width="6.375" style="3447" customWidth="1"/>
    <col min="11" max="11" width="7.875" style="3447" customWidth="1"/>
    <col min="12" max="12" width="23" style="3447" customWidth="1"/>
    <col min="13" max="14" width="7.875" style="3447" hidden="1" customWidth="1"/>
    <col min="15" max="16" width="7.875" style="3447" customWidth="1"/>
    <col min="17" max="17" width="9.625" style="3447" hidden="1" customWidth="1"/>
    <col min="18" max="19" width="15.5" style="3447" hidden="1" customWidth="1"/>
    <col min="20" max="20" width="12.875" style="3447" hidden="1" customWidth="1"/>
    <col min="21" max="22" width="11.25" style="3447" hidden="1" customWidth="1"/>
    <col min="23" max="23" width="17.875" style="3447" hidden="1" customWidth="1"/>
    <col min="24" max="24" width="7.875" style="3447" customWidth="1"/>
    <col min="25" max="28" width="9" style="3447" customWidth="1"/>
    <col min="29" max="29" width="22.25" style="3447" customWidth="1"/>
    <col min="30" max="31" width="7.875" style="3447" customWidth="1"/>
    <col min="32" max="32" width="8" style="3447" customWidth="1"/>
    <col min="33" max="33" width="7.75" style="3447" customWidth="1"/>
    <col min="34" max="34" width="9" style="3447" customWidth="1"/>
    <col min="35" max="35" width="8.25" style="3447" customWidth="1"/>
    <col min="36" max="36" width="9" style="3447" customWidth="1"/>
    <col min="37" max="37" width="9.25" style="3447" customWidth="1"/>
    <col min="38" max="38" width="8.5" style="3447" hidden="1" customWidth="1"/>
    <col min="39" max="39" width="8.625" style="3447" hidden="1" customWidth="1"/>
    <col min="40" max="40" width="6.25" style="3447" customWidth="1"/>
    <col min="41" max="41" width="17.875" style="3447" customWidth="1"/>
    <col min="42" max="42" width="16.875" style="3447" hidden="1" customWidth="1"/>
    <col min="43" max="44" width="20.125" style="3447" hidden="1" customWidth="1"/>
    <col min="45" max="45" width="7.875" style="3447" customWidth="1"/>
    <col min="46" max="46" width="31" style="3447" customWidth="1"/>
    <col min="47" max="47" width="25.25" style="3447" customWidth="1"/>
    <col min="48" max="16384" width="9" style="3447"/>
  </cols>
  <sheetData>
    <row r="1" spans="1:48">
      <c r="A1" s="3447" t="s">
        <v>3379</v>
      </c>
      <c r="B1" s="3447" t="s">
        <v>3380</v>
      </c>
      <c r="C1" s="3447" t="s">
        <v>3381</v>
      </c>
      <c r="D1" s="3447" t="s">
        <v>3382</v>
      </c>
      <c r="E1" s="3447" t="s">
        <v>3383</v>
      </c>
      <c r="F1" s="3447" t="s">
        <v>3384</v>
      </c>
      <c r="G1" s="3447" t="s">
        <v>3385</v>
      </c>
      <c r="H1" s="3447" t="s">
        <v>3386</v>
      </c>
      <c r="I1" s="3447" t="s">
        <v>3387</v>
      </c>
      <c r="J1" s="3447" t="s">
        <v>3388</v>
      </c>
      <c r="K1" s="3447" t="s">
        <v>3389</v>
      </c>
      <c r="L1" s="3447" t="s">
        <v>3390</v>
      </c>
      <c r="M1" s="3447" t="s">
        <v>3391</v>
      </c>
      <c r="N1" s="3447" t="s">
        <v>3392</v>
      </c>
      <c r="O1" s="3447" t="s">
        <v>3393</v>
      </c>
      <c r="P1" s="3447" t="s">
        <v>3394</v>
      </c>
      <c r="Q1" s="3447" t="s">
        <v>3395</v>
      </c>
      <c r="R1" s="3447" t="s">
        <v>3396</v>
      </c>
      <c r="S1" s="3447" t="s">
        <v>3397</v>
      </c>
      <c r="T1" s="3447" t="s">
        <v>3398</v>
      </c>
      <c r="U1" s="3447" t="s">
        <v>3399</v>
      </c>
      <c r="V1" s="3447" t="s">
        <v>3400</v>
      </c>
      <c r="W1" s="3447" t="s">
        <v>3401</v>
      </c>
      <c r="X1" s="3447" t="s">
        <v>3402</v>
      </c>
      <c r="Y1" s="3447" t="s">
        <v>3403</v>
      </c>
      <c r="Z1" s="3447" t="s">
        <v>3404</v>
      </c>
      <c r="AA1" s="3447" t="s">
        <v>3405</v>
      </c>
      <c r="AB1" s="3447" t="s">
        <v>3406</v>
      </c>
      <c r="AC1" s="3447" t="s">
        <v>3407</v>
      </c>
      <c r="AD1" s="3447" t="s">
        <v>3408</v>
      </c>
      <c r="AE1" s="3447" t="s">
        <v>3409</v>
      </c>
      <c r="AF1" s="3447" t="s">
        <v>3410</v>
      </c>
      <c r="AG1" s="3447" t="s">
        <v>3411</v>
      </c>
      <c r="AH1" s="3447" t="s">
        <v>3412</v>
      </c>
      <c r="AI1" s="3447" t="s">
        <v>3413</v>
      </c>
      <c r="AJ1" s="3447" t="s">
        <v>3414</v>
      </c>
      <c r="AK1" s="3447" t="s">
        <v>3415</v>
      </c>
      <c r="AL1" s="3447" t="s">
        <v>3416</v>
      </c>
      <c r="AM1" s="3447" t="s">
        <v>3417</v>
      </c>
      <c r="AN1" s="3447" t="s">
        <v>3418</v>
      </c>
      <c r="AO1" s="3447" t="s">
        <v>3419</v>
      </c>
      <c r="AP1" s="3447" t="s">
        <v>3420</v>
      </c>
      <c r="AQ1" s="3447" t="s">
        <v>3421</v>
      </c>
      <c r="AR1" s="3447" t="s">
        <v>3422</v>
      </c>
      <c r="AS1" s="3447" t="s">
        <v>3423</v>
      </c>
      <c r="AT1" s="3447" t="s">
        <v>3424</v>
      </c>
      <c r="AU1" s="3447" t="s">
        <v>3425</v>
      </c>
    </row>
    <row r="2" spans="1:48">
      <c r="A2" s="3447" t="s">
        <v>3426</v>
      </c>
      <c r="B2" s="3447" t="s">
        <v>3375</v>
      </c>
      <c r="C2" s="3447" t="s">
        <v>3427</v>
      </c>
      <c r="D2" s="3447" t="s">
        <v>3428</v>
      </c>
      <c r="E2" s="3447" t="s">
        <v>3429</v>
      </c>
      <c r="F2" s="3447" t="s">
        <v>3430</v>
      </c>
      <c r="G2" s="3447" t="s">
        <v>3431</v>
      </c>
      <c r="H2" s="3447">
        <v>101190.07</v>
      </c>
      <c r="I2" s="3447">
        <v>198291</v>
      </c>
      <c r="J2" s="3447" t="s">
        <v>3432</v>
      </c>
      <c r="K2" s="3447" t="s">
        <v>3433</v>
      </c>
      <c r="L2" s="3447" t="s">
        <v>3434</v>
      </c>
      <c r="M2" s="3447">
        <v>0</v>
      </c>
      <c r="N2" s="3447" t="s">
        <v>633</v>
      </c>
      <c r="O2" s="3447" t="s">
        <v>3435</v>
      </c>
      <c r="P2" s="3447" t="s">
        <v>3436</v>
      </c>
      <c r="Q2" s="3447" t="s">
        <v>633</v>
      </c>
      <c r="R2" s="3447" t="s">
        <v>633</v>
      </c>
      <c r="S2" s="3447" t="s">
        <v>633</v>
      </c>
      <c r="T2" s="3447" t="s">
        <v>633</v>
      </c>
      <c r="U2" s="3447" t="s">
        <v>633</v>
      </c>
      <c r="V2" s="3447" t="s">
        <v>633</v>
      </c>
      <c r="W2" s="3447" t="s">
        <v>633</v>
      </c>
      <c r="X2" s="3447" t="s">
        <v>3437</v>
      </c>
      <c r="Y2" s="3447" t="s">
        <v>3438</v>
      </c>
      <c r="Z2" s="3447" t="s">
        <v>3439</v>
      </c>
      <c r="AA2" s="3447" t="s">
        <v>3440</v>
      </c>
      <c r="AB2" s="3447" t="s">
        <v>3440</v>
      </c>
      <c r="AC2" s="3447" t="s">
        <v>3431</v>
      </c>
      <c r="AD2" s="3447" t="s">
        <v>3441</v>
      </c>
      <c r="AE2" s="3447">
        <v>20000</v>
      </c>
      <c r="AF2" s="3447">
        <v>100000</v>
      </c>
      <c r="AG2" s="3447">
        <v>100000</v>
      </c>
      <c r="AH2" s="3447">
        <v>658.83</v>
      </c>
      <c r="AI2" s="3447">
        <v>658.83</v>
      </c>
      <c r="AJ2" s="3447">
        <v>5043.09</v>
      </c>
      <c r="AK2" s="3447">
        <v>5043.09</v>
      </c>
      <c r="AL2" s="3447" t="s">
        <v>633</v>
      </c>
      <c r="AM2" s="3447" t="s">
        <v>633</v>
      </c>
      <c r="AN2" s="3447">
        <v>0</v>
      </c>
      <c r="AO2" s="3447" t="s">
        <v>3442</v>
      </c>
      <c r="AP2" s="3447" t="s">
        <v>633</v>
      </c>
      <c r="AQ2" s="3447" t="s">
        <v>633</v>
      </c>
      <c r="AR2" s="3447" t="s">
        <v>633</v>
      </c>
      <c r="AS2" s="3447" t="s">
        <v>3443</v>
      </c>
      <c r="AT2" s="3447" t="s">
        <v>3444</v>
      </c>
      <c r="AU2" s="3447" t="s">
        <v>3445</v>
      </c>
      <c r="AV2" s="3448" t="s">
        <v>3446</v>
      </c>
    </row>
    <row r="3" spans="1:48" s="3449" customFormat="1">
      <c r="A3" s="3449" t="s">
        <v>3447</v>
      </c>
      <c r="B3" s="3449" t="s">
        <v>3375</v>
      </c>
      <c r="C3" s="3449" t="s">
        <v>3427</v>
      </c>
      <c r="D3" s="3449" t="s">
        <v>3448</v>
      </c>
      <c r="E3" s="3449" t="s">
        <v>3449</v>
      </c>
      <c r="F3" s="3449" t="s">
        <v>3450</v>
      </c>
      <c r="G3" s="3449" t="s">
        <v>3451</v>
      </c>
      <c r="H3" s="3449">
        <v>82500</v>
      </c>
      <c r="I3" s="3449">
        <v>165000</v>
      </c>
      <c r="J3" s="3449">
        <v>2</v>
      </c>
      <c r="K3" s="3449" t="s">
        <v>3433</v>
      </c>
      <c r="L3" s="3449" t="s">
        <v>3452</v>
      </c>
      <c r="M3" s="3449">
        <v>0</v>
      </c>
      <c r="N3" s="3449" t="s">
        <v>633</v>
      </c>
      <c r="O3" s="3449" t="s">
        <v>633</v>
      </c>
      <c r="P3" s="3449" t="s">
        <v>633</v>
      </c>
      <c r="Q3" s="3449" t="s">
        <v>633</v>
      </c>
      <c r="R3" s="3449" t="s">
        <v>633</v>
      </c>
      <c r="S3" s="3449" t="s">
        <v>633</v>
      </c>
      <c r="T3" s="3449" t="s">
        <v>633</v>
      </c>
      <c r="U3" s="3449" t="s">
        <v>633</v>
      </c>
      <c r="V3" s="3449" t="s">
        <v>633</v>
      </c>
      <c r="W3" s="3449" t="s">
        <v>633</v>
      </c>
      <c r="X3" s="3449" t="s">
        <v>3437</v>
      </c>
      <c r="Y3" s="3449" t="s">
        <v>3453</v>
      </c>
      <c r="Z3" s="3449" t="s">
        <v>3454</v>
      </c>
      <c r="AA3" s="3449" t="s">
        <v>3455</v>
      </c>
      <c r="AB3" s="3449" t="s">
        <v>3455</v>
      </c>
      <c r="AC3" s="3449" t="s">
        <v>3451</v>
      </c>
      <c r="AD3" s="3449" t="s">
        <v>3441</v>
      </c>
      <c r="AE3" s="3449">
        <v>78000</v>
      </c>
      <c r="AF3" s="3449">
        <v>260700</v>
      </c>
      <c r="AG3" s="3449">
        <v>260700</v>
      </c>
      <c r="AH3" s="3449">
        <v>2106.67</v>
      </c>
      <c r="AI3" s="3449">
        <v>2106.67</v>
      </c>
      <c r="AJ3" s="3449">
        <v>15800</v>
      </c>
      <c r="AK3" s="3449">
        <v>15800</v>
      </c>
      <c r="AL3" s="3449" t="s">
        <v>633</v>
      </c>
      <c r="AM3" s="3449" t="s">
        <v>633</v>
      </c>
      <c r="AN3" s="3449">
        <v>0</v>
      </c>
      <c r="AO3" s="3449">
        <v>40</v>
      </c>
      <c r="AP3" s="3449" t="s">
        <v>633</v>
      </c>
      <c r="AQ3" s="3449" t="s">
        <v>633</v>
      </c>
      <c r="AR3" s="3449" t="s">
        <v>633</v>
      </c>
      <c r="AS3" s="3449" t="s">
        <v>3456</v>
      </c>
      <c r="AT3" s="3449" t="s">
        <v>3457</v>
      </c>
      <c r="AU3" s="3449" t="s">
        <v>3458</v>
      </c>
      <c r="AV3" s="3450" t="s">
        <v>3459</v>
      </c>
    </row>
    <row r="4" spans="1:48">
      <c r="A4" s="3447" t="s">
        <v>3460</v>
      </c>
      <c r="B4" s="3447" t="s">
        <v>3375</v>
      </c>
      <c r="C4" s="3447" t="s">
        <v>3427</v>
      </c>
      <c r="D4" s="3447" t="s">
        <v>3448</v>
      </c>
      <c r="E4" s="3447" t="s">
        <v>3461</v>
      </c>
      <c r="F4" s="3447" t="s">
        <v>3462</v>
      </c>
      <c r="G4" s="3447" t="s">
        <v>3463</v>
      </c>
      <c r="H4" s="3447">
        <v>4800</v>
      </c>
      <c r="I4" s="3447">
        <v>1920</v>
      </c>
      <c r="J4" s="3447" t="s">
        <v>3464</v>
      </c>
      <c r="K4" s="3447" t="s">
        <v>3433</v>
      </c>
      <c r="L4" s="3447" t="s">
        <v>3465</v>
      </c>
      <c r="M4" s="3447">
        <v>0</v>
      </c>
      <c r="N4" s="3447" t="s">
        <v>633</v>
      </c>
      <c r="O4" s="3447" t="s">
        <v>633</v>
      </c>
      <c r="P4" s="3447" t="s">
        <v>633</v>
      </c>
      <c r="Q4" s="3447" t="s">
        <v>633</v>
      </c>
      <c r="R4" s="3447" t="s">
        <v>633</v>
      </c>
      <c r="S4" s="3447" t="s">
        <v>633</v>
      </c>
      <c r="T4" s="3447" t="s">
        <v>633</v>
      </c>
      <c r="U4" s="3447" t="s">
        <v>633</v>
      </c>
      <c r="V4" s="3447" t="s">
        <v>633</v>
      </c>
      <c r="W4" s="3447" t="s">
        <v>633</v>
      </c>
      <c r="X4" s="3447" t="s">
        <v>3437</v>
      </c>
      <c r="Y4" s="3447" t="s">
        <v>3466</v>
      </c>
      <c r="Z4" s="3447" t="s">
        <v>3467</v>
      </c>
      <c r="AA4" s="3447" t="s">
        <v>3468</v>
      </c>
      <c r="AB4" s="3447" t="s">
        <v>3468</v>
      </c>
      <c r="AC4" s="3447" t="s">
        <v>3463</v>
      </c>
      <c r="AD4" s="3447" t="s">
        <v>3441</v>
      </c>
      <c r="AE4" s="3447">
        <v>1200</v>
      </c>
      <c r="AF4" s="3447">
        <v>5800</v>
      </c>
      <c r="AG4" s="3447">
        <v>5800</v>
      </c>
      <c r="AH4" s="3447">
        <v>805.56</v>
      </c>
      <c r="AI4" s="3447">
        <v>805.56</v>
      </c>
      <c r="AJ4" s="3447">
        <v>30208.33</v>
      </c>
      <c r="AK4" s="3447">
        <v>30208.33</v>
      </c>
      <c r="AL4" s="3447" t="s">
        <v>633</v>
      </c>
      <c r="AM4" s="3447" t="s">
        <v>633</v>
      </c>
      <c r="AN4" s="3447">
        <v>0</v>
      </c>
      <c r="AO4" s="3447" t="s">
        <v>3469</v>
      </c>
      <c r="AP4" s="3447" t="s">
        <v>633</v>
      </c>
      <c r="AQ4" s="3447" t="s">
        <v>633</v>
      </c>
      <c r="AR4" s="3447" t="s">
        <v>633</v>
      </c>
      <c r="AS4" s="3447" t="s">
        <v>3443</v>
      </c>
      <c r="AT4" s="3447" t="s">
        <v>3470</v>
      </c>
      <c r="AU4" s="3447" t="s">
        <v>633</v>
      </c>
    </row>
    <row r="5" spans="1:48">
      <c r="A5" s="3447" t="s">
        <v>3471</v>
      </c>
      <c r="B5" s="3447" t="s">
        <v>3375</v>
      </c>
      <c r="C5" s="3447" t="s">
        <v>3427</v>
      </c>
      <c r="D5" s="3447" t="s">
        <v>3448</v>
      </c>
      <c r="E5" s="3447" t="s">
        <v>633</v>
      </c>
      <c r="F5" s="3447" t="s">
        <v>3472</v>
      </c>
      <c r="G5" s="3447" t="s">
        <v>3473</v>
      </c>
      <c r="H5" s="3447">
        <v>17308.8</v>
      </c>
      <c r="I5" s="3447">
        <v>86544</v>
      </c>
      <c r="J5" s="3447" t="s">
        <v>3474</v>
      </c>
      <c r="K5" s="3447" t="s">
        <v>3433</v>
      </c>
      <c r="L5" s="3447" t="s">
        <v>3434</v>
      </c>
      <c r="M5" s="3447">
        <v>0</v>
      </c>
      <c r="N5" s="3447" t="s">
        <v>633</v>
      </c>
      <c r="O5" s="3447" t="s">
        <v>3475</v>
      </c>
      <c r="P5" s="3447">
        <v>100</v>
      </c>
      <c r="Q5" s="3447" t="s">
        <v>633</v>
      </c>
      <c r="R5" s="3447" t="s">
        <v>633</v>
      </c>
      <c r="S5" s="3447" t="s">
        <v>633</v>
      </c>
      <c r="T5" s="3447" t="s">
        <v>633</v>
      </c>
      <c r="U5" s="3447" t="s">
        <v>633</v>
      </c>
      <c r="V5" s="3447" t="s">
        <v>633</v>
      </c>
      <c r="W5" s="3447" t="s">
        <v>633</v>
      </c>
      <c r="X5" s="3447" t="s">
        <v>3437</v>
      </c>
      <c r="Y5" s="3447" t="s">
        <v>3476</v>
      </c>
      <c r="Z5" s="3447" t="s">
        <v>3477</v>
      </c>
      <c r="AA5" s="3447" t="s">
        <v>3478</v>
      </c>
      <c r="AB5" s="3447" t="s">
        <v>3478</v>
      </c>
      <c r="AC5" s="3447" t="s">
        <v>3473</v>
      </c>
      <c r="AD5" s="3447" t="s">
        <v>3441</v>
      </c>
      <c r="AE5" s="3447">
        <v>18300</v>
      </c>
      <c r="AF5" s="3447">
        <v>91400</v>
      </c>
      <c r="AG5" s="3447">
        <v>91400</v>
      </c>
      <c r="AH5" s="3447">
        <v>3520.37</v>
      </c>
      <c r="AI5" s="3447">
        <v>3520.37</v>
      </c>
      <c r="AJ5" s="3447">
        <v>10561.1</v>
      </c>
      <c r="AK5" s="3447">
        <v>10561.1</v>
      </c>
      <c r="AL5" s="3447" t="s">
        <v>633</v>
      </c>
      <c r="AM5" s="3447" t="s">
        <v>633</v>
      </c>
      <c r="AN5" s="3447">
        <v>0</v>
      </c>
      <c r="AO5" s="3447" t="s">
        <v>3479</v>
      </c>
      <c r="AP5" s="3447" t="s">
        <v>633</v>
      </c>
      <c r="AQ5" s="3447" t="s">
        <v>633</v>
      </c>
      <c r="AR5" s="3447" t="s">
        <v>633</v>
      </c>
      <c r="AS5" s="3447" t="s">
        <v>3480</v>
      </c>
      <c r="AT5" s="3447" t="s">
        <v>3481</v>
      </c>
      <c r="AU5" s="3447" t="s">
        <v>3481</v>
      </c>
    </row>
    <row r="6" spans="1:48">
      <c r="A6" s="3447" t="s">
        <v>3482</v>
      </c>
      <c r="B6" s="3447" t="s">
        <v>3375</v>
      </c>
      <c r="C6" s="3447" t="s">
        <v>3427</v>
      </c>
      <c r="D6" s="3447" t="s">
        <v>3448</v>
      </c>
      <c r="E6" s="3447" t="s">
        <v>3483</v>
      </c>
      <c r="F6" s="3447" t="s">
        <v>3462</v>
      </c>
      <c r="G6" s="3447" t="s">
        <v>3484</v>
      </c>
      <c r="H6" s="3447">
        <v>59169.74</v>
      </c>
      <c r="I6" s="3447">
        <v>130173.43</v>
      </c>
      <c r="J6" s="3447" t="s">
        <v>3485</v>
      </c>
      <c r="K6" s="3447" t="s">
        <v>3433</v>
      </c>
      <c r="L6" s="3447" t="s">
        <v>3434</v>
      </c>
      <c r="M6" s="3447">
        <v>0</v>
      </c>
      <c r="N6" s="3447" t="s">
        <v>633</v>
      </c>
      <c r="O6" s="3447" t="s">
        <v>633</v>
      </c>
      <c r="P6" s="3447" t="s">
        <v>633</v>
      </c>
      <c r="Q6" s="3447" t="s">
        <v>633</v>
      </c>
      <c r="R6" s="3447" t="s">
        <v>633</v>
      </c>
      <c r="S6" s="3447" t="s">
        <v>633</v>
      </c>
      <c r="T6" s="3447" t="s">
        <v>633</v>
      </c>
      <c r="U6" s="3447" t="s">
        <v>633</v>
      </c>
      <c r="V6" s="3447" t="s">
        <v>633</v>
      </c>
      <c r="W6" s="3447" t="s">
        <v>633</v>
      </c>
      <c r="X6" s="3447" t="s">
        <v>3437</v>
      </c>
      <c r="Y6" s="3447" t="s">
        <v>3486</v>
      </c>
      <c r="Z6" s="3447" t="s">
        <v>3487</v>
      </c>
      <c r="AA6" s="3447" t="s">
        <v>3488</v>
      </c>
      <c r="AB6" s="3447" t="s">
        <v>3488</v>
      </c>
      <c r="AC6" s="3447" t="s">
        <v>3484</v>
      </c>
      <c r="AD6" s="3447" t="s">
        <v>3441</v>
      </c>
      <c r="AE6" s="3447">
        <v>27000</v>
      </c>
      <c r="AF6" s="3447">
        <v>131600</v>
      </c>
      <c r="AG6" s="3447">
        <v>131600</v>
      </c>
      <c r="AH6" s="3447">
        <v>1482.74</v>
      </c>
      <c r="AI6" s="3447">
        <v>1482.74</v>
      </c>
      <c r="AJ6" s="3447">
        <v>10109.59</v>
      </c>
      <c r="AK6" s="3447">
        <v>10109.59</v>
      </c>
      <c r="AL6" s="3447" t="s">
        <v>633</v>
      </c>
      <c r="AM6" s="3447" t="s">
        <v>633</v>
      </c>
      <c r="AN6" s="3447">
        <v>0</v>
      </c>
      <c r="AO6" s="3447" t="s">
        <v>3442</v>
      </c>
      <c r="AP6" s="3447" t="s">
        <v>633</v>
      </c>
      <c r="AQ6" s="3447" t="s">
        <v>633</v>
      </c>
      <c r="AR6" s="3447" t="s">
        <v>633</v>
      </c>
      <c r="AS6" s="3447" t="s">
        <v>3443</v>
      </c>
      <c r="AT6" s="3447" t="s">
        <v>3489</v>
      </c>
      <c r="AU6" s="3447" t="s">
        <v>3490</v>
      </c>
    </row>
    <row r="7" spans="1:48">
      <c r="A7" s="3447" t="s">
        <v>3491</v>
      </c>
      <c r="B7" s="3447" t="s">
        <v>3375</v>
      </c>
      <c r="C7" s="3447" t="s">
        <v>3427</v>
      </c>
      <c r="D7" s="3447" t="s">
        <v>3448</v>
      </c>
      <c r="E7" s="3447" t="s">
        <v>3461</v>
      </c>
      <c r="F7" s="3447" t="s">
        <v>3492</v>
      </c>
      <c r="G7" s="3447" t="s">
        <v>3493</v>
      </c>
      <c r="H7" s="3447">
        <v>12066.9</v>
      </c>
      <c r="I7" s="3447">
        <v>18100.349999999999</v>
      </c>
      <c r="J7" s="3447">
        <v>1.5</v>
      </c>
      <c r="K7" s="3447" t="s">
        <v>3433</v>
      </c>
      <c r="L7" s="3447" t="s">
        <v>3494</v>
      </c>
      <c r="M7" s="3447">
        <v>0</v>
      </c>
      <c r="N7" s="3447" t="s">
        <v>633</v>
      </c>
      <c r="O7" s="3447" t="s">
        <v>3495</v>
      </c>
      <c r="P7" s="3447" t="s">
        <v>3496</v>
      </c>
      <c r="Q7" s="3447" t="s">
        <v>633</v>
      </c>
      <c r="R7" s="3447" t="s">
        <v>633</v>
      </c>
      <c r="S7" s="3447" t="s">
        <v>633</v>
      </c>
      <c r="T7" s="3447" t="s">
        <v>633</v>
      </c>
      <c r="U7" s="3447" t="s">
        <v>633</v>
      </c>
      <c r="V7" s="3447" t="s">
        <v>633</v>
      </c>
      <c r="W7" s="3447" t="s">
        <v>633</v>
      </c>
      <c r="X7" s="3447" t="s">
        <v>3437</v>
      </c>
      <c r="Y7" s="3447" t="s">
        <v>3497</v>
      </c>
      <c r="Z7" s="3447" t="s">
        <v>3498</v>
      </c>
      <c r="AA7" s="3447" t="s">
        <v>3499</v>
      </c>
      <c r="AB7" s="3447" t="s">
        <v>3499</v>
      </c>
      <c r="AC7" s="3447" t="s">
        <v>3493</v>
      </c>
      <c r="AD7" s="3447" t="s">
        <v>3441</v>
      </c>
      <c r="AE7" s="3447">
        <v>1900</v>
      </c>
      <c r="AF7" s="3447">
        <v>9400</v>
      </c>
      <c r="AG7" s="3447">
        <v>9400</v>
      </c>
      <c r="AH7" s="3447">
        <v>519.33000000000004</v>
      </c>
      <c r="AI7" s="3447">
        <v>519.33000000000004</v>
      </c>
      <c r="AJ7" s="3447">
        <v>5193.26</v>
      </c>
      <c r="AK7" s="3447">
        <v>5193.2700000000004</v>
      </c>
      <c r="AL7" s="3447" t="s">
        <v>633</v>
      </c>
      <c r="AM7" s="3447" t="s">
        <v>633</v>
      </c>
      <c r="AN7" s="3447">
        <v>0</v>
      </c>
      <c r="AO7" s="3447" t="s">
        <v>3500</v>
      </c>
      <c r="AP7" s="3447" t="s">
        <v>633</v>
      </c>
      <c r="AQ7" s="3447" t="s">
        <v>633</v>
      </c>
      <c r="AR7" s="3447" t="s">
        <v>633</v>
      </c>
      <c r="AS7" s="3447" t="s">
        <v>3443</v>
      </c>
      <c r="AT7" s="3447" t="s">
        <v>3489</v>
      </c>
      <c r="AU7" s="3447" t="s">
        <v>633</v>
      </c>
    </row>
    <row r="8" spans="1:48" s="3449" customFormat="1">
      <c r="A8" s="3449" t="s">
        <v>3501</v>
      </c>
      <c r="B8" s="3449" t="s">
        <v>3375</v>
      </c>
      <c r="C8" s="3449" t="s">
        <v>3427</v>
      </c>
      <c r="D8" s="3449" t="s">
        <v>3448</v>
      </c>
      <c r="E8" s="3449" t="s">
        <v>3502</v>
      </c>
      <c r="F8" s="3449" t="s">
        <v>3503</v>
      </c>
      <c r="G8" s="3449" t="s">
        <v>3504</v>
      </c>
      <c r="H8" s="3449">
        <v>15178.6</v>
      </c>
      <c r="I8" s="3449">
        <v>45535.8</v>
      </c>
      <c r="J8" s="3449">
        <v>3</v>
      </c>
      <c r="K8" s="3449" t="s">
        <v>3433</v>
      </c>
      <c r="L8" s="3449" t="s">
        <v>3434</v>
      </c>
      <c r="M8" s="3449">
        <v>0</v>
      </c>
      <c r="N8" s="3449" t="s">
        <v>633</v>
      </c>
      <c r="O8" s="3449" t="s">
        <v>633</v>
      </c>
      <c r="P8" s="3449" t="s">
        <v>633</v>
      </c>
      <c r="Q8" s="3449" t="s">
        <v>633</v>
      </c>
      <c r="R8" s="3449" t="s">
        <v>633</v>
      </c>
      <c r="S8" s="3449" t="s">
        <v>633</v>
      </c>
      <c r="T8" s="3449" t="s">
        <v>633</v>
      </c>
      <c r="U8" s="3449" t="s">
        <v>633</v>
      </c>
      <c r="V8" s="3449" t="s">
        <v>633</v>
      </c>
      <c r="W8" s="3449" t="s">
        <v>633</v>
      </c>
      <c r="X8" s="3449" t="s">
        <v>3437</v>
      </c>
      <c r="Y8" s="3449" t="s">
        <v>3505</v>
      </c>
      <c r="Z8" s="3449" t="s">
        <v>3506</v>
      </c>
      <c r="AA8" s="3449" t="s">
        <v>3507</v>
      </c>
      <c r="AB8" s="3449" t="s">
        <v>3507</v>
      </c>
      <c r="AC8" s="3449" t="s">
        <v>3504</v>
      </c>
      <c r="AD8" s="3449" t="s">
        <v>3441</v>
      </c>
      <c r="AE8" s="3449">
        <v>11700</v>
      </c>
      <c r="AF8" s="3449">
        <v>58400</v>
      </c>
      <c r="AG8" s="3449">
        <v>58400</v>
      </c>
      <c r="AH8" s="3449">
        <v>2565.0100000000002</v>
      </c>
      <c r="AI8" s="3449">
        <v>2565.0100000000002</v>
      </c>
      <c r="AJ8" s="3449">
        <v>12825.07</v>
      </c>
      <c r="AK8" s="3449">
        <v>12825.07</v>
      </c>
      <c r="AL8" s="3449" t="s">
        <v>633</v>
      </c>
      <c r="AM8" s="3449" t="s">
        <v>633</v>
      </c>
      <c r="AN8" s="3449">
        <v>0</v>
      </c>
      <c r="AO8" s="3449" t="s">
        <v>3508</v>
      </c>
      <c r="AP8" s="3449" t="s">
        <v>633</v>
      </c>
      <c r="AQ8" s="3449" t="s">
        <v>633</v>
      </c>
      <c r="AR8" s="3449" t="s">
        <v>633</v>
      </c>
      <c r="AS8" s="3449" t="s">
        <v>3456</v>
      </c>
      <c r="AT8" s="3449" t="s">
        <v>3509</v>
      </c>
      <c r="AU8" s="3449" t="s">
        <v>3509</v>
      </c>
      <c r="AV8" s="3450" t="s">
        <v>3510</v>
      </c>
    </row>
    <row r="9" spans="1:48" s="3449" customFormat="1">
      <c r="A9" s="3449" t="s">
        <v>3511</v>
      </c>
      <c r="B9" s="3449" t="s">
        <v>3375</v>
      </c>
      <c r="C9" s="3449" t="s">
        <v>3427</v>
      </c>
      <c r="D9" s="3449" t="s">
        <v>3448</v>
      </c>
      <c r="E9" s="3449" t="s">
        <v>3512</v>
      </c>
      <c r="F9" s="3449" t="s">
        <v>3513</v>
      </c>
      <c r="G9" s="3449" t="s">
        <v>3514</v>
      </c>
      <c r="H9" s="3449">
        <v>15197.52</v>
      </c>
      <c r="I9" s="3449">
        <v>30395.05</v>
      </c>
      <c r="J9" s="3449">
        <v>2</v>
      </c>
      <c r="K9" s="3449" t="s">
        <v>3433</v>
      </c>
      <c r="L9" s="3449" t="s">
        <v>3515</v>
      </c>
      <c r="M9" s="3449" t="s">
        <v>3516</v>
      </c>
      <c r="N9" s="3449" t="s">
        <v>633</v>
      </c>
      <c r="O9" s="3449" t="s">
        <v>633</v>
      </c>
      <c r="P9" s="3449">
        <v>36</v>
      </c>
      <c r="Q9" s="3449" t="s">
        <v>633</v>
      </c>
      <c r="R9" s="3449" t="s">
        <v>633</v>
      </c>
      <c r="S9" s="3449" t="s">
        <v>633</v>
      </c>
      <c r="T9" s="3449" t="s">
        <v>633</v>
      </c>
      <c r="U9" s="3449" t="s">
        <v>633</v>
      </c>
      <c r="V9" s="3449" t="s">
        <v>633</v>
      </c>
      <c r="W9" s="3449" t="s">
        <v>633</v>
      </c>
      <c r="X9" s="3449" t="s">
        <v>3517</v>
      </c>
      <c r="Y9" s="3449" t="s">
        <v>3518</v>
      </c>
      <c r="Z9" s="3449" t="s">
        <v>3519</v>
      </c>
      <c r="AA9" s="3449" t="s">
        <v>3520</v>
      </c>
      <c r="AB9" s="3449" t="s">
        <v>3520</v>
      </c>
      <c r="AC9" s="3449" t="s">
        <v>3514</v>
      </c>
      <c r="AD9" s="3449" t="s">
        <v>3441</v>
      </c>
      <c r="AE9" s="3449">
        <v>8600</v>
      </c>
      <c r="AF9" s="3449">
        <v>42600</v>
      </c>
      <c r="AG9" s="3449">
        <v>42600</v>
      </c>
      <c r="AH9" s="3449">
        <v>1868.73</v>
      </c>
      <c r="AI9" s="3449">
        <v>1868.73</v>
      </c>
      <c r="AJ9" s="3449">
        <v>14015.44</v>
      </c>
      <c r="AK9" s="3449">
        <v>14015.44</v>
      </c>
      <c r="AL9" s="3449" t="s">
        <v>633</v>
      </c>
      <c r="AM9" s="3449" t="s">
        <v>633</v>
      </c>
      <c r="AN9" s="3449">
        <v>0</v>
      </c>
      <c r="AO9" s="3449" t="s">
        <v>3508</v>
      </c>
      <c r="AP9" s="3449" t="s">
        <v>633</v>
      </c>
      <c r="AQ9" s="3449" t="s">
        <v>633</v>
      </c>
      <c r="AR9" s="3449" t="s">
        <v>633</v>
      </c>
      <c r="AS9" s="3449" t="s">
        <v>3456</v>
      </c>
      <c r="AT9" s="3449" t="s">
        <v>3521</v>
      </c>
      <c r="AU9" s="3449" t="s">
        <v>3522</v>
      </c>
      <c r="AV9" s="3450" t="s">
        <v>3459</v>
      </c>
    </row>
  </sheetData>
  <phoneticPr fontId="135" type="noConversion"/>
  <pageMargins left="0.75" right="0.75" top="1" bottom="1" header="0.5" footer="0.5"/>
  <pageSetup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4" sqref="F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2169</v>
      </c>
      <c r="B3" s="3839">
        <v>45317</v>
      </c>
      <c r="C3" s="2371" t="s">
        <v>2170</v>
      </c>
      <c r="D3" s="3839">
        <f>B3</f>
        <v>45317</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3370</v>
      </c>
      <c r="C8" s="2387"/>
      <c r="D8" s="3540" t="s">
        <v>2176</v>
      </c>
      <c r="E8" s="2388" t="s">
        <v>3374</v>
      </c>
      <c r="F8" s="2389"/>
      <c r="G8" s="2660"/>
      <c r="H8" s="2660"/>
      <c r="I8" s="2660"/>
      <c r="J8" s="2436"/>
      <c r="K8" s="2611"/>
      <c r="L8" s="2610"/>
      <c r="M8" s="2610"/>
      <c r="N8" s="2436"/>
      <c r="O8" s="2447"/>
      <c r="P8" s="2436"/>
      <c r="Q8" s="2436"/>
      <c r="R8" s="2436"/>
    </row>
    <row r="9" spans="1:30" ht="13.5" thickBot="1">
      <c r="A9" s="2390" t="s">
        <v>2177</v>
      </c>
      <c r="B9" s="2391" t="s">
        <v>3374</v>
      </c>
      <c r="C9" s="2392"/>
      <c r="D9" s="3541"/>
      <c r="E9" s="2391" t="s">
        <v>43</v>
      </c>
      <c r="F9" s="2393"/>
      <c r="G9" s="2662"/>
      <c r="H9" s="2662"/>
      <c r="I9" s="2662"/>
      <c r="J9" s="2436"/>
      <c r="K9" s="2613"/>
      <c r="L9" s="2610"/>
      <c r="M9" s="2610"/>
      <c r="N9" s="2436"/>
      <c r="O9" s="2447"/>
      <c r="P9" s="2436"/>
      <c r="Q9" s="2436"/>
      <c r="R9" s="2436"/>
    </row>
    <row r="10" spans="1:30" ht="13.5" thickTop="1">
      <c r="A10" s="2394" t="s">
        <v>2178</v>
      </c>
      <c r="B10" s="2395" t="s">
        <v>3375</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3376</v>
      </c>
      <c r="C11" s="2400"/>
      <c r="D11" s="2401"/>
      <c r="E11" s="2368"/>
      <c r="F11" s="2368"/>
      <c r="G11" s="2368"/>
      <c r="H11" s="2368"/>
      <c r="I11" s="2368"/>
      <c r="J11" s="3058"/>
      <c r="K11" s="3057"/>
      <c r="L11" s="2610"/>
      <c r="M11" s="2610"/>
      <c r="N11" s="2436"/>
      <c r="O11" s="2447"/>
      <c r="P11" s="2436"/>
      <c r="Q11" s="2436"/>
      <c r="R11" s="2436"/>
    </row>
    <row r="12" spans="1:30">
      <c r="A12" s="2402" t="s">
        <v>2181</v>
      </c>
      <c r="B12" s="321" t="s">
        <v>2182</v>
      </c>
      <c r="C12" s="2403" t="s">
        <v>2183</v>
      </c>
      <c r="D12" s="2403" t="s">
        <v>2184</v>
      </c>
      <c r="E12" s="2403" t="s">
        <v>2185</v>
      </c>
      <c r="F12" s="2403" t="s">
        <v>2186</v>
      </c>
      <c r="G12" s="2403" t="s">
        <v>2187</v>
      </c>
      <c r="H12" s="2403" t="s">
        <v>2188</v>
      </c>
      <c r="I12" s="3056" t="s">
        <v>2571</v>
      </c>
      <c r="J12" s="3059"/>
      <c r="K12" s="2610"/>
      <c r="L12" s="2610"/>
      <c r="M12" s="2436"/>
      <c r="N12" s="2447"/>
      <c r="O12" s="2436"/>
      <c r="P12" s="2436"/>
      <c r="Q12" s="2436"/>
      <c r="AD12" s="1743"/>
    </row>
    <row r="13" spans="1:30">
      <c r="A13" s="3420" t="s">
        <v>3326</v>
      </c>
      <c r="B13" s="2404" t="s">
        <v>2189</v>
      </c>
      <c r="C13" s="854"/>
      <c r="D13" s="854">
        <v>55485</v>
      </c>
      <c r="E13" s="854"/>
      <c r="F13" s="854">
        <v>59138</v>
      </c>
      <c r="G13" s="854"/>
      <c r="H13" s="854"/>
      <c r="I13" s="854"/>
      <c r="J13" s="3059"/>
      <c r="K13" s="2610"/>
      <c r="L13" s="2610"/>
      <c r="M13" s="2436"/>
      <c r="N13" s="2447"/>
      <c r="O13" s="2436"/>
      <c r="P13" s="2436"/>
      <c r="Q13" s="2436"/>
      <c r="AD13" s="1743"/>
    </row>
    <row r="14" spans="1:30">
      <c r="A14" s="1079"/>
      <c r="B14" s="2404" t="s">
        <v>2190</v>
      </c>
      <c r="C14" s="2405"/>
      <c r="D14" s="2405">
        <v>40</v>
      </c>
      <c r="E14" s="2405"/>
      <c r="F14" s="2405">
        <v>50</v>
      </c>
      <c r="G14" s="2405"/>
      <c r="H14" s="2405"/>
      <c r="I14" s="2405"/>
      <c r="J14" s="3060"/>
      <c r="K14" s="2610"/>
      <c r="L14" s="2610"/>
      <c r="M14" s="2436"/>
      <c r="N14" s="2447"/>
      <c r="O14" s="2436"/>
      <c r="P14" s="2436"/>
      <c r="Q14" s="2436"/>
      <c r="AD14" s="1743"/>
    </row>
    <row r="15" spans="1:30">
      <c r="A15" s="318"/>
      <c r="B15" s="2406" t="s">
        <v>2191</v>
      </c>
      <c r="C15" s="2407" t="str">
        <f>IF(A13="出让",IF(C13="","",ROUNDDOWN(MIN((C13-$D$3)/365,C14),2)),C14)</f>
        <v/>
      </c>
      <c r="D15" s="2407">
        <f>IF(A13="出让",IF(D13="","",ROUNDDOWN(MIN((D13-$D$3)/365,D14),2)),D14)</f>
        <v>27.85</v>
      </c>
      <c r="E15" s="2407" t="str">
        <f>IF(A13="出让",IF(E13="","",ROUNDDOWN(MIN((E13-$D$3)/365,E14),2)),E14)</f>
        <v/>
      </c>
      <c r="F15" s="2407">
        <f>IF(A13="出让",IF(F13="","",ROUNDDOWN(MIN((F13-$D$3)/365,F14),2)),F14)</f>
        <v>37.86</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2192</v>
      </c>
      <c r="B16" s="3547"/>
      <c r="C16" s="3548"/>
      <c r="D16" s="3549"/>
      <c r="E16" s="2410" t="s">
        <v>2193</v>
      </c>
      <c r="F16" s="3550"/>
      <c r="G16" s="3551"/>
      <c r="H16" s="3551"/>
      <c r="I16" s="3552"/>
      <c r="J16" s="2436"/>
      <c r="K16" s="2614"/>
      <c r="L16" s="2448"/>
      <c r="M16" s="2448"/>
      <c r="N16" s="2506"/>
      <c r="O16" s="2448"/>
      <c r="P16" s="2506"/>
      <c r="Q16" s="2436"/>
      <c r="R16" s="2436"/>
    </row>
    <row r="17" spans="1:28">
      <c r="A17" s="311" t="s">
        <v>2194</v>
      </c>
      <c r="B17" s="300" t="s">
        <v>2195</v>
      </c>
      <c r="C17" s="8">
        <f>'数据-汇总表'!E3</f>
        <v>119963.53</v>
      </c>
      <c r="D17" s="2320" t="s">
        <v>2196</v>
      </c>
      <c r="E17" s="3553" t="s">
        <v>2197</v>
      </c>
      <c r="F17" s="3554"/>
      <c r="G17" s="3554"/>
      <c r="H17" s="3554"/>
      <c r="I17" s="3555"/>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24498.84</v>
      </c>
      <c r="D18" s="1090" t="s">
        <v>2200</v>
      </c>
      <c r="E18" s="3556" t="s">
        <v>2201</v>
      </c>
      <c r="F18" s="3557"/>
      <c r="G18" s="3557"/>
      <c r="H18" s="3557"/>
      <c r="I18" s="3558"/>
      <c r="J18" s="2436"/>
      <c r="K18" s="2615"/>
      <c r="L18" s="2448"/>
      <c r="M18" s="2448"/>
      <c r="N18" s="2506"/>
      <c r="O18" s="2448"/>
      <c r="P18" s="2506"/>
      <c r="Q18" s="2436"/>
      <c r="R18" s="2436"/>
      <c r="S18" s="2436"/>
      <c r="T18" s="2436"/>
      <c r="U18" s="2436"/>
      <c r="V18" s="2436"/>
    </row>
    <row r="19" spans="1:28" ht="37.5" thickTop="1" thickBot="1">
      <c r="A19" s="325" t="s">
        <v>1055</v>
      </c>
      <c r="B19" s="305"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43" t="s">
        <v>2205</v>
      </c>
      <c r="C20" s="3544"/>
      <c r="D20" s="3545" t="s">
        <v>2206</v>
      </c>
      <c r="E20" s="3546"/>
      <c r="F20" s="2644" t="s">
        <v>1056</v>
      </c>
      <c r="G20" s="2661"/>
      <c r="H20" s="2661"/>
      <c r="I20" s="2661"/>
      <c r="J20" s="2436"/>
      <c r="K20" s="354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4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4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0" t="s">
        <v>2213</v>
      </c>
      <c r="B27" s="318"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0"/>
      <c r="B28" s="300"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0"/>
      <c r="B29" s="300"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1"/>
      <c r="B30" s="300" t="s">
        <v>2217</v>
      </c>
      <c r="C30" s="3562"/>
      <c r="D30" s="3563"/>
      <c r="E30" s="2661"/>
      <c r="F30" s="2661"/>
      <c r="G30" s="2661"/>
      <c r="H30" s="2661"/>
      <c r="I30" s="2661"/>
      <c r="J30" s="2436"/>
      <c r="K30" s="2613"/>
      <c r="L30" s="2610"/>
      <c r="M30" s="2610"/>
      <c r="N30" s="2436"/>
      <c r="O30" s="2447"/>
      <c r="P30" s="2436"/>
      <c r="Q30" s="2436"/>
      <c r="R30" s="2436"/>
      <c r="S30" s="2436"/>
      <c r="T30" s="2436"/>
      <c r="U30" s="2436"/>
      <c r="V30" s="2436"/>
    </row>
    <row r="31" spans="1:28">
      <c r="A31" s="3564" t="s">
        <v>2218</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65"/>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6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0" t="s">
        <v>2219</v>
      </c>
      <c r="B34" s="2024"/>
      <c r="C34" s="2024"/>
      <c r="D34" s="2024"/>
      <c r="E34" s="2024"/>
      <c r="F34" s="2024"/>
      <c r="G34" s="2024"/>
      <c r="H34" s="2024"/>
      <c r="I34" s="2661"/>
      <c r="J34" s="2436"/>
      <c r="K34" s="2424">
        <f>COUNTIF(B34:H34,"——")</f>
        <v>0</v>
      </c>
      <c r="L34" s="321" t="s">
        <v>2220</v>
      </c>
      <c r="M34" s="321" t="s">
        <v>2221</v>
      </c>
      <c r="N34" s="321" t="s">
        <v>2222</v>
      </c>
      <c r="O34" s="321" t="s">
        <v>2223</v>
      </c>
      <c r="P34" s="321" t="s">
        <v>2224</v>
      </c>
      <c r="Q34" s="321" t="s">
        <v>2225</v>
      </c>
      <c r="R34" s="321" t="s">
        <v>2226</v>
      </c>
      <c r="S34" s="3559" t="s">
        <v>2227</v>
      </c>
      <c r="T34" s="2425" t="str">
        <f>NUMBERSTRING(7-K34,1)&amp;"通"</f>
        <v>七通</v>
      </c>
      <c r="U34" s="2436"/>
      <c r="V34" s="2436"/>
    </row>
    <row r="35" spans="1:30">
      <c r="A35" s="2426"/>
      <c r="B35" s="3566" t="s">
        <v>2228</v>
      </c>
      <c r="C35" s="3566"/>
      <c r="D35" s="3566"/>
      <c r="E35" s="3566"/>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59"/>
      <c r="T35" s="327" t="str">
        <f>IF(T34="一通",L35,IF(T34="二通",M35,IF(T34="三通",N35,IF(T34="四通",O35,IF(T34="五通",P35,IF(T34="六通",Q35,R35))))))</f>
        <v>、、、、、、</v>
      </c>
      <c r="U35" s="2436"/>
      <c r="V35" s="2436"/>
    </row>
    <row r="36" spans="1:30">
      <c r="A36" s="2427"/>
      <c r="B36" s="662" t="s">
        <v>2184</v>
      </c>
      <c r="C36" s="662" t="s">
        <v>2185</v>
      </c>
      <c r="D36" s="662" t="s">
        <v>2183</v>
      </c>
      <c r="E36" s="662" t="s">
        <v>2188</v>
      </c>
      <c r="F36" s="3062" t="s">
        <v>2574</v>
      </c>
      <c r="G36" s="2661"/>
      <c r="H36" s="2661"/>
      <c r="I36" s="2661"/>
      <c r="J36" s="2436"/>
      <c r="K36" s="2613"/>
      <c r="L36" s="2610"/>
      <c r="M36" s="2610"/>
      <c r="N36" s="2436"/>
      <c r="O36" s="2447"/>
      <c r="P36" s="2436"/>
      <c r="Q36" s="2436"/>
      <c r="R36" s="2436"/>
      <c r="S36" s="2436"/>
      <c r="T36" s="2436"/>
      <c r="U36" s="2436"/>
      <c r="V36" s="2436"/>
    </row>
    <row r="37" spans="1:30">
      <c r="A37" s="2627" t="s">
        <v>2229</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3975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1"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44" sqref="J4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24498.84</v>
      </c>
      <c r="B3" s="11">
        <f>IF(C3="否",G5-AT5,G5)</f>
        <v>119963.53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119963.53</v>
      </c>
      <c r="H5" s="13">
        <f t="shared" ref="H5:AT5" si="0">SUM(H13:H656)</f>
        <v>119963.53</v>
      </c>
      <c r="I5" s="13">
        <f t="shared" si="0"/>
        <v>85551.93</v>
      </c>
      <c r="J5" s="13">
        <f t="shared" si="0"/>
        <v>0</v>
      </c>
      <c r="K5" s="13">
        <f t="shared" si="0"/>
        <v>18136.540000000008</v>
      </c>
      <c r="L5" s="13">
        <f t="shared" si="0"/>
        <v>0</v>
      </c>
      <c r="M5" s="13">
        <f t="shared" si="0"/>
        <v>16275.06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119963.53</v>
      </c>
      <c r="BA5" s="15">
        <f t="shared" si="1"/>
        <v>119963.53</v>
      </c>
      <c r="BB5" s="15">
        <f t="shared" si="1"/>
        <v>85551.93</v>
      </c>
      <c r="BC5" s="15">
        <f t="shared" si="1"/>
        <v>18136.540000000008</v>
      </c>
      <c r="BD5" s="15">
        <f t="shared" si="1"/>
        <v>16275.06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24498.85</v>
      </c>
      <c r="F6" s="13" t="s">
        <v>0</v>
      </c>
      <c r="G6" s="13" t="s">
        <v>1</v>
      </c>
      <c r="H6" s="17">
        <f>SUMIF(I$12:AB$12,"总值",I6:AB6)</f>
        <v>24498.85</v>
      </c>
      <c r="I6" s="13">
        <f t="shared" ref="I6:AB6" si="2">ROUND($A$3*I5/$B$3,2)</f>
        <v>17471.34</v>
      </c>
      <c r="J6" s="13">
        <f t="shared" si="2"/>
        <v>0</v>
      </c>
      <c r="K6" s="13">
        <f t="shared" si="2"/>
        <v>3703.83</v>
      </c>
      <c r="L6" s="13">
        <f t="shared" si="2"/>
        <v>0</v>
      </c>
      <c r="M6" s="13">
        <f t="shared" si="2"/>
        <v>3323.68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24498.84</v>
      </c>
      <c r="AZ6" s="13" t="s">
        <v>2</v>
      </c>
      <c r="BA6" s="13">
        <f>ROUND($AY$6*BA5/$AZ$5,2)</f>
        <v>24498.84</v>
      </c>
      <c r="BB6" s="13">
        <f>ROUND($AY$6*BB5/$AZ$5,2)</f>
        <v>17471.34</v>
      </c>
      <c r="BC6" s="13">
        <f t="shared" ref="BC6:BH6" si="4">ROUND($AY$6*BC5/$AZ$5,2)</f>
        <v>3703.83</v>
      </c>
      <c r="BD6" s="13">
        <f t="shared" si="4"/>
        <v>3323.68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3916</v>
      </c>
      <c r="J9" s="807"/>
      <c r="K9" s="1601" t="s">
        <v>3917</v>
      </c>
      <c r="L9" s="807"/>
      <c r="M9" s="1601" t="s">
        <v>3917</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t="s">
        <v>3918</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6" t="s">
        <v>3377</v>
      </c>
      <c r="D13" s="1623" t="s">
        <v>3378</v>
      </c>
      <c r="E13" s="13">
        <f>IF($C$3="是",ROUND($A$3*G13/$B$3,2),ROUND($A$3*(G13-AT13)/$B$3,2))</f>
        <v>24498.84</v>
      </c>
      <c r="F13" s="29"/>
      <c r="G13" s="30">
        <f>H13+AC13+AT13</f>
        <v>119963.53</v>
      </c>
      <c r="H13" s="17">
        <f>SUMIF(I$12:AB$12,"总值",I13:AB13)</f>
        <v>119963.53</v>
      </c>
      <c r="I13" s="1624">
        <f>SUM(面积指标!H7:H12)</f>
        <v>85551.93</v>
      </c>
      <c r="J13" s="1624"/>
      <c r="K13" s="1624">
        <f>面积指标!F26-I13</f>
        <v>18136.540000000008</v>
      </c>
      <c r="L13" s="1624"/>
      <c r="M13" s="1624">
        <f>面积指标!F25</f>
        <v>16275.06</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龙湖天街</v>
      </c>
      <c r="AY13" s="1347">
        <f>ROUND($AY$6*AZ13/$AZ$5,2)</f>
        <v>24498.84</v>
      </c>
      <c r="AZ13" s="13">
        <f>BA13+BL13</f>
        <v>119963.53</v>
      </c>
      <c r="BA13" s="13">
        <f>SUM(BB13:BK13)</f>
        <v>119963.53</v>
      </c>
      <c r="BB13" s="13">
        <f>IF($D13="是",I13-J13,0)</f>
        <v>85551.93</v>
      </c>
      <c r="BC13" s="13">
        <f>IF($D13="是",K13-L13,0)</f>
        <v>18136.540000000008</v>
      </c>
      <c r="BD13" s="13">
        <f>IF($D13="是",M13-N13,0)</f>
        <v>16275.06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1" sqref="M6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76" t="s">
        <v>1131</v>
      </c>
      <c r="B2" s="3576"/>
      <c r="C2" s="3576"/>
      <c r="D2" s="794" t="s">
        <v>1107</v>
      </c>
      <c r="E2" s="1637" t="s">
        <v>1108</v>
      </c>
      <c r="F2" s="2656"/>
      <c r="G2" s="2647"/>
      <c r="H2" s="2648"/>
      <c r="I2" s="2323" t="s">
        <v>1132</v>
      </c>
      <c r="J2" s="2656"/>
      <c r="K2" s="2656"/>
      <c r="L2" s="2656"/>
      <c r="M2" s="2656"/>
      <c r="N2" s="2658"/>
      <c r="O2" s="2656"/>
      <c r="P2" s="2656"/>
    </row>
    <row r="3" spans="1:16" ht="15.75" thickBot="1">
      <c r="A3" s="3577" t="s">
        <v>1105</v>
      </c>
      <c r="B3" s="3577"/>
      <c r="C3" s="3577"/>
      <c r="D3" s="43">
        <f>'数据-基础表'!AY6</f>
        <v>24498.84</v>
      </c>
      <c r="E3" s="43">
        <f>'数据-基础表'!AZ5</f>
        <v>119963.53</v>
      </c>
      <c r="F3" s="2656"/>
      <c r="G3" s="1143"/>
      <c r="H3" s="1024" t="s">
        <v>1106</v>
      </c>
      <c r="I3" s="853">
        <f>ROUND('数据-基础表'!B3/'数据-基础表'!A3,2)</f>
        <v>4.9000000000000004</v>
      </c>
      <c r="J3" s="2656"/>
      <c r="K3" s="2656"/>
      <c r="L3" s="2656"/>
      <c r="M3" s="2656"/>
      <c r="N3" s="2658"/>
      <c r="O3" s="2656"/>
      <c r="P3" s="2656"/>
    </row>
    <row r="4" spans="1:16" ht="15">
      <c r="A4" s="3578"/>
      <c r="B4" s="3579"/>
      <c r="C4" s="3580"/>
      <c r="D4" s="1639" t="s">
        <v>1107</v>
      </c>
      <c r="E4" s="1640" t="s">
        <v>1108</v>
      </c>
      <c r="F4" s="2656"/>
      <c r="G4" s="2649" t="s">
        <v>1133</v>
      </c>
      <c r="H4" s="1024" t="s">
        <v>1113</v>
      </c>
      <c r="I4" s="853">
        <f>ROUND(SUMIF('数据-基础表'!I9:AS9,"地上",'数据-基础表'!I5:AS5)/'数据-基础表'!A3,2)</f>
        <v>3.49</v>
      </c>
      <c r="J4" s="2656"/>
      <c r="K4" s="2656"/>
      <c r="L4" s="2656"/>
      <c r="M4" s="2656"/>
      <c r="N4" s="2658"/>
      <c r="O4" s="2656"/>
      <c r="P4" s="2656"/>
    </row>
    <row r="5" spans="1:16">
      <c r="A5" s="44" t="s">
        <v>1109</v>
      </c>
      <c r="B5" s="3581" t="s">
        <v>1110</v>
      </c>
      <c r="C5" s="3581"/>
      <c r="D5" s="45">
        <f>ROUND($D$3*E5/$E$3,2)</f>
        <v>0</v>
      </c>
      <c r="E5" s="46">
        <f>SUMIF('数据-基础表'!$11:$11,"住宅",'数据-基础表'!$5:$5)</f>
        <v>0</v>
      </c>
      <c r="F5" s="2656"/>
      <c r="G5" s="1143"/>
      <c r="H5" s="1024" t="s">
        <v>1106</v>
      </c>
      <c r="I5" s="853">
        <f>ROUND(E31/D31,2)</f>
        <v>4.9000000000000004</v>
      </c>
      <c r="J5" s="2656"/>
      <c r="K5" s="2656"/>
      <c r="L5" s="2656"/>
      <c r="M5" s="2656"/>
      <c r="N5" s="2656"/>
      <c r="O5" s="2656"/>
      <c r="P5" s="2656"/>
    </row>
    <row r="6" spans="1:16" ht="15" thickBot="1">
      <c r="A6" s="1642"/>
      <c r="B6" s="3581" t="s">
        <v>1111</v>
      </c>
      <c r="C6" s="3581"/>
      <c r="D6" s="45">
        <f>ROUND($D$3*E6/$E$3,2)</f>
        <v>24498.84</v>
      </c>
      <c r="E6" s="46">
        <f>E3-E5</f>
        <v>119963.53</v>
      </c>
      <c r="F6" s="2656"/>
      <c r="G6" s="2650" t="s">
        <v>1112</v>
      </c>
      <c r="H6" s="1144" t="s">
        <v>1113</v>
      </c>
      <c r="I6" s="2651">
        <f>ROUND(F31/D31,2)</f>
        <v>3.49</v>
      </c>
      <c r="J6" s="2656"/>
      <c r="K6" s="2656"/>
      <c r="L6" s="2656"/>
      <c r="M6" s="2656"/>
      <c r="N6" s="2656"/>
      <c r="O6" s="2656"/>
      <c r="P6" s="2656"/>
    </row>
    <row r="7" spans="1:16" ht="15.75" thickBot="1">
      <c r="A7" s="3573"/>
      <c r="B7" s="3574"/>
      <c r="C7" s="3575"/>
      <c r="D7" s="1639" t="s">
        <v>1107</v>
      </c>
      <c r="E7" s="1643" t="s">
        <v>1114</v>
      </c>
      <c r="F7" s="2656"/>
      <c r="G7" s="2652" t="s">
        <v>1115</v>
      </c>
      <c r="H7" s="2653"/>
      <c r="I7" s="2654">
        <v>3.49</v>
      </c>
      <c r="J7" s="2656"/>
      <c r="K7" s="2656"/>
      <c r="L7" s="2656"/>
      <c r="M7" s="2656"/>
      <c r="N7" s="2656"/>
      <c r="O7" s="2656"/>
      <c r="P7" s="2656"/>
    </row>
    <row r="8" spans="1:16">
      <c r="A8" s="44" t="s">
        <v>1116</v>
      </c>
      <c r="B8" s="47" t="s">
        <v>1117</v>
      </c>
      <c r="C8" s="45" t="s">
        <v>1118</v>
      </c>
      <c r="D8" s="45">
        <f t="shared" ref="D8:D15" si="0">ROUND($D$3*E8/$E$3,2)</f>
        <v>17471.34</v>
      </c>
      <c r="E8" s="48">
        <f>SUMIF('数据-基础表'!BB10:BK10,"地上",'数据-基础表'!BB5:BK5)</f>
        <v>85551.93</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3703.83</v>
      </c>
      <c r="E10" s="48">
        <f>SUMPRODUCT(('数据-基础表'!BB10:BK10="地下")*('数据-基础表'!BB11:BK11="商业")*('数据-基础表'!BB5:BK5))</f>
        <v>18136.540000000008</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3323.68</v>
      </c>
      <c r="E14" s="48">
        <f>SUMPRODUCT(('数据-基础表'!BB10:BK10="地下")*('数据-基础表'!BB11:BK11="车库—商业")*('数据-基础表'!BB5:BK5))</f>
        <v>16275.06</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24498.85</v>
      </c>
      <c r="E16" s="50">
        <f>SUM(E8:E15)</f>
        <v>119963.53</v>
      </c>
      <c r="F16" s="2656"/>
      <c r="G16" s="2657"/>
      <c r="H16" s="1646" t="s">
        <v>1135</v>
      </c>
      <c r="I16" s="1647"/>
      <c r="J16" s="1137"/>
      <c r="K16" s="3570" t="s">
        <v>1135</v>
      </c>
      <c r="L16" s="3571"/>
      <c r="M16" s="3571"/>
      <c r="N16" s="3571"/>
      <c r="O16" s="3571"/>
      <c r="P16" s="3572"/>
    </row>
    <row r="17" spans="1:19" ht="15">
      <c r="A17" s="1648" t="s">
        <v>1136</v>
      </c>
      <c r="B17" s="1649" t="s">
        <v>1137</v>
      </c>
      <c r="C17" s="1650" t="s">
        <v>1138</v>
      </c>
      <c r="D17" s="1651" t="s">
        <v>1126</v>
      </c>
      <c r="E17" s="1652" t="s">
        <v>1127</v>
      </c>
      <c r="F17" s="1653"/>
      <c r="G17" s="1654"/>
      <c r="H17" s="1655" t="s">
        <v>1139</v>
      </c>
      <c r="I17" s="1656" t="s">
        <v>1124</v>
      </c>
      <c r="J17" s="1137"/>
      <c r="K17" s="3567" t="s">
        <v>1140</v>
      </c>
      <c r="L17" s="3568"/>
      <c r="M17" s="3569"/>
      <c r="N17" s="3567" t="s">
        <v>1141</v>
      </c>
      <c r="O17" s="3568"/>
      <c r="P17" s="356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3919</v>
      </c>
      <c r="D19" s="45">
        <f>ROUND($D$3*E19/$E$3,2)</f>
        <v>24498.84</v>
      </c>
      <c r="E19" s="53">
        <f t="shared" ref="E19:E26" si="1">SUM(F19:G19)</f>
        <v>119963.53</v>
      </c>
      <c r="F19" s="2792">
        <f>'数据-基础表'!I13</f>
        <v>85551.93</v>
      </c>
      <c r="G19" s="2793">
        <f>'数据-基础表'!K13+'数据-基础表'!M13</f>
        <v>34411.600000000006</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24498.84</v>
      </c>
      <c r="S19" s="1025">
        <f t="shared" si="5"/>
        <v>119963.53</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24498.84</v>
      </c>
      <c r="E27" s="1139">
        <f>IF(SUM(E19:E26)='数据-基础表'!BA5,SUM(E19:E26),IF(F27="地上面积有误","面积有误","地下面积有误"))</f>
        <v>119963.53</v>
      </c>
      <c r="F27" s="1138">
        <f>IF(SUM(F19:F26)=E8,SUM(F19:F26),"地上面积有误")</f>
        <v>85551.93</v>
      </c>
      <c r="G27" s="1140">
        <f>SUM(G19:G26)</f>
        <v>34411.600000000006</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24498.84</v>
      </c>
      <c r="S27" s="1024">
        <f>IF(SUM(S19:S26)=$E$3,SUM(S19:S26),SUM(S19:S26)&amp;"误差"&amp;ROUND(SUM(S19:S26)-E3,2))</f>
        <v>119963.53</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24498.84</v>
      </c>
      <c r="E31" s="674">
        <f>E27+E30</f>
        <v>119963.53</v>
      </c>
      <c r="F31" s="675">
        <f>F27+F30</f>
        <v>85551.93</v>
      </c>
      <c r="G31" s="676">
        <f>G27+G30</f>
        <v>34411.600000000006</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2" t="str">
        <f>项目基本情况!B1</f>
        <v>北京市房地产抵押价值预评估</v>
      </c>
      <c r="C37" s="3492"/>
      <c r="D37" s="3492"/>
      <c r="E37" s="3492"/>
      <c r="F37" s="3492"/>
      <c r="G37" s="3492"/>
      <c r="H37" s="3492"/>
      <c r="I37" s="349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45317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3939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55485</v>
      </c>
      <c r="F6" s="64">
        <f>SUMIF(项目基本情况!C$12:I$12,C6,项目基本情况!C$15:I$15)</f>
        <v>27.85</v>
      </c>
      <c r="G6" s="65">
        <f>IF(ISERROR(ROUND(POWER(1+H6,D6-F6)*(POWER(1+H6,F6)-1)/(POWER(1+H6,D6)-1),3)),0,ROUND(POWER(1+H6,D6-F6)*(POWER(1+H6,F6)-1)/(POWER(1+H6,D6)-1),3))</f>
        <v>0.86599999999999999</v>
      </c>
      <c r="H6" s="730">
        <v>0.05</v>
      </c>
      <c r="I6" s="3840">
        <v>5.5E-2</v>
      </c>
      <c r="J6" s="66">
        <v>7.0000000000000007E-2</v>
      </c>
      <c r="K6" s="1028">
        <f>SUMIF('数据-汇总表'!C$19:C$33,A6,'数据-汇总表'!E$19:E$33)</f>
        <v>119963.53</v>
      </c>
      <c r="L6" s="731">
        <v>5500</v>
      </c>
      <c r="M6" s="67">
        <f t="shared" ref="M6:M14" si="0">ROUND(K6*L6/10000,0)</f>
        <v>65980</v>
      </c>
      <c r="N6" s="729">
        <f>ROUND(1-(2024-2017)/60,2)</f>
        <v>0.88</v>
      </c>
      <c r="O6" s="67" t="str">
        <f>IF($N$5="成新度","——",ROUND(M6*N6,0))</f>
        <v>——</v>
      </c>
      <c r="P6" s="68" t="str">
        <f>IF($N$5="成新度","——",M6-O6)</f>
        <v>——</v>
      </c>
      <c r="Q6" s="3841">
        <v>0.25</v>
      </c>
      <c r="R6" s="69">
        <f ca="1">SUMIF('数据-汇总表'!C$19:C$33,A6,'数据-汇总表'!R$19:R$27)</f>
        <v>24498.84</v>
      </c>
      <c r="S6" s="51">
        <f>IF('数据-汇总表'!$I$17="按面积比例",SUMIF('数据-汇总表'!C$19:C$33,A6,'数据-汇总表'!K$19:K$33),SUMIF('数据-汇总表'!C$19:C$33,A6,'数据-汇总表'!N$19:N$33))</f>
        <v>0</v>
      </c>
      <c r="T6" s="1170">
        <f>ROUND($L$14*S6/10000,0)</f>
        <v>0</v>
      </c>
      <c r="U6" s="3425">
        <v>5.5</v>
      </c>
      <c r="V6" s="70">
        <v>2.5000000000000001E-2</v>
      </c>
      <c r="W6" s="3843">
        <v>0.05</v>
      </c>
      <c r="X6" s="1038"/>
      <c r="Y6" s="71">
        <f>N6</f>
        <v>0.88</v>
      </c>
      <c r="Z6" s="72"/>
      <c r="AA6" s="66"/>
      <c r="AB6" s="66"/>
      <c r="AC6" s="1038"/>
      <c r="AD6" s="73"/>
      <c r="AE6" s="1039">
        <f ca="1">IF(AN6="",0,SUMIF(INDIRECT("'"&amp;AN6&amp;"'"&amp;"!E:E"),$AE$5,INDIRECT("'"&amp;AN6&amp;"'"&amp;"!F:F")))</f>
        <v>27.85</v>
      </c>
      <c r="AF6" s="1346"/>
      <c r="AG6" s="137">
        <f>IF(AF6="",0,AE6-AF6)</f>
        <v>0</v>
      </c>
      <c r="AH6" s="74">
        <v>103688.47</v>
      </c>
      <c r="AI6" s="76">
        <v>365</v>
      </c>
      <c r="AJ6" s="77"/>
      <c r="AK6" s="78">
        <v>5.0000000000000001E-3</v>
      </c>
      <c r="AL6" s="79">
        <v>1.5E-3</v>
      </c>
      <c r="AM6" s="80">
        <v>0.02</v>
      </c>
      <c r="AN6" s="1713" t="s">
        <v>3613</v>
      </c>
      <c r="AO6" s="52">
        <f ca="1">SUMIF(INDIRECT("'"&amp;AN6&amp;"'"&amp;"!A:A"),"总价",INDIRECT("'"&amp;AN6&amp;"'"&amp;"!B:B"))</f>
        <v>290072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0.86599999999999999</v>
      </c>
      <c r="H16" s="90">
        <f>ROUND(SUMPRODUCT(H6:H13,K6:K13)/SUMPRODUCT((H6:H13&gt;0)*(K6:K13)),3)</f>
        <v>0.05</v>
      </c>
      <c r="I16" s="91"/>
      <c r="J16" s="91"/>
      <c r="K16" s="92">
        <f>SUM(K6:K15)</f>
        <v>119963.53</v>
      </c>
      <c r="L16" s="93">
        <f>ROUND(M16*10000/SUM(K6:K14),0)</f>
        <v>5500</v>
      </c>
      <c r="M16" s="93">
        <f>SUM(M6:M14)</f>
        <v>65980</v>
      </c>
      <c r="N16" s="94">
        <f>ROUND(SUMPRODUCT(M6:M14,N6:N14)/M16,3)</f>
        <v>0.88</v>
      </c>
      <c r="O16" s="93">
        <f>SUM(O6:O14)</f>
        <v>0</v>
      </c>
      <c r="P16" s="93">
        <f>SUM(P6:P14)</f>
        <v>0</v>
      </c>
      <c r="Q16" s="95">
        <f>ROUND(SUMPRODUCT(Q6:Q13,K6:K13)/SUMPRODUCT((Q6:Q13&gt;0)*(K6:K13)),2)</f>
        <v>0.25</v>
      </c>
      <c r="R16" s="1032">
        <f ca="1">SUM(R6:R13)</f>
        <v>24498.84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2296</v>
      </c>
      <c r="D19" s="2673"/>
      <c r="E19" s="2670"/>
      <c r="F19" s="2670"/>
      <c r="G19" s="2670"/>
      <c r="H19" s="2670"/>
      <c r="I19" s="3582" t="s">
        <v>3920</v>
      </c>
      <c r="J19" s="3582"/>
      <c r="K19" s="3582"/>
      <c r="L19" s="3461" t="s">
        <v>3921</v>
      </c>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3842">
        <v>3</v>
      </c>
      <c r="C20" s="2797" t="s">
        <v>2294</v>
      </c>
      <c r="D20" s="2673"/>
      <c r="E20" s="2670"/>
      <c r="F20" s="2670"/>
      <c r="G20" s="2670"/>
      <c r="H20" s="2670"/>
      <c r="I20" s="3582" t="s">
        <v>3922</v>
      </c>
      <c r="J20" s="3582"/>
      <c r="K20" s="3462"/>
      <c r="L20" s="3461" t="s">
        <v>3923</v>
      </c>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3842">
        <f>B20</f>
        <v>3</v>
      </c>
      <c r="C21" s="2670"/>
      <c r="D21" s="2673"/>
      <c r="E21" s="2670"/>
      <c r="F21" s="2670"/>
      <c r="G21" s="2670"/>
      <c r="H21" s="2670"/>
      <c r="I21" s="3582"/>
      <c r="J21" s="3582"/>
      <c r="K21" s="3463" t="s">
        <v>3924</v>
      </c>
      <c r="L21" s="3464">
        <v>6</v>
      </c>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3</v>
      </c>
      <c r="C22" s="2670"/>
      <c r="D22" s="2673"/>
      <c r="E22" s="2670"/>
      <c r="F22" s="2670"/>
      <c r="G22" s="2670"/>
      <c r="H22" s="2670"/>
      <c r="I22" s="3582"/>
      <c r="J22" s="3582"/>
      <c r="K22" s="3463" t="s">
        <v>3925</v>
      </c>
      <c r="L22" s="3464">
        <v>3</v>
      </c>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3</v>
      </c>
      <c r="C23" s="2670"/>
      <c r="D23" s="2673"/>
      <c r="E23" s="2670"/>
      <c r="F23" s="2670"/>
      <c r="G23" s="2670"/>
      <c r="H23" s="2670"/>
      <c r="I23" s="3582" t="s">
        <v>3926</v>
      </c>
      <c r="J23" s="3582"/>
      <c r="K23" s="3462" t="s">
        <v>3927</v>
      </c>
      <c r="L23" s="3464">
        <f>'[1]数据-汇总表'!E3</f>
        <v>119963.53</v>
      </c>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3582"/>
      <c r="J24" s="3582"/>
      <c r="K24" s="3463" t="s">
        <v>3924</v>
      </c>
      <c r="L24" s="3465">
        <f>'[1]数据-汇总表'!F31</f>
        <v>85551.93</v>
      </c>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3582"/>
      <c r="J25" s="3582"/>
      <c r="K25" s="3463" t="s">
        <v>3925</v>
      </c>
      <c r="L25" s="3465">
        <f>'[1]数据-汇总表'!G31</f>
        <v>34411.600000000006</v>
      </c>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3582" t="s">
        <v>3928</v>
      </c>
      <c r="J26" s="3583" t="s">
        <v>3929</v>
      </c>
      <c r="K26" s="3584"/>
      <c r="L26" s="3466">
        <f t="shared" ref="L26" si="12">L27+L31+L30</f>
        <v>4964</v>
      </c>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160</v>
      </c>
      <c r="C27" s="2798" t="s">
        <v>2298</v>
      </c>
      <c r="D27" s="2676"/>
      <c r="E27" s="2658"/>
      <c r="F27" s="2658"/>
      <c r="G27" s="2670"/>
      <c r="H27" s="2670"/>
      <c r="I27" s="3582"/>
      <c r="J27" s="3582" t="s">
        <v>3930</v>
      </c>
      <c r="K27" s="3467" t="s">
        <v>3927</v>
      </c>
      <c r="L27" s="3467">
        <v>2788</v>
      </c>
      <c r="M27" s="2668"/>
      <c r="N27" s="2668">
        <f>N29/L23</f>
        <v>0.28068786758775771</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7"/>
      <c r="D28" s="2676"/>
      <c r="E28" s="2658"/>
      <c r="F28" s="2658"/>
      <c r="G28" s="2670"/>
      <c r="H28" s="2670"/>
      <c r="I28" s="3582"/>
      <c r="J28" s="3582"/>
      <c r="K28" s="3463" t="s">
        <v>3931</v>
      </c>
      <c r="L28" s="3465">
        <v>2008</v>
      </c>
      <c r="M28" s="2668">
        <f>L28*L24/10000</f>
        <v>17178.827544</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成本法!C10</f>
        <v>2399</v>
      </c>
      <c r="C29" s="2799" t="s">
        <v>2285</v>
      </c>
      <c r="D29" s="2676"/>
      <c r="E29" s="2658"/>
      <c r="F29" s="2658"/>
      <c r="G29" s="2670"/>
      <c r="H29" s="2670"/>
      <c r="I29" s="3582"/>
      <c r="J29" s="3582"/>
      <c r="K29" s="3463" t="s">
        <v>3932</v>
      </c>
      <c r="L29" s="3465">
        <v>4793</v>
      </c>
      <c r="M29" s="2668">
        <f>L29*L25/10000</f>
        <v>16493.479880000003</v>
      </c>
      <c r="N29" s="2668">
        <f>M28+M29</f>
        <v>33672.307423999999</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8"/>
      <c r="F30" s="2658"/>
      <c r="G30" s="2670"/>
      <c r="H30" s="2670"/>
      <c r="I30" s="3582"/>
      <c r="J30" s="3585" t="s">
        <v>3933</v>
      </c>
      <c r="K30" s="3585"/>
      <c r="L30" s="3468">
        <v>700</v>
      </c>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5"/>
      <c r="D31" s="2676"/>
      <c r="E31" s="2658"/>
      <c r="F31" s="2658"/>
      <c r="G31" s="2670"/>
      <c r="H31" s="2670"/>
      <c r="I31" s="3582"/>
      <c r="J31" s="3586" t="s">
        <v>3934</v>
      </c>
      <c r="K31" s="3586"/>
      <c r="L31" s="3469">
        <v>1476</v>
      </c>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7"/>
      <c r="D32" s="2673"/>
      <c r="E32" s="2670"/>
      <c r="F32" s="2670"/>
      <c r="G32" s="2670"/>
      <c r="H32" s="2670"/>
      <c r="I32" s="3462"/>
      <c r="J32" s="3462"/>
      <c r="K32" s="3462"/>
      <c r="L32" s="3462"/>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2286</v>
      </c>
      <c r="D33" s="2673"/>
      <c r="E33" s="2670"/>
      <c r="F33" s="2670"/>
      <c r="G33" s="2670"/>
      <c r="H33" s="2670"/>
      <c r="I33" s="3462"/>
      <c r="J33" s="3462"/>
      <c r="K33" s="3462"/>
      <c r="L33" s="3462"/>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0" t="s">
        <v>2287</v>
      </c>
      <c r="D34" s="2681" t="s">
        <v>2295</v>
      </c>
      <c r="E34" s="2679"/>
      <c r="F34" s="2670"/>
      <c r="G34" s="2670"/>
      <c r="H34" s="2670"/>
      <c r="I34" s="3462"/>
      <c r="J34" s="3470" t="s">
        <v>3935</v>
      </c>
      <c r="K34" s="3462"/>
      <c r="L34" s="3462"/>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0" t="s">
        <v>2288</v>
      </c>
      <c r="D35" s="2676"/>
      <c r="E35" s="2658"/>
      <c r="F35" s="2658"/>
      <c r="G35" s="2670"/>
      <c r="H35" s="2670"/>
      <c r="I35" s="3462"/>
      <c r="J35" s="3470" t="s">
        <v>3936</v>
      </c>
      <c r="K35" s="3462"/>
      <c r="L35" s="3471">
        <f t="shared" ref="L35" si="13">L27/L26</f>
        <v>0.56164383561643838</v>
      </c>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0" t="s">
        <v>2289</v>
      </c>
      <c r="D36" s="2673"/>
      <c r="E36" s="2670"/>
      <c r="F36" s="2670"/>
      <c r="G36" s="2670"/>
      <c r="H36" s="2670"/>
      <c r="I36" s="3462"/>
      <c r="J36" s="3470" t="s">
        <v>3937</v>
      </c>
      <c r="K36" s="3462"/>
      <c r="L36" s="3471">
        <f t="shared" ref="L36" si="14">L30/L26</f>
        <v>0.14101531023368252</v>
      </c>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0.03</v>
      </c>
      <c r="C37" s="2800" t="s">
        <v>2290</v>
      </c>
      <c r="D37" s="2673"/>
      <c r="E37" s="2670"/>
      <c r="F37" s="2670"/>
      <c r="G37" s="2670"/>
      <c r="H37" s="2670"/>
      <c r="I37" s="3462"/>
      <c r="J37" s="3470" t="s">
        <v>3938</v>
      </c>
      <c r="K37" s="3462"/>
      <c r="L37" s="3471">
        <f t="shared" ref="L37" si="15">L31/L26</f>
        <v>0.29734085414987915</v>
      </c>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0.03</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2305</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mergeCells count="8">
    <mergeCell ref="I19:K19"/>
    <mergeCell ref="I20:J22"/>
    <mergeCell ref="I23:J25"/>
    <mergeCell ref="I26:I31"/>
    <mergeCell ref="J26:K26"/>
    <mergeCell ref="J27:J29"/>
    <mergeCell ref="J30:K30"/>
    <mergeCell ref="J31:K31"/>
  </mergeCells>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G7"/>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87" t="s">
        <v>2277</v>
      </c>
      <c r="B1" s="3588"/>
      <c r="C1" s="3588"/>
      <c r="D1" s="3588"/>
      <c r="E1" s="3588"/>
      <c r="F1" s="3588"/>
      <c r="G1" s="358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7"/>
      <c r="I2" s="797"/>
      <c r="J2" s="797"/>
      <c r="K2" s="797"/>
      <c r="L2" s="797"/>
      <c r="M2" s="797"/>
      <c r="N2" s="797"/>
      <c r="O2" s="797"/>
      <c r="P2" s="797"/>
      <c r="Q2" s="797"/>
      <c r="R2" s="797"/>
    </row>
    <row r="3" spans="1:29" ht="25.5">
      <c r="A3" s="2438" t="s">
        <v>2275</v>
      </c>
      <c r="B3" s="2460" t="s">
        <v>2251</v>
      </c>
      <c r="C3" s="2461"/>
      <c r="D3" s="2462"/>
      <c r="E3" s="2439" t="s">
        <v>2275</v>
      </c>
      <c r="F3" s="2463" t="s">
        <v>2252</v>
      </c>
      <c r="G3" s="2464" t="s">
        <v>2276</v>
      </c>
      <c r="H3" s="797"/>
      <c r="I3" s="797"/>
      <c r="J3" s="797"/>
      <c r="K3" s="797"/>
      <c r="L3" s="797"/>
      <c r="M3" s="797"/>
      <c r="N3" s="797"/>
      <c r="O3" s="797"/>
      <c r="P3" s="797"/>
      <c r="Q3" s="797"/>
      <c r="R3" s="797"/>
    </row>
    <row r="4" spans="1:29">
      <c r="A4" s="2439"/>
      <c r="B4" s="321" t="s">
        <v>2253</v>
      </c>
      <c r="C4" s="2465"/>
      <c r="D4" s="2462"/>
      <c r="E4" s="2466"/>
      <c r="F4" s="1371" t="s">
        <v>2254</v>
      </c>
      <c r="G4" s="2467"/>
      <c r="H4" s="797"/>
      <c r="I4" s="797"/>
      <c r="J4" s="797"/>
      <c r="K4" s="797"/>
      <c r="L4" s="797"/>
      <c r="M4" s="797"/>
      <c r="N4" s="797"/>
      <c r="O4" s="797"/>
      <c r="P4" s="797"/>
      <c r="Q4" s="797"/>
      <c r="R4" s="797"/>
    </row>
    <row r="5" spans="1:29">
      <c r="A5" s="2439"/>
      <c r="B5" s="321" t="s">
        <v>2255</v>
      </c>
      <c r="C5" s="2465"/>
      <c r="D5" s="2462"/>
      <c r="E5" s="2466"/>
      <c r="F5" s="321" t="s">
        <v>2256</v>
      </c>
      <c r="G5" s="2467"/>
      <c r="H5" s="797"/>
      <c r="I5" s="797"/>
      <c r="J5" s="797"/>
      <c r="K5" s="797"/>
      <c r="L5" s="797"/>
      <c r="M5" s="797"/>
      <c r="N5" s="797"/>
      <c r="O5" s="797"/>
      <c r="P5" s="797"/>
      <c r="Q5" s="797"/>
      <c r="R5" s="797"/>
    </row>
    <row r="6" spans="1:29">
      <c r="A6" s="2439"/>
      <c r="B6" s="321" t="s">
        <v>2257</v>
      </c>
      <c r="C6" s="2467"/>
      <c r="D6" s="2462"/>
      <c r="E6" s="2466"/>
      <c r="F6" s="321" t="s">
        <v>2258</v>
      </c>
      <c r="G6" s="2467"/>
      <c r="H6" s="797"/>
      <c r="I6" s="797"/>
      <c r="J6" s="797"/>
      <c r="K6" s="797"/>
      <c r="L6" s="797"/>
      <c r="M6" s="797"/>
      <c r="N6" s="797"/>
      <c r="O6" s="797"/>
      <c r="P6" s="797"/>
      <c r="Q6" s="797"/>
      <c r="R6" s="797"/>
    </row>
    <row r="7" spans="1:29" ht="15" thickBot="1">
      <c r="A7" s="2439"/>
      <c r="B7" s="321" t="s">
        <v>2256</v>
      </c>
      <c r="C7" s="2467"/>
      <c r="D7" s="2468"/>
      <c r="E7" s="2469"/>
      <c r="F7" s="2470" t="s">
        <v>2259</v>
      </c>
      <c r="G7" s="2471"/>
      <c r="H7" s="797"/>
      <c r="I7" s="797"/>
      <c r="J7" s="797"/>
      <c r="K7" s="797"/>
      <c r="L7" s="797"/>
      <c r="M7" s="797"/>
      <c r="N7" s="797"/>
      <c r="O7" s="797"/>
      <c r="P7" s="797"/>
      <c r="Q7" s="797"/>
      <c r="R7" s="797"/>
    </row>
    <row r="8" spans="1:29">
      <c r="A8" s="2439"/>
      <c r="B8" s="321" t="s">
        <v>2258</v>
      </c>
      <c r="C8" s="2467"/>
      <c r="D8" s="2468"/>
      <c r="E8" s="2468"/>
      <c r="F8" s="2472"/>
      <c r="G8" s="2472"/>
      <c r="H8" s="797"/>
      <c r="I8" s="797"/>
      <c r="J8" s="797"/>
      <c r="K8" s="797"/>
      <c r="L8" s="797"/>
      <c r="M8" s="797"/>
      <c r="N8" s="797"/>
      <c r="O8" s="797"/>
      <c r="P8" s="797"/>
      <c r="Q8" s="797"/>
      <c r="R8" s="797"/>
    </row>
    <row r="9" spans="1:29">
      <c r="A9" s="2439"/>
      <c r="B9" s="321" t="s">
        <v>2260</v>
      </c>
      <c r="C9" s="2465"/>
      <c r="D9" s="2462"/>
      <c r="E9" s="2468"/>
      <c r="F9" s="2472"/>
      <c r="G9" s="2472"/>
      <c r="H9" s="797"/>
      <c r="I9" s="797"/>
      <c r="J9" s="797"/>
      <c r="K9" s="797"/>
      <c r="L9" s="797"/>
      <c r="M9" s="797"/>
      <c r="N9" s="797"/>
      <c r="O9" s="797"/>
      <c r="P9" s="797"/>
      <c r="Q9" s="797"/>
      <c r="R9" s="797"/>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2278</v>
      </c>
      <c r="B13" s="2481"/>
      <c r="C13" s="2481"/>
      <c r="D13" s="2479"/>
      <c r="E13" s="2481"/>
      <c r="F13" s="2481"/>
      <c r="G13" s="2481"/>
    </row>
    <row r="14" spans="1:29" ht="15" thickBot="1">
      <c r="A14" s="2491"/>
      <c r="B14" s="2491"/>
      <c r="C14" s="2492" t="s">
        <v>2262</v>
      </c>
      <c r="D14" s="2462"/>
      <c r="E14" s="2493"/>
      <c r="F14" s="2493"/>
      <c r="G14" s="2457" t="s">
        <v>2263</v>
      </c>
    </row>
    <row r="15" spans="1:29" ht="25.5">
      <c r="A15" s="2441" t="s">
        <v>2264</v>
      </c>
      <c r="B15" s="2494" t="s">
        <v>2251</v>
      </c>
      <c r="C15" s="2495">
        <f>C3</f>
        <v>0</v>
      </c>
      <c r="D15" s="2462"/>
      <c r="E15" s="2442" t="s">
        <v>2265</v>
      </c>
      <c r="F15" s="2494" t="s">
        <v>2266</v>
      </c>
      <c r="G15" s="2496" t="str">
        <f>G3</f>
        <v>估价对象位于XX开发区，园区建设成熟度XX，产业集聚程度XX</v>
      </c>
    </row>
    <row r="16" spans="1:29">
      <c r="A16" s="2443"/>
      <c r="B16" s="2497" t="s">
        <v>2253</v>
      </c>
      <c r="C16" s="2498">
        <f>C4</f>
        <v>0</v>
      </c>
      <c r="D16" s="2462"/>
      <c r="E16" s="2444"/>
      <c r="F16" s="2499" t="s">
        <v>2254</v>
      </c>
      <c r="G16" s="2500">
        <f>G4</f>
        <v>0</v>
      </c>
    </row>
    <row r="17" spans="1:18">
      <c r="A17" s="2443"/>
      <c r="B17" s="2497" t="s">
        <v>2255</v>
      </c>
      <c r="C17" s="2498">
        <f>C5</f>
        <v>0</v>
      </c>
      <c r="D17" s="2468"/>
      <c r="E17" s="2444"/>
      <c r="F17" s="2499" t="s">
        <v>2267</v>
      </c>
      <c r="G17" s="2501"/>
    </row>
    <row r="18" spans="1:18">
      <c r="A18" s="2443"/>
      <c r="B18" s="2499" t="s">
        <v>2257</v>
      </c>
      <c r="C18" s="2500">
        <f>C6</f>
        <v>0</v>
      </c>
      <c r="D18" s="2468"/>
      <c r="E18" s="2444"/>
      <c r="F18" s="2499" t="s">
        <v>2259</v>
      </c>
      <c r="G18" s="2500">
        <f>G7</f>
        <v>0</v>
      </c>
    </row>
    <row r="19" spans="1:18">
      <c r="A19" s="2443"/>
      <c r="B19" s="2499" t="s">
        <v>2268</v>
      </c>
      <c r="C19" s="2501"/>
      <c r="D19" s="2462"/>
      <c r="E19" s="2444"/>
      <c r="F19" s="321" t="s">
        <v>2256</v>
      </c>
      <c r="G19" s="2500">
        <f>G5</f>
        <v>0</v>
      </c>
    </row>
    <row r="20" spans="1:18">
      <c r="A20" s="2443"/>
      <c r="B20" s="2499" t="s">
        <v>2269</v>
      </c>
      <c r="C20" s="2498">
        <f>C9</f>
        <v>0</v>
      </c>
      <c r="D20" s="2468"/>
      <c r="E20" s="2444"/>
      <c r="F20" s="321" t="s">
        <v>2258</v>
      </c>
      <c r="G20" s="2500">
        <f>G6</f>
        <v>0</v>
      </c>
    </row>
    <row r="21" spans="1:18">
      <c r="A21" s="2443"/>
      <c r="B21" s="321" t="s">
        <v>2256</v>
      </c>
      <c r="C21" s="2500">
        <f>C7</f>
        <v>0</v>
      </c>
      <c r="D21" s="2462"/>
      <c r="E21" s="2444"/>
      <c r="F21" s="2499" t="s">
        <v>2270</v>
      </c>
      <c r="G21" s="2502"/>
    </row>
    <row r="22" spans="1:18" ht="13.5" customHeight="1">
      <c r="A22" s="2443"/>
      <c r="B22" s="321" t="s">
        <v>2258</v>
      </c>
      <c r="C22" s="2500">
        <f>C8</f>
        <v>0</v>
      </c>
      <c r="D22" s="2462"/>
      <c r="E22" s="2444"/>
      <c r="F22" s="2499" t="s">
        <v>2261</v>
      </c>
      <c r="G22" s="2501"/>
    </row>
    <row r="23" spans="1:18" s="797" customFormat="1" ht="15" thickBot="1">
      <c r="A23" s="2443"/>
      <c r="B23" s="2499" t="s">
        <v>2270</v>
      </c>
      <c r="C23" s="2502"/>
      <c r="D23" s="1739"/>
      <c r="E23" s="2445"/>
      <c r="F23" s="2503" t="s">
        <v>2271</v>
      </c>
      <c r="G23" s="2504"/>
      <c r="H23" s="2488"/>
      <c r="I23" s="2489"/>
      <c r="J23" s="2488"/>
      <c r="K23" s="2488"/>
      <c r="L23" s="2489"/>
      <c r="M23" s="2488"/>
      <c r="N23" s="2488"/>
      <c r="O23" s="2489"/>
      <c r="P23" s="2488"/>
      <c r="Q23" s="2488"/>
      <c r="R23" s="2490"/>
    </row>
    <row r="24" spans="1:18" s="797" customFormat="1" ht="15" thickBot="1">
      <c r="A24" s="2446"/>
      <c r="B24" s="2503" t="s">
        <v>2272</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119963.53</v>
      </c>
      <c r="C1" s="2683"/>
      <c r="D1" s="2683"/>
      <c r="E1" s="2683"/>
      <c r="F1" s="2683"/>
      <c r="G1" s="2684"/>
      <c r="H1" s="2685"/>
      <c r="I1" s="2685"/>
      <c r="J1" s="2685"/>
      <c r="K1" s="2685"/>
    </row>
    <row r="2" spans="1:11" ht="16.5">
      <c r="A2" s="2509" t="s">
        <v>653</v>
      </c>
      <c r="B2" s="2509">
        <f>SUM(C14:C23)</f>
        <v>24498.84</v>
      </c>
      <c r="C2" s="2683"/>
      <c r="D2" s="2683"/>
      <c r="E2" s="2683"/>
      <c r="F2" s="2683"/>
      <c r="G2" s="2684"/>
      <c r="H2" s="2685"/>
      <c r="I2" s="2685"/>
      <c r="J2" s="2685"/>
      <c r="K2" s="2685"/>
    </row>
    <row r="3" spans="1:11" ht="16.5">
      <c r="A3" s="2509" t="s">
        <v>662</v>
      </c>
      <c r="B3" s="2511">
        <f>项目基本情况!D3</f>
        <v>45317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286923</v>
      </c>
      <c r="C5" s="2509">
        <f ca="1">IF(B5=D14,结果表!H102,ROUND(B5*10000/$B$1,0))</f>
        <v>23918</v>
      </c>
      <c r="D5" s="2509">
        <f ca="1">ROUND(B5*10000/$B$2,0)</f>
        <v>117117</v>
      </c>
      <c r="E5" s="2683"/>
      <c r="F5" s="2684"/>
      <c r="G5" s="2684"/>
      <c r="H5" s="2685"/>
      <c r="I5" s="2685"/>
      <c r="J5" s="2685"/>
      <c r="K5" s="2685"/>
    </row>
    <row r="6" spans="1:11" ht="16.5">
      <c r="A6" s="2509" t="s">
        <v>656</v>
      </c>
      <c r="B6" s="2509">
        <f ca="1">SUM(G14:G23)</f>
        <v>286923</v>
      </c>
      <c r="C6" s="2509">
        <f ca="1">IF(B6=G14,结果表!H108,ROUND(B6*10000/$B$1,0))</f>
        <v>23918</v>
      </c>
      <c r="D6" s="2509">
        <f ca="1">ROUND(B6*10000/$B$2,0)</f>
        <v>117117</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3350</v>
      </c>
      <c r="D10" s="2509" t="s">
        <v>3351</v>
      </c>
      <c r="E10" s="3438"/>
      <c r="F10" s="3442" t="s">
        <v>3352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119963.53</v>
      </c>
      <c r="C14" s="2515">
        <f>'数据-汇总表'!D3</f>
        <v>24498.84</v>
      </c>
      <c r="D14" s="2515">
        <f ca="1">结果表!G19</f>
        <v>286923</v>
      </c>
      <c r="E14" s="2515">
        <f ca="1">ROUND(D14*10000/B14,0)</f>
        <v>23918</v>
      </c>
      <c r="F14" s="2515">
        <f ca="1">ROUND(D14*10000/C14,0)</f>
        <v>117117</v>
      </c>
      <c r="G14" s="2515">
        <f ca="1">D14</f>
        <v>286923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9" sqref="K2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6" t="str">
        <f>项目基本情况!S2</f>
        <v>北京市房地产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2" t="s">
        <v>1265</v>
      </c>
      <c r="B4" s="1753" t="s">
        <v>1266</v>
      </c>
      <c r="C4" s="1754" t="s">
        <v>3612</v>
      </c>
      <c r="D4" s="1754" t="s">
        <v>3613</v>
      </c>
      <c r="E4" s="3665" t="s">
        <v>1267</v>
      </c>
      <c r="F4" s="3666"/>
      <c r="G4" s="3666"/>
      <c r="H4" s="3666"/>
      <c r="I4" s="366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30" t="s">
        <v>1269</v>
      </c>
      <c r="F5" s="1755"/>
      <c r="G5" s="1755"/>
      <c r="H5" s="1755"/>
      <c r="I5" s="1371"/>
    </row>
    <row r="6" spans="1:12" ht="12.75">
      <c r="A6" s="3604"/>
      <c r="B6" s="3659"/>
      <c r="C6" s="3664"/>
      <c r="D6" s="3650"/>
      <c r="E6" s="130" t="s">
        <v>1270</v>
      </c>
      <c r="F6" s="1755"/>
      <c r="G6" s="1755"/>
      <c r="H6" s="1755"/>
      <c r="I6" s="1371"/>
    </row>
    <row r="7" spans="1:12" ht="12.75">
      <c r="A7" s="3604"/>
      <c r="B7" s="3659"/>
      <c r="C7" s="3663"/>
      <c r="D7" s="3650"/>
      <c r="E7" s="130" t="s">
        <v>1271</v>
      </c>
      <c r="F7" s="1755"/>
      <c r="G7" s="1755"/>
      <c r="H7" s="1755"/>
      <c r="I7" s="1371"/>
    </row>
    <row r="8" spans="1:12" ht="12.75">
      <c r="A8" s="3604" t="s">
        <v>1272</v>
      </c>
      <c r="B8" s="3659">
        <v>15</v>
      </c>
      <c r="C8" s="3662"/>
      <c r="D8" s="3650"/>
      <c r="E8" s="130" t="s">
        <v>1273</v>
      </c>
      <c r="F8" s="1755"/>
      <c r="G8" s="1755"/>
      <c r="H8" s="1755"/>
      <c r="I8" s="1371"/>
    </row>
    <row r="9" spans="1:12" ht="12.75">
      <c r="A9" s="3604"/>
      <c r="B9" s="3659"/>
      <c r="C9" s="3663"/>
      <c r="D9" s="3650"/>
      <c r="E9" s="130" t="s">
        <v>1274</v>
      </c>
      <c r="F9" s="1755"/>
      <c r="G9" s="1755"/>
      <c r="H9" s="1755"/>
      <c r="I9" s="1371"/>
    </row>
    <row r="10" spans="1:12" ht="12.75">
      <c r="A10" s="3604" t="s">
        <v>1275</v>
      </c>
      <c r="B10" s="3659">
        <v>15</v>
      </c>
      <c r="C10" s="3662"/>
      <c r="D10" s="3650"/>
      <c r="E10" s="130" t="s">
        <v>1276</v>
      </c>
      <c r="F10" s="1755"/>
      <c r="G10" s="1755"/>
      <c r="H10" s="1755"/>
      <c r="I10" s="1371"/>
    </row>
    <row r="11" spans="1:12" ht="12.75">
      <c r="A11" s="3604"/>
      <c r="B11" s="3659"/>
      <c r="C11" s="3663"/>
      <c r="D11" s="3650"/>
      <c r="E11" s="130" t="s">
        <v>1277</v>
      </c>
      <c r="F11" s="1755"/>
      <c r="G11" s="1755"/>
      <c r="H11" s="1755"/>
      <c r="I11" s="1371"/>
    </row>
    <row r="12" spans="1:12" ht="12.75">
      <c r="A12" s="3604" t="s">
        <v>1278</v>
      </c>
      <c r="B12" s="3659">
        <v>15</v>
      </c>
      <c r="C12" s="3662"/>
      <c r="D12" s="3650"/>
      <c r="E12" s="130" t="s">
        <v>1279</v>
      </c>
      <c r="F12" s="1755"/>
      <c r="G12" s="1755"/>
      <c r="H12" s="1755"/>
      <c r="I12" s="1371"/>
    </row>
    <row r="13" spans="1:12" ht="12.75">
      <c r="A13" s="3604"/>
      <c r="B13" s="3659"/>
      <c r="C13" s="3663"/>
      <c r="D13" s="3650"/>
      <c r="E13" s="130" t="s">
        <v>1280</v>
      </c>
      <c r="F13" s="1755"/>
      <c r="G13" s="1755"/>
      <c r="H13" s="1755"/>
      <c r="I13" s="1371"/>
    </row>
    <row r="14" spans="1:12" ht="12.75">
      <c r="A14" s="3604" t="s">
        <v>1281</v>
      </c>
      <c r="B14" s="3659">
        <v>30</v>
      </c>
      <c r="C14" s="3662">
        <v>5</v>
      </c>
      <c r="D14" s="3650">
        <v>5</v>
      </c>
      <c r="E14" s="130" t="s">
        <v>1282</v>
      </c>
      <c r="F14" s="1755"/>
      <c r="G14" s="1755"/>
      <c r="H14" s="1755"/>
      <c r="I14" s="1371"/>
    </row>
    <row r="15" spans="1:12" ht="12.75">
      <c r="A15" s="3604"/>
      <c r="B15" s="3659"/>
      <c r="C15" s="3664"/>
      <c r="D15" s="3650"/>
      <c r="E15" s="130" t="s">
        <v>1283</v>
      </c>
      <c r="F15" s="1755"/>
      <c r="G15" s="1755"/>
      <c r="H15" s="1755"/>
      <c r="I15" s="1371"/>
    </row>
    <row r="16" spans="1:12" ht="12.75">
      <c r="A16" s="3604"/>
      <c r="B16" s="3659"/>
      <c r="C16" s="3663"/>
      <c r="D16" s="3650"/>
      <c r="E16" s="130" t="s">
        <v>1284</v>
      </c>
      <c r="F16" s="1755"/>
      <c r="G16" s="1755"/>
      <c r="H16" s="1755"/>
      <c r="I16" s="1371"/>
    </row>
    <row r="17" spans="1:36" ht="15">
      <c r="A17" s="1756" t="s">
        <v>1285</v>
      </c>
      <c r="B17" s="56"/>
      <c r="C17" s="131">
        <f>SUM(C5:C16)</f>
        <v>5</v>
      </c>
      <c r="D17" s="131">
        <f>SUM(D5:D16)</f>
        <v>5</v>
      </c>
      <c r="E17" s="128"/>
      <c r="F17" s="128"/>
      <c r="G17" s="128"/>
      <c r="H17" s="128"/>
      <c r="I17" s="128"/>
      <c r="K17" s="300"/>
      <c r="L17" s="300" t="s">
        <v>1286</v>
      </c>
      <c r="M17" s="300" t="s">
        <v>1287</v>
      </c>
    </row>
    <row r="18" spans="1:36" ht="31.9" customHeight="1" thickBot="1">
      <c r="A18" s="1757" t="s">
        <v>1288</v>
      </c>
      <c r="B18" s="1758"/>
      <c r="C18" s="132">
        <f>ROUND(C17/SUM(C17:D17),2)</f>
        <v>0.5</v>
      </c>
      <c r="D18" s="132">
        <f>1-C18</f>
        <v>0.5</v>
      </c>
      <c r="E18" s="3681" t="s">
        <v>2130</v>
      </c>
      <c r="F18" s="3682"/>
      <c r="G18" s="3682"/>
      <c r="H18" s="3682"/>
      <c r="I18" s="3682"/>
      <c r="K18" s="300" t="s">
        <v>1289</v>
      </c>
      <c r="L18" s="300">
        <f>IF(C1="",'数据-汇总表'!E3,SUMIF(项目类型,C1,'数据-汇总表'!E17:E26)+SUMIF(项目类型,C1,'数据-汇总表'!I17:I26))</f>
        <v>119963.53</v>
      </c>
      <c r="M18" s="300">
        <f>IF(C1="",'数据-汇总表'!E3,SUMIF(项目类型,C1,'数据-汇总表'!E17:E26))</f>
        <v>119963.53</v>
      </c>
    </row>
    <row r="19" spans="1:36" ht="15">
      <c r="A19" s="1759" t="s">
        <v>1290</v>
      </c>
      <c r="B19" s="1760" t="s">
        <v>1291</v>
      </c>
      <c r="C19" s="133">
        <f ca="1">SUMIF(INDIRECT("'"&amp;C4&amp;"'"&amp;"!A:A"),结果表!B19,INDIRECT("'"&amp;C4&amp;"'"&amp;"!B:B"))</f>
        <v>283774</v>
      </c>
      <c r="D19" s="134">
        <f ca="1">SUMIF(INDIRECT("'"&amp;D4&amp;"'"&amp;"!A:A"),结果表!B19,INDIRECT("'"&amp;D4&amp;"'"&amp;"!B:B"))</f>
        <v>290072</v>
      </c>
      <c r="E19" s="1759" t="s">
        <v>1292</v>
      </c>
      <c r="F19" s="1760" t="s">
        <v>1291</v>
      </c>
      <c r="G19" s="135">
        <f ca="1">ROUND(C19*$C$18+D19*$D$18,0)</f>
        <v>286923</v>
      </c>
      <c r="H19" s="1761" t="s">
        <v>1293</v>
      </c>
      <c r="I19" s="128">
        <v>280735</v>
      </c>
      <c r="K19" s="300" t="s">
        <v>1294</v>
      </c>
      <c r="L19" s="300">
        <f>IF(C1="",'数据-汇总表'!D3,SUMIF(项目类型,C1,'数据-汇总表'!D17:D26)+SUMIF(项目类型,C1,'数据-汇总表'!H17:H27))</f>
        <v>24498.84</v>
      </c>
      <c r="M19" s="300">
        <f>IF(C1="",'数据-汇总表'!D3,SUMIF(项目类型,C1,'数据-汇总表'!D17:D26))</f>
        <v>24498.84</v>
      </c>
    </row>
    <row r="20" spans="1:36" ht="15">
      <c r="A20" s="1762"/>
      <c r="B20" s="1024" t="s">
        <v>1295</v>
      </c>
      <c r="C20" s="136">
        <f ca="1">SUMIF(INDIRECT("'"&amp;C4&amp;"'"&amp;"!A:A"),结果表!B20,INDIRECT("'"&amp;C4&amp;"'"&amp;"!B:B"))</f>
        <v>23655</v>
      </c>
      <c r="D20" s="137">
        <f ca="1">SUMIF(INDIRECT("'"&amp;D4&amp;"'"&amp;"!A:A"),结果表!B20,INDIRECT("'"&amp;D4&amp;"'"&amp;"!B:B"))</f>
        <v>24180</v>
      </c>
      <c r="E20" s="1762"/>
      <c r="F20" s="1024" t="s">
        <v>1295</v>
      </c>
      <c r="G20" s="138">
        <f ca="1">ROUND(C20*$C$18+D20*$D$18,0)</f>
        <v>23918</v>
      </c>
      <c r="H20" s="806" t="s">
        <v>1296</v>
      </c>
      <c r="I20" s="128"/>
    </row>
    <row r="21" spans="1:36" ht="15" customHeight="1" thickBot="1">
      <c r="A21" s="826"/>
      <c r="B21" s="1763" t="s">
        <v>1297</v>
      </c>
      <c r="C21" s="717">
        <f ca="1">ROUND(C19*10000/L19,0)</f>
        <v>115832</v>
      </c>
      <c r="D21" s="718">
        <f ca="1">ROUND(D19*10000/L19,0)</f>
        <v>118402</v>
      </c>
      <c r="E21" s="826"/>
      <c r="F21" s="1763" t="s">
        <v>1297</v>
      </c>
      <c r="G21" s="139">
        <f ca="1">ROUND(G19*10000/L19,0)</f>
        <v>117117</v>
      </c>
      <c r="H21" s="1764" t="s">
        <v>1296</v>
      </c>
      <c r="I21" s="128"/>
    </row>
    <row r="22" spans="1:36" ht="15" thickBot="1">
      <c r="A22" s="1686" t="s">
        <v>1298</v>
      </c>
      <c r="B22" s="1765"/>
      <c r="C22" s="1766"/>
      <c r="D22" s="719">
        <f ca="1">IF(C19&lt;D19,D19/C19-1,C19/D19-1)</f>
        <v>2.2193717535785584E-2</v>
      </c>
      <c r="E22" s="128"/>
      <c r="F22" s="128"/>
      <c r="G22" s="128"/>
      <c r="H22" s="128"/>
      <c r="I22" s="128"/>
    </row>
    <row r="23" spans="1:36" ht="13.5" thickBot="1">
      <c r="A23" s="1745"/>
      <c r="B23" s="1745"/>
      <c r="C23" s="1745"/>
      <c r="D23" s="1745"/>
      <c r="E23" s="128"/>
      <c r="F23" s="128"/>
      <c r="G23" s="128"/>
      <c r="H23" s="128"/>
      <c r="I23" s="128"/>
    </row>
    <row r="24" spans="1:36" ht="14.25">
      <c r="A24" s="3674" t="s">
        <v>1299</v>
      </c>
      <c r="B24" s="1760" t="s">
        <v>1291</v>
      </c>
      <c r="C24" s="135">
        <f>IF(B30=0,0,D30)</f>
        <v>0</v>
      </c>
      <c r="D24" s="1767"/>
      <c r="E24" s="128"/>
      <c r="F24" s="128"/>
      <c r="G24" s="128"/>
      <c r="H24" s="128"/>
      <c r="I24" s="128"/>
    </row>
    <row r="25" spans="1:36" ht="14.25">
      <c r="A25" s="3675"/>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286923</v>
      </c>
      <c r="D32" s="1773" t="s">
        <v>3614</v>
      </c>
      <c r="E32" s="128"/>
      <c r="F32" s="128"/>
      <c r="G32" s="128"/>
      <c r="H32" s="128"/>
      <c r="I32" s="128"/>
    </row>
    <row r="33" spans="1:15" ht="15">
      <c r="A33" s="784" t="s">
        <v>1306</v>
      </c>
      <c r="B33" s="1774"/>
      <c r="C33" s="1775" t="s">
        <v>3984</v>
      </c>
      <c r="D33" s="1776" t="s">
        <v>3612</v>
      </c>
      <c r="E33" s="1777" t="s">
        <v>1307</v>
      </c>
      <c r="F33" s="1778" t="str">
        <f>IF(D32="楼面单价","取值（单价）","取值（总价）")</f>
        <v>取值（总价）</v>
      </c>
      <c r="G33" s="128"/>
      <c r="H33" s="128"/>
      <c r="I33" s="128"/>
    </row>
    <row r="34" spans="1:15" ht="15">
      <c r="A34" s="1779"/>
      <c r="B34" s="1780" t="s">
        <v>1308</v>
      </c>
      <c r="C34" s="147">
        <f ca="1">IF(C33="自定义",F34,C32-C35)</f>
        <v>193099</v>
      </c>
      <c r="D34" s="859">
        <f ca="1">IF(C33="自定义",ROUND(C34/C32,3),IF(C33="收益比率",SUMIF(INDIRECT("'"&amp;D33&amp;"'"&amp;"!b:b"),"土地收益比率",INDIRECT("'"&amp;D33&amp;"'"&amp;"!c:c")),SUMIF(INDIRECT("'"&amp;D33&amp;"'"&amp;"!b:b"),"土地成本比率",INDIRECT("'"&amp;D33&amp;"'"&amp;"!c:c"))))</f>
        <v>0.67300000000000004</v>
      </c>
      <c r="E34" s="1781" t="s">
        <v>1309</v>
      </c>
      <c r="F34" s="1328"/>
      <c r="G34" s="128"/>
      <c r="H34" s="128"/>
      <c r="I34" s="128"/>
    </row>
    <row r="35" spans="1:15" ht="15.75" thickBot="1">
      <c r="A35" s="1782"/>
      <c r="B35" s="1783" t="s">
        <v>1310</v>
      </c>
      <c r="C35" s="1168">
        <f ca="1">IF(C33="自定义",F35,ROUND(C32*D35,0))</f>
        <v>93824</v>
      </c>
      <c r="D35" s="1169">
        <f ca="1">IF(C33="自定义",ROUND(C35/C32,3),IF(C33="收益比率",SUMIF(INDIRECT("'"&amp;D33&amp;"'"&amp;"!b:b"),"建筑物收益比率",INDIRECT("'"&amp;D33&amp;"'"&amp;"!c:c")),SUMIF(INDIRECT("'"&amp;D33&amp;"'"&amp;"!b:b"),"建筑物成本比率",INDIRECT("'"&amp;D33&amp;"'"&amp;"!c:c"))))</f>
        <v>0.32700000000000001</v>
      </c>
      <c r="E35" s="1784" t="s">
        <v>1311</v>
      </c>
      <c r="F35" s="153"/>
      <c r="G35" s="128"/>
      <c r="H35" s="128"/>
      <c r="I35" s="128"/>
    </row>
    <row r="36" spans="1:15" ht="15.75" thickBot="1">
      <c r="A36" s="3651" t="s">
        <v>1312</v>
      </c>
      <c r="B36" s="1785" t="s">
        <v>1313</v>
      </c>
      <c r="C36" s="144"/>
      <c r="D36" s="1786"/>
      <c r="E36" s="1787"/>
      <c r="F36" s="1788"/>
      <c r="G36" s="128"/>
      <c r="H36" s="128"/>
      <c r="I36" s="128"/>
    </row>
    <row r="37" spans="1:15" ht="15.75" thickBot="1">
      <c r="A37" s="3652"/>
      <c r="B37" s="1672" t="s">
        <v>1314</v>
      </c>
      <c r="C37" s="146"/>
      <c r="D37" s="1137"/>
      <c r="E37" s="1137"/>
      <c r="F37" s="1788"/>
      <c r="G37" s="128"/>
      <c r="H37" s="128"/>
      <c r="I37" s="128"/>
    </row>
    <row r="38" spans="1:15" ht="15.75" thickBot="1">
      <c r="A38" s="3653"/>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71" t="s">
        <v>1326</v>
      </c>
      <c r="B45" s="3672"/>
      <c r="C45" s="3673"/>
      <c r="D45" s="154">
        <f ca="1">ROUND(H101*F45,0)</f>
        <v>286923</v>
      </c>
      <c r="E45" s="155" t="s">
        <v>1327</v>
      </c>
      <c r="F45" s="156">
        <v>1</v>
      </c>
      <c r="G45" s="157" t="s">
        <v>1328</v>
      </c>
      <c r="H45" s="128"/>
      <c r="I45" s="128"/>
      <c r="J45" s="3591" t="s">
        <v>1329</v>
      </c>
      <c r="K45" s="3591"/>
      <c r="L45" s="3591"/>
      <c r="M45" s="3591"/>
      <c r="N45" s="3591"/>
      <c r="O45" s="3591"/>
    </row>
    <row r="46" spans="1:15" ht="14.25" customHeight="1">
      <c r="A46" s="3668" t="s">
        <v>1330</v>
      </c>
      <c r="B46" s="3669"/>
      <c r="C46" s="3669"/>
      <c r="D46" s="3669"/>
      <c r="E46" s="3669"/>
      <c r="F46" s="3669"/>
      <c r="G46" s="3670"/>
      <c r="H46" s="1804"/>
      <c r="I46" s="158"/>
      <c r="J46" s="2520">
        <v>1</v>
      </c>
      <c r="K46" s="3592" t="s">
        <v>1331</v>
      </c>
      <c r="L46" s="3592"/>
      <c r="M46" s="3593"/>
      <c r="N46" s="3593"/>
      <c r="O46" s="3593"/>
    </row>
    <row r="47" spans="1:15" ht="12" customHeight="1">
      <c r="A47" s="159" t="s">
        <v>1332</v>
      </c>
      <c r="B47" s="160"/>
      <c r="C47" s="161"/>
      <c r="D47" s="1085" t="s">
        <v>1333</v>
      </c>
      <c r="E47" s="300" t="s">
        <v>1334</v>
      </c>
      <c r="F47" s="162" t="s">
        <v>1335</v>
      </c>
      <c r="G47" s="2543" t="s">
        <v>1336</v>
      </c>
      <c r="H47" s="2544"/>
      <c r="I47" s="158"/>
      <c r="J47" s="2520">
        <v>2</v>
      </c>
      <c r="K47" s="3592" t="s">
        <v>1337</v>
      </c>
      <c r="L47" s="3592"/>
      <c r="M47" s="3594">
        <f>'数据-取费表'!B2</f>
        <v>45317</v>
      </c>
      <c r="N47" s="3594"/>
      <c r="O47" s="3594"/>
    </row>
    <row r="48" spans="1:15" ht="25.5">
      <c r="A48" s="3654" t="s">
        <v>1338</v>
      </c>
      <c r="B48" s="3655"/>
      <c r="C48" s="3655"/>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592" t="s">
        <v>1340</v>
      </c>
      <c r="L48" s="3592"/>
      <c r="M48" s="3595">
        <f ca="1">H101</f>
        <v>286923</v>
      </c>
      <c r="N48" s="3595"/>
      <c r="O48" s="3595"/>
    </row>
    <row r="49" spans="1:35" ht="25.5" customHeight="1">
      <c r="A49" s="2331" t="s">
        <v>1341</v>
      </c>
      <c r="B49" s="3640" t="s">
        <v>1342</v>
      </c>
      <c r="C49" s="3640"/>
      <c r="D49" s="1588">
        <v>0</v>
      </c>
      <c r="E49" s="322" t="s">
        <v>1343</v>
      </c>
      <c r="F49" s="2421" t="s">
        <v>28</v>
      </c>
      <c r="G49" s="3623"/>
      <c r="H49" s="2308" t="s">
        <v>2133</v>
      </c>
      <c r="I49" s="2309"/>
      <c r="J49" s="2520">
        <v>4</v>
      </c>
      <c r="K49" s="3592" t="str">
        <f>IF(项目基本情况!E8="房地产抵押价值","房地产抵押价值","抵押担保权已注销时的房地产抵押价值")</f>
        <v>房地产抵押价值</v>
      </c>
      <c r="L49" s="3592"/>
      <c r="M49" s="3595">
        <f ca="1">IF(项目基本情况!E8="房地产抵押价值",H107,H109)</f>
        <v>286923</v>
      </c>
      <c r="N49" s="3595"/>
      <c r="O49" s="3595"/>
    </row>
    <row r="50" spans="1:35" ht="25.5" customHeight="1">
      <c r="A50" s="2548"/>
      <c r="B50" s="3640" t="s">
        <v>1344</v>
      </c>
      <c r="C50" s="3640"/>
      <c r="D50" s="2549"/>
      <c r="E50" s="330"/>
      <c r="F50" s="2421"/>
      <c r="G50" s="3624"/>
      <c r="H50" s="2310" t="s">
        <v>2134</v>
      </c>
      <c r="I50" s="2309"/>
      <c r="J50" s="3591" t="s">
        <v>1345</v>
      </c>
      <c r="K50" s="3591"/>
      <c r="L50" s="3591"/>
      <c r="M50" s="3591"/>
      <c r="N50" s="3591"/>
      <c r="O50" s="3591"/>
    </row>
    <row r="51" spans="1:35" ht="20.45" customHeight="1">
      <c r="A51" s="2550"/>
      <c r="B51" s="3640" t="s">
        <v>1346</v>
      </c>
      <c r="C51" s="3640"/>
      <c r="D51" s="1085"/>
      <c r="E51" s="325"/>
      <c r="F51" s="2421"/>
      <c r="G51" s="3625"/>
      <c r="H51" s="2310" t="s">
        <v>2135</v>
      </c>
      <c r="I51" s="2309"/>
      <c r="J51" s="2521" t="s">
        <v>1347</v>
      </c>
      <c r="K51" s="3592" t="s">
        <v>1348</v>
      </c>
      <c r="L51" s="3592"/>
      <c r="M51" s="2521" t="s">
        <v>1349</v>
      </c>
      <c r="N51" s="2521" t="s">
        <v>1350</v>
      </c>
      <c r="O51" s="2521" t="s">
        <v>1351</v>
      </c>
    </row>
    <row r="52" spans="1:35" ht="24" customHeight="1">
      <c r="A52" s="2333" t="s">
        <v>1352</v>
      </c>
      <c r="B52" s="3640" t="s">
        <v>1353</v>
      </c>
      <c r="C52" s="3640"/>
      <c r="D52" s="1085">
        <f ca="1">ROUND(D45*'数据-取费表'!B41/(1+'数据-取费表'!C42),0)</f>
        <v>15029</v>
      </c>
      <c r="E52" s="2332" t="s">
        <v>1354</v>
      </c>
      <c r="F52" s="2551">
        <f>'数据-取费表'!B41</f>
        <v>5.5000000000000007E-2</v>
      </c>
      <c r="G52" s="2552"/>
      <c r="H52" s="2541"/>
      <c r="I52" s="1805"/>
      <c r="J52" s="2520">
        <v>1</v>
      </c>
      <c r="K52" s="3617" t="s">
        <v>1355</v>
      </c>
      <c r="L52" s="3617"/>
      <c r="M52" s="2522" t="b">
        <f>D48</f>
        <v>0</v>
      </c>
      <c r="N52" s="2520" t="str">
        <f>E48</f>
        <v>销售额×税（费）率</v>
      </c>
      <c r="O52" s="2523">
        <f>F48</f>
        <v>5.5000000000000007E-2</v>
      </c>
    </row>
    <row r="53" spans="1:35" ht="12" customHeight="1">
      <c r="A53" s="2333" t="s">
        <v>1356</v>
      </c>
      <c r="B53" s="3641" t="s">
        <v>2282</v>
      </c>
      <c r="C53" s="3642"/>
      <c r="D53" s="1085">
        <f ca="1">ROUND(D45*'数据-取费表'!B41/(1+'数据-取费表'!C42),0)</f>
        <v>15029</v>
      </c>
      <c r="E53" s="2332" t="s">
        <v>1354</v>
      </c>
      <c r="F53" s="2551">
        <f>'数据-取费表'!B41</f>
        <v>5.5000000000000007E-2</v>
      </c>
      <c r="G53" s="2552"/>
      <c r="H53" s="2541"/>
      <c r="I53" s="1805"/>
      <c r="J53" s="2520">
        <v>2</v>
      </c>
      <c r="K53" s="3617" t="s">
        <v>1357</v>
      </c>
      <c r="L53" s="3617"/>
      <c r="M53" s="2522">
        <f t="shared" ref="M53:O54" ca="1" si="0">D55</f>
        <v>143</v>
      </c>
      <c r="N53" s="2520" t="str">
        <f t="shared" si="0"/>
        <v>销售额×税（费）率</v>
      </c>
      <c r="O53" s="2523" t="str">
        <f t="shared" si="0"/>
        <v>免征</v>
      </c>
    </row>
    <row r="54" spans="1:35" ht="12" customHeight="1">
      <c r="A54" s="2333" t="s">
        <v>1358</v>
      </c>
      <c r="B54" s="3641" t="s">
        <v>2283</v>
      </c>
      <c r="C54" s="3642"/>
      <c r="D54" s="1085">
        <f ca="1">C68</f>
        <v>15029</v>
      </c>
      <c r="E54" s="325" t="s">
        <v>1359</v>
      </c>
      <c r="F54" s="2551">
        <f>'数据-取费表'!B41</f>
        <v>5.5000000000000007E-2</v>
      </c>
      <c r="G54" s="2552"/>
      <c r="H54" s="2553"/>
      <c r="I54" s="1805"/>
      <c r="J54" s="2520">
        <v>3</v>
      </c>
      <c r="K54" s="3617" t="s">
        <v>1360</v>
      </c>
      <c r="L54" s="3617"/>
      <c r="M54" s="2522">
        <f t="shared" ca="1" si="0"/>
        <v>162658</v>
      </c>
      <c r="N54" s="2520" t="str">
        <f t="shared" si="0"/>
        <v>增值额×税（费）率</v>
      </c>
      <c r="O54" s="2524" t="str">
        <f t="shared" si="0"/>
        <v>免征</v>
      </c>
    </row>
    <row r="55" spans="1:35" ht="24" customHeight="1">
      <c r="A55" s="3677" t="s">
        <v>1361</v>
      </c>
      <c r="B55" s="3655"/>
      <c r="C55" s="3655"/>
      <c r="D55" s="2322">
        <f ca="1">IF(H55="个人住宅",0,ROUND(D45*I55,0))</f>
        <v>143</v>
      </c>
      <c r="E55" s="2332" t="s">
        <v>1362</v>
      </c>
      <c r="F55" s="2551" t="str">
        <f>IF(H55="正常",I55,"免征")</f>
        <v>免征</v>
      </c>
      <c r="G55" s="2552"/>
      <c r="H55" s="2547"/>
      <c r="I55" s="164">
        <f>'数据-取费表'!B49</f>
        <v>5.0000000000000001E-4</v>
      </c>
      <c r="J55" s="2520">
        <f>IF(H59="非个人房产","",4)</f>
        <v>4</v>
      </c>
      <c r="K55" s="3617" t="str">
        <f>IF(H59="非个人房产","——","个人所得税")</f>
        <v>个人所得税</v>
      </c>
      <c r="L55" s="3617"/>
      <c r="M55" s="2525">
        <f ca="1">D59</f>
        <v>2733</v>
      </c>
      <c r="N55" s="2038" t="str">
        <f>E59</f>
        <v>差额计税</v>
      </c>
      <c r="O55" s="2526">
        <f>F59</f>
        <v>0.01</v>
      </c>
    </row>
    <row r="56" spans="1:35" ht="24.75">
      <c r="A56" s="3677" t="s">
        <v>1363</v>
      </c>
      <c r="B56" s="3655"/>
      <c r="C56" s="3655"/>
      <c r="D56" s="2322">
        <f ca="1">IF(H56="个人住宅",D57,D58)</f>
        <v>162658</v>
      </c>
      <c r="E56" s="2332" t="s">
        <v>1364</v>
      </c>
      <c r="F56" s="2551" t="str">
        <f>IF(H56="正常",F58,"免征")</f>
        <v>免征</v>
      </c>
      <c r="G56" s="2554" t="s">
        <v>1365</v>
      </c>
      <c r="H56" s="2555"/>
      <c r="I56" s="1806"/>
      <c r="J56" s="2520" t="str">
        <f>IF(项目基本情况!K6="上海银行",IF(J55="",4,J55+1),"")</f>
        <v/>
      </c>
      <c r="K56" s="3598" t="str">
        <f>IF(项目基本情况!K6="上海银行","其他处置费用","")</f>
        <v/>
      </c>
      <c r="L56" s="3599"/>
      <c r="M56" s="2522" t="str">
        <f>IF(项目基本情况!K6="上海银行",M69,"")</f>
        <v/>
      </c>
      <c r="N56" s="3598" t="str">
        <f>IF(项目基本情况!K6="上海银行","包含处置中涉及的律师、诉讼、拍卖、评估等费用","")</f>
        <v/>
      </c>
      <c r="O56" s="3601"/>
    </row>
    <row r="57" spans="1:35" ht="12.75">
      <c r="A57" s="2333" t="s">
        <v>1341</v>
      </c>
      <c r="B57" s="3641" t="s">
        <v>1366</v>
      </c>
      <c r="C57" s="3642"/>
      <c r="D57" s="1588">
        <v>0</v>
      </c>
      <c r="E57" s="322" t="s">
        <v>1343</v>
      </c>
      <c r="F57" s="300"/>
      <c r="G57" s="2552"/>
      <c r="H57" s="2556"/>
      <c r="I57" s="1806"/>
      <c r="J57" s="3617">
        <f>IF(AND(J55="",J56=""),4,IF(项目基本情况!K6="上海银行",结果表!J56+1,结果表!J55+1))</f>
        <v>5</v>
      </c>
      <c r="K57" s="3617" t="s">
        <v>1367</v>
      </c>
      <c r="L57" s="2527" t="s">
        <v>1368</v>
      </c>
      <c r="M57" s="2528"/>
      <c r="N57" s="2529">
        <f ca="1">SUMIF(M52:M56,"&lt;9e307")</f>
        <v>165534</v>
      </c>
      <c r="O57" s="2530"/>
      <c r="P57" s="2687">
        <f ca="1">N57/M49</f>
        <v>0.57692830480651602</v>
      </c>
    </row>
    <row r="58" spans="1:35" ht="24.75">
      <c r="A58" s="2333" t="s">
        <v>1352</v>
      </c>
      <c r="B58" s="3641" t="s">
        <v>1369</v>
      </c>
      <c r="C58" s="3640"/>
      <c r="D58" s="2322">
        <f ca="1">IF(H58="转让取得",C81,C97)</f>
        <v>162658</v>
      </c>
      <c r="E58" s="2332" t="s">
        <v>1364</v>
      </c>
      <c r="F58" s="300" t="s">
        <v>28</v>
      </c>
      <c r="G58" s="2552"/>
      <c r="H58" s="2555"/>
      <c r="I58" s="1806"/>
      <c r="J58" s="3617"/>
      <c r="K58" s="3617"/>
      <c r="L58" s="2527" t="s">
        <v>1370</v>
      </c>
      <c r="M58" s="2531"/>
      <c r="N58" s="2532" t="str">
        <f ca="1">NUMBERSTRING(INT(N57*10000),2)&amp;"元整"</f>
        <v>壹拾陆亿伍仟伍佰叁拾肆万元整</v>
      </c>
      <c r="O58" s="2533"/>
    </row>
    <row r="59" spans="1:35" ht="24.75" thickBot="1">
      <c r="A59" s="3621" t="s">
        <v>1371</v>
      </c>
      <c r="B59" s="3622"/>
      <c r="C59" s="3622"/>
      <c r="D59" s="2557">
        <f ca="1">IF(H59="非个人房产","——",IF(H59="个人住宅（满五唯一有凭证）",0,IF(H59="个人其他（无凭证）",ROUND(D45*F59,0),ROUND(C67*F59,0))))</f>
        <v>2733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19">
        <f>J57+1</f>
        <v>6</v>
      </c>
      <c r="K59" s="3617" t="s">
        <v>1372</v>
      </c>
      <c r="L59" s="2520" t="s">
        <v>1368</v>
      </c>
      <c r="M59" s="2534"/>
      <c r="N59" s="2535">
        <f ca="1">M49-N57</f>
        <v>121389</v>
      </c>
      <c r="O59" s="2536"/>
    </row>
    <row r="60" spans="1:35" ht="12" customHeight="1">
      <c r="A60" s="1807"/>
      <c r="B60" s="1745"/>
      <c r="C60" s="1745"/>
      <c r="D60" s="1745"/>
      <c r="E60" s="1576"/>
      <c r="F60" s="1806"/>
      <c r="G60" s="1806"/>
      <c r="H60" s="1808"/>
      <c r="I60" s="128"/>
      <c r="J60" s="3620"/>
      <c r="K60" s="3617"/>
      <c r="L60" s="2527" t="s">
        <v>1370</v>
      </c>
      <c r="M60" s="2531"/>
      <c r="N60" s="2532" t="str">
        <f ca="1">NUMBERSTRING(INT(N59*10000),2)&amp;"元整"</f>
        <v>壹拾贰亿壹仟叁佰捌拾玖万元整</v>
      </c>
      <c r="O60" s="2533"/>
    </row>
    <row r="61" spans="1:35" ht="13.5" thickBot="1">
      <c r="A61" s="3676" t="s">
        <v>1373</v>
      </c>
      <c r="B61" s="3676"/>
      <c r="C61" s="3676"/>
      <c r="D61" s="3676"/>
      <c r="E61" s="3676"/>
      <c r="F61" s="1806"/>
      <c r="G61" s="1806"/>
      <c r="H61" s="1808"/>
      <c r="I61" s="128"/>
      <c r="J61" s="2520">
        <f>J59+1</f>
        <v>7</v>
      </c>
      <c r="K61" s="3617" t="s">
        <v>1374</v>
      </c>
      <c r="L61" s="3617"/>
      <c r="M61" s="2537"/>
      <c r="N61" s="2538">
        <f ca="1">ROUND(N59*10000/'数据-汇总表'!E3,0)</f>
        <v>10119</v>
      </c>
      <c r="O61" s="2539"/>
    </row>
    <row r="62" spans="1:35" ht="12.75">
      <c r="A62" s="3636" t="s">
        <v>1375</v>
      </c>
      <c r="B62" s="3637"/>
      <c r="C62" s="2019"/>
      <c r="D62" s="2019" t="s">
        <v>1376</v>
      </c>
      <c r="E62" s="165" t="s">
        <v>1377</v>
      </c>
      <c r="F62" s="1806"/>
      <c r="G62" s="1806"/>
      <c r="H62" s="1808"/>
      <c r="I62" s="128"/>
    </row>
    <row r="63" spans="1:35" ht="12.75">
      <c r="A63" s="172" t="s">
        <v>330</v>
      </c>
      <c r="B63" s="166" t="s">
        <v>1378</v>
      </c>
      <c r="C63" s="2561">
        <f ca="1">ROUND((C64+C65)/(1+'数据-取费表'!C42),0)</f>
        <v>273260</v>
      </c>
      <c r="D63" s="166"/>
      <c r="E63" s="167"/>
      <c r="F63" s="1806"/>
      <c r="G63" s="1806"/>
      <c r="H63" s="1808"/>
      <c r="I63" s="128"/>
      <c r="J63" s="3600" t="s">
        <v>1379</v>
      </c>
      <c r="K63" s="1330" t="s">
        <v>1380</v>
      </c>
      <c r="L63" s="1330">
        <f ca="1">IF(M49&gt;10000,M49*0.5%,IF(AND(M49&gt;1000,M49&lt;=10000),M49*1%,IF(AND(M49&gt;100,M49&lt;=1000),M49*3%,IF(AND(M49&gt;10,M49&lt;=100),M49*5%,M49*8%))))</f>
        <v>1434.615</v>
      </c>
      <c r="M63" s="300">
        <f ca="1">ROUND(L63,1)</f>
        <v>1434.6</v>
      </c>
      <c r="N63" s="2540"/>
      <c r="Z63" s="1750"/>
      <c r="AI63" s="1751"/>
    </row>
    <row r="64" spans="1:35" ht="14.25" customHeight="1">
      <c r="A64" s="168" t="s">
        <v>325</v>
      </c>
      <c r="B64" s="169" t="s">
        <v>1381</v>
      </c>
      <c r="C64" s="2562">
        <f ca="1">D45</f>
        <v>286923</v>
      </c>
      <c r="D64" s="169" t="s">
        <v>26</v>
      </c>
      <c r="E64" s="171"/>
      <c r="F64" s="1806"/>
      <c r="G64" s="1806"/>
      <c r="H64" s="1808"/>
      <c r="I64" s="128"/>
      <c r="J64" s="3600"/>
      <c r="K64" s="1330" t="s">
        <v>1382</v>
      </c>
      <c r="L64" s="1330">
        <f ca="1">IF(M49&gt;2000,M49*0.5%,IF(AND(M49&gt;1000,M49&lt;=2000),M49*0.6%,IF(AND(M49&gt;500,M49&lt;=1000),M49*0.7%,IF(AND(M49&gt;200,M49&lt;=500),M49*0.8%,IF(AND(M49&gt;100,M49&lt;=200),M49*0.9%,IF(AND(M49&gt;50,M49&lt;=100),M49*1%,IF(AND(M49&gt;20,M49&lt;=50),M49*1.5%,IF(AND(M49&gt;10,M49&lt;=20),M49*2%,IF(AND(M49&gt;1,M49&lt;=10),M49*2.5%)))))))))</f>
        <v>1434.615</v>
      </c>
      <c r="M64" s="300">
        <f t="shared" ref="M64:M65" ca="1" si="1">ROUND(L64,1)</f>
        <v>1434.6</v>
      </c>
      <c r="N64" s="2541" t="s">
        <v>1383</v>
      </c>
      <c r="Z64" s="1750"/>
      <c r="AI64" s="1751"/>
    </row>
    <row r="65" spans="1:35" ht="14.25" customHeight="1">
      <c r="A65" s="168" t="s">
        <v>326</v>
      </c>
      <c r="B65" s="169" t="s">
        <v>1384</v>
      </c>
      <c r="C65" s="2563"/>
      <c r="D65" s="169"/>
      <c r="E65" s="171"/>
      <c r="F65" s="1806"/>
      <c r="G65" s="1806"/>
      <c r="H65" s="1808"/>
      <c r="I65" s="128"/>
      <c r="J65" s="3600"/>
      <c r="K65" s="1330" t="s">
        <v>1385</v>
      </c>
      <c r="L65" s="1330">
        <f ca="1">IF(M49&gt;1000,M49*0.1%,IF(AND(M49&gt;500,M49&lt;=1000),M49*0.5%,IF(AND(M49&gt;50,M49&lt;=500),M49*1%,IF(AND(M49&gt;1,M49&lt;=50),M49*1.5%))))</f>
        <v>286.923</v>
      </c>
      <c r="M65" s="300">
        <f t="shared" ca="1" si="1"/>
        <v>286.89999999999998</v>
      </c>
      <c r="N65" s="2541" t="s">
        <v>1383</v>
      </c>
      <c r="Z65" s="1750"/>
      <c r="AI65" s="1751"/>
    </row>
    <row r="66" spans="1:35" ht="14.25" customHeight="1">
      <c r="A66" s="172" t="s">
        <v>327</v>
      </c>
      <c r="B66" s="173" t="s">
        <v>1386</v>
      </c>
      <c r="C66" s="2564"/>
      <c r="D66" s="173" t="s">
        <v>26</v>
      </c>
      <c r="E66" s="1336" t="s">
        <v>671</v>
      </c>
      <c r="F66" s="1806"/>
      <c r="G66" s="1806"/>
      <c r="H66" s="1808"/>
      <c r="I66" s="128"/>
      <c r="J66" s="3600"/>
      <c r="K66" s="1330" t="s">
        <v>1387</v>
      </c>
      <c r="L66" s="1330">
        <f ca="1">M49*0.5%</f>
        <v>1434.615</v>
      </c>
      <c r="M66" s="300">
        <f ca="1">IF(L66&gt;0.5,0.5,ROUND(L66,0))</f>
        <v>0.5</v>
      </c>
      <c r="N66" s="2541" t="s">
        <v>1388</v>
      </c>
      <c r="Z66" s="1750"/>
      <c r="AI66" s="1751"/>
    </row>
    <row r="67" spans="1:35" ht="14.25" customHeight="1">
      <c r="A67" s="172" t="s">
        <v>328</v>
      </c>
      <c r="B67" s="173" t="s">
        <v>1389</v>
      </c>
      <c r="C67" s="2565">
        <f ca="1">C63-C66</f>
        <v>273260</v>
      </c>
      <c r="D67" s="169" t="s">
        <v>26</v>
      </c>
      <c r="E67" s="171"/>
      <c r="F67" s="1806"/>
      <c r="G67" s="1806"/>
      <c r="H67" s="1808"/>
      <c r="I67" s="128"/>
      <c r="J67" s="3600"/>
      <c r="K67" s="1330" t="s">
        <v>1390</v>
      </c>
      <c r="L67" s="1330">
        <f ca="1">IF(M49&gt;=10000,(8.25+(M49-10000)*0.01%),IF(AND(M49&gt;=8000,M49&lt;10000),(7.85+(M49-8000)*0.02%),IF(AND(M49&gt;=5000,M49&lt;8000),(6.65+(M49-5000)*0.04%),IF(AND(M49&gt;=2000,M49&lt;5000),(4.25+(PM49-2000)*0.08%),IF(AND(M49&gt;=1000,M49&lt;2000),(2.75+(M49-1000)*0.15%),IF(AND(M49&gt;=100,M49&lt;1000),(0.5+(M49-100)*0.25%),IF(AND(M49&gt;0,M49&lt;100),M49*0.5%)))))))</f>
        <v>35.942300000000003</v>
      </c>
      <c r="M67" s="300">
        <f ca="1">ROUND(L67*0.9,1)</f>
        <v>32.299999999999997</v>
      </c>
      <c r="N67" s="2540"/>
      <c r="Z67" s="1750"/>
      <c r="AI67" s="1751"/>
    </row>
    <row r="68" spans="1:35" ht="14.25" customHeight="1" thickBot="1">
      <c r="A68" s="175" t="s">
        <v>329</v>
      </c>
      <c r="B68" s="176" t="s">
        <v>1391</v>
      </c>
      <c r="C68" s="2566">
        <f ca="1">IF(C67&lt;=0,0,ROUND(C67*D68,0))</f>
        <v>15029</v>
      </c>
      <c r="D68" s="2567">
        <f>'数据-取费表'!B41</f>
        <v>5.5000000000000007E-2</v>
      </c>
      <c r="E68" s="177"/>
      <c r="F68" s="1806"/>
      <c r="G68" s="1806"/>
      <c r="H68" s="1808"/>
      <c r="I68" s="128"/>
      <c r="J68" s="3600"/>
      <c r="K68" s="1330" t="s">
        <v>1392</v>
      </c>
      <c r="L68" s="1330">
        <f ca="1">IF(M49&gt;10000,M49*0.5%,IF(AND(M49&gt;5000,M49&lt;=10000),M49*1%,IF(AND(M49&gt;1000,M49&lt;=5000),M49*2%,IF(AND(M49&gt;200,M49&lt;=1000),M49*3%,M49*5%))))</f>
        <v>1434.615</v>
      </c>
      <c r="M68" s="300">
        <f ca="1">ROUND(L68,1)</f>
        <v>1434.6</v>
      </c>
      <c r="N68" s="2540"/>
      <c r="Z68" s="1750"/>
      <c r="AI68" s="1751"/>
    </row>
    <row r="69" spans="1:35" s="1770" customFormat="1" ht="16.5" customHeight="1">
      <c r="A69" s="1809"/>
      <c r="B69" s="1810"/>
      <c r="C69" s="1811"/>
      <c r="D69" s="1812"/>
      <c r="E69" s="1813"/>
      <c r="F69" s="1576"/>
      <c r="G69" s="1576"/>
      <c r="H69" s="1575"/>
      <c r="I69" s="1745"/>
      <c r="J69" s="3600"/>
      <c r="K69" s="1330" t="s">
        <v>1393</v>
      </c>
      <c r="L69" s="1330"/>
      <c r="M69" s="300">
        <f ca="1">ROUND(SUM(M63:M68),0)</f>
        <v>4624</v>
      </c>
      <c r="N69" s="2542">
        <f ca="1">M69/M49</f>
        <v>1.6115822014965687E-2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4" t="s">
        <v>1394</v>
      </c>
      <c r="B70" s="3645"/>
      <c r="C70" s="3645"/>
      <c r="D70" s="3645"/>
      <c r="E70" s="3645"/>
      <c r="F70" s="3645"/>
      <c r="G70" s="3645"/>
      <c r="H70" s="3645"/>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6" t="s">
        <v>1375</v>
      </c>
      <c r="B71" s="3637"/>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273260</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1366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2" t="s">
        <v>1399</v>
      </c>
      <c r="F75" s="2569"/>
      <c r="G75" s="182"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3" t="s">
        <v>1401</v>
      </c>
      <c r="C76" s="169">
        <f>IF(F75="购房发票",ROUND(C75*H75*D76,0),0)</f>
        <v>0</v>
      </c>
      <c r="D76" s="2571">
        <v>0.05</v>
      </c>
      <c r="E76" s="3641" t="s">
        <v>1402</v>
      </c>
      <c r="F76" s="3640"/>
      <c r="G76" s="3640"/>
      <c r="H76" s="364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1366</v>
      </c>
      <c r="D78" s="2574">
        <f>'数据-取费表'!B43</f>
        <v>5.000000000000001E-3</v>
      </c>
      <c r="E78" s="3633" t="s">
        <v>1406</v>
      </c>
      <c r="F78" s="3634"/>
      <c r="G78" s="3634"/>
      <c r="H78" s="363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271894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199.04392386530014</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162658</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4" t="s">
        <v>1410</v>
      </c>
      <c r="B83" s="3645"/>
      <c r="C83" s="3645"/>
      <c r="D83" s="3645"/>
      <c r="E83" s="3645"/>
      <c r="F83" s="3645"/>
      <c r="G83" s="3645"/>
      <c r="H83" s="364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6" t="s">
        <v>1375</v>
      </c>
      <c r="B84" s="3637"/>
      <c r="C84" s="2019"/>
      <c r="D84" s="2019" t="s">
        <v>1376</v>
      </c>
      <c r="E84" s="178" t="s">
        <v>1377</v>
      </c>
      <c r="F84" s="179"/>
      <c r="G84" s="179"/>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273260</v>
      </c>
      <c r="D85" s="169"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1366</v>
      </c>
      <c r="D86" s="2578"/>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1" t="s">
        <v>1413</v>
      </c>
      <c r="F88" s="2325"/>
      <c r="G88" s="192" t="s">
        <v>1414</v>
      </c>
      <c r="H88" s="1822"/>
      <c r="I88" s="1819"/>
      <c r="J88" s="2518"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1" t="str">
        <f>IF(H88="-","土地取得成本中已包含该笔费用"," ")</f>
        <v xml:space="preserve"> </v>
      </c>
      <c r="F90" s="2325"/>
      <c r="G90" s="3602" t="s">
        <v>2128</v>
      </c>
      <c r="H90" s="3603"/>
      <c r="I90" s="1819"/>
      <c r="J90" s="2518"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33" t="s">
        <v>1419</v>
      </c>
      <c r="F91" s="3634"/>
      <c r="G91" s="363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33" t="s">
        <v>1422</v>
      </c>
      <c r="F92" s="3634"/>
      <c r="G92" s="3634"/>
      <c r="H92" s="3635"/>
      <c r="I92" s="1819"/>
      <c r="J92" s="2519"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1366</v>
      </c>
      <c r="D93" s="2574">
        <f>'数据-取费表'!B43</f>
        <v>5.000000000000001E-3</v>
      </c>
      <c r="E93" s="3633" t="s">
        <v>1406</v>
      </c>
      <c r="F93" s="3634"/>
      <c r="G93" s="3634"/>
      <c r="H93" s="363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78" t="s">
        <v>1426</v>
      </c>
      <c r="F94" s="3679"/>
      <c r="G94" s="3679"/>
      <c r="H94" s="368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271894</v>
      </c>
      <c r="D95" s="169"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199.04392386530014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162658</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78" t="s">
        <v>1428</v>
      </c>
      <c r="B100" s="3579"/>
      <c r="C100" s="3579"/>
      <c r="D100" s="3618"/>
      <c r="E100" s="3579" t="s">
        <v>1429</v>
      </c>
      <c r="F100" s="3579"/>
      <c r="G100" s="3579"/>
      <c r="H100" s="3618"/>
      <c r="I100" s="128"/>
    </row>
    <row r="101" spans="1:35" ht="18.75" customHeight="1">
      <c r="A101" s="3626" t="s">
        <v>1430</v>
      </c>
      <c r="B101" s="3627"/>
      <c r="C101" s="2582" t="str">
        <f>C4</f>
        <v>成本法</v>
      </c>
      <c r="D101" s="2583" t="str">
        <f>D4</f>
        <v>收益法</v>
      </c>
      <c r="E101" s="3596" t="s">
        <v>1431</v>
      </c>
      <c r="F101" s="3597"/>
      <c r="G101" s="1825" t="s">
        <v>1432</v>
      </c>
      <c r="H101" s="2592">
        <f ca="1">H118</f>
        <v>286923</v>
      </c>
      <c r="I101" s="128"/>
    </row>
    <row r="102" spans="1:35" ht="18.75" customHeight="1">
      <c r="A102" s="3628" t="s">
        <v>1433</v>
      </c>
      <c r="B102" s="2581" t="s">
        <v>1432</v>
      </c>
      <c r="C102" s="2582">
        <f ca="1">IF(D32="楼面单价",ROUND(C19,0),C19)</f>
        <v>283774</v>
      </c>
      <c r="D102" s="2583">
        <f ca="1">IF(D32="楼面单价",ROUND(D19,0),D19)</f>
        <v>290072</v>
      </c>
      <c r="E102" s="3596"/>
      <c r="F102" s="3597"/>
      <c r="G102" s="1825" t="s">
        <v>1434</v>
      </c>
      <c r="H102" s="2552">
        <f ca="1">I118</f>
        <v>23918</v>
      </c>
      <c r="I102" s="128"/>
    </row>
    <row r="103" spans="1:35" ht="42.75" customHeight="1">
      <c r="A103" s="3628"/>
      <c r="B103" s="2581" t="s">
        <v>1434</v>
      </c>
      <c r="C103" s="2584">
        <f ca="1">C20</f>
        <v>23655</v>
      </c>
      <c r="D103" s="2585">
        <f ca="1">D20</f>
        <v>24180</v>
      </c>
      <c r="E103" s="3589" t="s">
        <v>1435</v>
      </c>
      <c r="F103" s="3590"/>
      <c r="G103" s="1826" t="s">
        <v>1436</v>
      </c>
      <c r="H103" s="2592">
        <f>IF(D36="正常操作",H104+H105+H106,H105+H106)</f>
        <v>0</v>
      </c>
      <c r="I103" s="128"/>
    </row>
    <row r="104" spans="1:35" ht="18.75" customHeight="1">
      <c r="A104" s="3628" t="s">
        <v>1437</v>
      </c>
      <c r="B104" s="2586" t="s">
        <v>1432</v>
      </c>
      <c r="C104" s="2587">
        <f ca="1">H118</f>
        <v>286923</v>
      </c>
      <c r="D104" s="2588"/>
      <c r="E104" s="1672" t="s">
        <v>1438</v>
      </c>
      <c r="F104" s="1664"/>
      <c r="G104" s="1826" t="s">
        <v>1436</v>
      </c>
      <c r="H104" s="2593">
        <f>IF(D36="同一抵押权人同一抵押物续贷",C36&amp;"（续贷，未扣减，详见特别提示）",C36)</f>
        <v>0</v>
      </c>
      <c r="I104" s="128"/>
    </row>
    <row r="105" spans="1:35" ht="18.75" customHeight="1" thickBot="1">
      <c r="A105" s="3638"/>
      <c r="B105" s="2589" t="s">
        <v>1434</v>
      </c>
      <c r="C105" s="2590">
        <f ca="1">I118</f>
        <v>23918</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29" t="str">
        <f>IF(项目基本情况!E8="已注销","——","3.房地产抵押价值")</f>
        <v>3.房地产抵押价值</v>
      </c>
      <c r="F107" s="3597"/>
      <c r="G107" s="1825" t="s">
        <v>1432</v>
      </c>
      <c r="H107" s="2592">
        <f ca="1">IF(E107="——","——",H101-H103)</f>
        <v>286923</v>
      </c>
      <c r="I107" s="128"/>
    </row>
    <row r="108" spans="1:35" ht="18.75" customHeight="1">
      <c r="A108" s="128"/>
      <c r="B108" s="128"/>
      <c r="C108" s="128"/>
      <c r="D108" s="128"/>
      <c r="E108" s="3629"/>
      <c r="F108" s="3597"/>
      <c r="G108" s="1825" t="s">
        <v>1434</v>
      </c>
      <c r="H108" s="2552">
        <f ca="1">IF(H107=H101,H102,ROUND(H107*10000/'数据-汇总表'!E3,0))</f>
        <v>23918</v>
      </c>
      <c r="I108" s="128"/>
    </row>
    <row r="109" spans="1:35" ht="18.75" customHeight="1">
      <c r="A109" s="128"/>
      <c r="B109" s="128"/>
      <c r="C109" s="128"/>
      <c r="D109" s="128"/>
      <c r="E109" s="3629" t="str">
        <f>IF(项目基本情况!E8="已注销及未注销","4.抵押担保权已注销时的房地产抵押价值",IF(项目基本情况!E8="已注销","3.抵押担保权已注销时的房地产抵押价值","——"))</f>
        <v>——</v>
      </c>
      <c r="F109" s="3597"/>
      <c r="G109" s="1825" t="s">
        <v>1432</v>
      </c>
      <c r="H109" s="2595" t="str">
        <f>IF(E109="——","——",H101-H105-H106)</f>
        <v>——</v>
      </c>
      <c r="I109" s="128"/>
    </row>
    <row r="110" spans="1:35" ht="18.75" customHeight="1">
      <c r="A110" s="128"/>
      <c r="B110" s="128"/>
      <c r="C110" s="128"/>
      <c r="D110" s="128"/>
      <c r="E110" s="3629"/>
      <c r="F110" s="3597"/>
      <c r="G110" s="1825" t="s">
        <v>1434</v>
      </c>
      <c r="H110" s="2552" t="str">
        <f>IF(H109="——","——",ROUND(H109*10000/'数据-汇总表'!E3,0))</f>
        <v>——</v>
      </c>
      <c r="I110" s="128"/>
    </row>
    <row r="111" spans="1:35" ht="18.75" customHeight="1">
      <c r="A111" s="128"/>
      <c r="B111" s="128"/>
      <c r="C111" s="128"/>
      <c r="D111" s="128"/>
      <c r="E111" s="3630" t="str">
        <f>IF(项目基本情况!E9="抵押净值",IF(OR(项目基本情况!E8="已注销",项目基本情况!E8="房地产抵押价值"),"4.抵押净值","5.抵押净值"),"——")</f>
        <v>——</v>
      </c>
      <c r="F111" s="3616"/>
      <c r="G111" s="1825" t="s">
        <v>1432</v>
      </c>
      <c r="H111" s="2592" t="str">
        <f>IF(E111="——","——",N59)</f>
        <v>——</v>
      </c>
      <c r="I111" s="128"/>
    </row>
    <row r="112" spans="1:35" ht="18.75" customHeight="1" thickBot="1">
      <c r="A112" s="128"/>
      <c r="B112" s="128"/>
      <c r="C112" s="128"/>
      <c r="D112" s="128"/>
      <c r="E112" s="3631"/>
      <c r="F112" s="3632"/>
      <c r="G112" s="1828" t="s">
        <v>1434</v>
      </c>
      <c r="H112" s="2596" t="str">
        <f>IF(E111="——","——",N61)</f>
        <v>——</v>
      </c>
      <c r="I112" s="128"/>
    </row>
    <row r="113" spans="1:27" ht="18.75" customHeight="1">
      <c r="A113" s="128"/>
      <c r="B113" s="128"/>
      <c r="C113" s="128"/>
      <c r="D113" s="128"/>
      <c r="E113" s="3639" t="s">
        <v>1440</v>
      </c>
      <c r="F113" s="3639"/>
      <c r="G113" s="3639"/>
      <c r="H113" s="3639"/>
      <c r="I113" s="128"/>
    </row>
    <row r="114" spans="1:27" ht="3.75" customHeight="1">
      <c r="A114" s="1745"/>
      <c r="B114" s="1745"/>
      <c r="C114" s="1745"/>
      <c r="D114" s="1745"/>
      <c r="E114" s="1807"/>
      <c r="F114" s="1807"/>
      <c r="G114" s="1807"/>
      <c r="H114" s="1807"/>
      <c r="I114" s="1745"/>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7" t="s">
        <v>1449</v>
      </c>
      <c r="E117" s="2327" t="s">
        <v>1450</v>
      </c>
      <c r="F117" s="2327" t="s">
        <v>1449</v>
      </c>
      <c r="G117" s="2327" t="s">
        <v>1451</v>
      </c>
      <c r="H117" s="2327" t="s">
        <v>1449</v>
      </c>
      <c r="I117" s="2327" t="s">
        <v>1451</v>
      </c>
    </row>
    <row r="118" spans="1:27" ht="24.75" customHeight="1">
      <c r="A118" s="2597" t="str">
        <f>项目基本情况!S2</f>
        <v>北京市房地产</v>
      </c>
      <c r="B118" s="2327">
        <f>M18</f>
        <v>119963.53</v>
      </c>
      <c r="C118" s="2327">
        <f>M19</f>
        <v>24498.84</v>
      </c>
      <c r="D118" s="2327">
        <f ca="1">ROUND(IF(D32="总价",C34,E118*B118/10000),0)</f>
        <v>193099</v>
      </c>
      <c r="E118" s="2327">
        <f ca="1">ROUND(IF(C33="自定义",IF(D32="楼面单价",C34,D118*10000/B118),I118-G118),0)</f>
        <v>16097</v>
      </c>
      <c r="F118" s="2327">
        <f ca="1">ROUND(IF(D32="总价",C35,G118*B118/10000),0)</f>
        <v>93824</v>
      </c>
      <c r="G118" s="2327">
        <f ca="1">ROUND(IF(D32="楼面单价",C35,F118*10000/B118),0)</f>
        <v>7821</v>
      </c>
      <c r="H118" s="2327">
        <f ca="1">ROUND(IF(D32="总价",C32,I118*B118/10000),0)</f>
        <v>286923</v>
      </c>
      <c r="I118" s="2327">
        <f ca="1">ROUND(IF(D32="楼面单价",C32,H118*10000/B118),0)</f>
        <v>23918</v>
      </c>
    </row>
    <row r="119" spans="1:27" ht="18.75" customHeight="1">
      <c r="A119" s="3604" t="s">
        <v>1452</v>
      </c>
      <c r="B119" s="3604"/>
      <c r="C119" s="3604"/>
      <c r="D119" s="3610" t="str">
        <f ca="1">NUMBERSTRING(INT(D118*10000),2)&amp;"元整"</f>
        <v>壹拾玖亿叁仟零玖拾玖万元整</v>
      </c>
      <c r="E119" s="3611"/>
      <c r="F119" s="3610" t="str">
        <f ca="1">NUMBERSTRING(INT(F118*10000),2)&amp;"元整"</f>
        <v>玖亿叁仟捌佰贰拾肆万元整</v>
      </c>
      <c r="G119" s="3611"/>
      <c r="H119" s="3610" t="str">
        <f ca="1">NUMBERSTRING(INT(H118*10000),2)&amp;"元整"</f>
        <v>贰拾捌亿陆仟玖佰贰拾叁万元整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0" t="s">
        <v>1452</v>
      </c>
      <c r="B121" s="3612"/>
      <c r="C121" s="3611"/>
      <c r="D121" s="3610" t="str">
        <f>IF(D120=0,"零元整",NUMBERSTRING(INT(D120*10000),2)&amp;"元整")</f>
        <v>零元整</v>
      </c>
      <c r="E121" s="3612"/>
      <c r="F121" s="3612"/>
      <c r="G121" s="3612"/>
      <c r="H121" s="3612"/>
      <c r="I121" s="3611"/>
      <c r="AA121" s="723"/>
    </row>
    <row r="122" spans="1:27" ht="18.75" customHeight="1">
      <c r="A122" s="3616" t="str">
        <f>IF(项目基本情况!B9="房地产市场价值","",MID(E107,3,LEN(E107)-2))</f>
        <v>房地产抵押价值</v>
      </c>
      <c r="B122" s="3616"/>
      <c r="C122" s="3616"/>
      <c r="D122" s="3605">
        <f ca="1">H107</f>
        <v>286923</v>
      </c>
      <c r="E122" s="3606"/>
      <c r="F122" s="3606"/>
      <c r="G122" s="3606"/>
      <c r="H122" s="3606"/>
      <c r="I122" s="3607"/>
      <c r="AA122" s="723"/>
    </row>
    <row r="123" spans="1:27" ht="18.75" customHeight="1">
      <c r="A123" s="3604" t="s">
        <v>1452</v>
      </c>
      <c r="B123" s="3604"/>
      <c r="C123" s="3604"/>
      <c r="D123" s="3610" t="str">
        <f ca="1">NUMBERSTRING(INT(D122*10000),2)&amp;"元整"</f>
        <v>贰拾捌亿陆仟玖佰贰拾叁万元整</v>
      </c>
      <c r="E123" s="3612"/>
      <c r="F123" s="3612"/>
      <c r="G123" s="3612"/>
      <c r="H123" s="3612"/>
      <c r="I123" s="3611"/>
      <c r="AA123" s="723"/>
    </row>
    <row r="124" spans="1:27" ht="18.75" customHeight="1">
      <c r="A124" s="3616" t="str">
        <f>IF(项目基本情况!B9="房地产市场价值","",MID(E109,3,LEN(E109)-2))</f>
        <v/>
      </c>
      <c r="B124" s="3616"/>
      <c r="C124" s="3616"/>
      <c r="D124" s="3605" t="str">
        <f>H109</f>
        <v>——</v>
      </c>
      <c r="E124" s="3606"/>
      <c r="F124" s="3606"/>
      <c r="G124" s="3606"/>
      <c r="H124" s="3606"/>
      <c r="I124" s="3607"/>
      <c r="AA124" s="723"/>
    </row>
    <row r="125" spans="1:27" ht="18.75" customHeight="1">
      <c r="A125" s="3604" t="s">
        <v>1452</v>
      </c>
      <c r="B125" s="3604"/>
      <c r="C125" s="3604"/>
      <c r="D125" s="3610" t="e">
        <f>NUMBERSTRING(INT(D124*10000),2)&amp;"元整"</f>
        <v>#VALUE!</v>
      </c>
      <c r="E125" s="3612"/>
      <c r="F125" s="3612"/>
      <c r="G125" s="3612"/>
      <c r="H125" s="3612"/>
      <c r="I125" s="3611"/>
      <c r="AA125" s="723"/>
    </row>
    <row r="126" spans="1:27" ht="18.75" customHeight="1">
      <c r="A126" s="3616" t="str">
        <f>IF(项目基本情况!B9="房地产市场价值","",MID(E111,3,LEN(E111)-2))</f>
        <v/>
      </c>
      <c r="B126" s="3616"/>
      <c r="C126" s="3616"/>
      <c r="D126" s="3605" t="str">
        <f>H111</f>
        <v>——</v>
      </c>
      <c r="E126" s="3606"/>
      <c r="F126" s="3606"/>
      <c r="G126" s="3606"/>
      <c r="H126" s="3606"/>
      <c r="I126" s="3607"/>
      <c r="AA126" s="723"/>
    </row>
    <row r="127" spans="1:27" ht="18.75" customHeight="1">
      <c r="A127" s="3604" t="s">
        <v>1452</v>
      </c>
      <c r="B127" s="3604"/>
      <c r="C127" s="3604"/>
      <c r="D127" s="3610" t="e">
        <f>NUMBERSTRING(INT(D126*10000),2)&amp;"元整"</f>
        <v>#VALUE!</v>
      </c>
      <c r="E127" s="3612"/>
      <c r="F127" s="3612"/>
      <c r="G127" s="3612"/>
      <c r="H127" s="3612"/>
      <c r="I127" s="3611"/>
      <c r="AA127" s="723"/>
    </row>
    <row r="128" spans="1:27" ht="21.75" customHeight="1">
      <c r="A128" s="3613" t="s">
        <v>1453</v>
      </c>
      <c r="B128" s="3613"/>
      <c r="C128" s="3613"/>
      <c r="D128" s="3613"/>
      <c r="E128" s="3613"/>
      <c r="F128" s="3613"/>
      <c r="G128" s="3613"/>
      <c r="H128" s="3613"/>
      <c r="I128" s="361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7" sqref="M4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283774</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23655</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124336</v>
      </c>
      <c r="D5" s="209" t="s">
        <v>1469</v>
      </c>
      <c r="E5" s="210" t="s">
        <v>1470</v>
      </c>
      <c r="F5" s="210" t="s">
        <v>1471</v>
      </c>
      <c r="G5" s="211"/>
    </row>
    <row r="6" spans="1:9" s="212" customFormat="1" ht="13.5" customHeight="1">
      <c r="A6" s="776" t="s">
        <v>1472</v>
      </c>
      <c r="B6" s="213" t="s">
        <v>1473</v>
      </c>
      <c r="C6" s="214">
        <f>'土地比较法-住宅、综合'!B2</f>
        <v>118328</v>
      </c>
      <c r="D6" s="215"/>
      <c r="E6" s="216"/>
      <c r="F6" s="216"/>
      <c r="G6" s="217"/>
    </row>
    <row r="7" spans="1:9" s="212" customFormat="1" ht="13.5" customHeight="1">
      <c r="A7" s="776" t="s">
        <v>1474</v>
      </c>
      <c r="B7" s="213" t="s">
        <v>1475</v>
      </c>
      <c r="C7" s="218">
        <f>ROUND(C6*F7,0)</f>
        <v>3609</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2399</v>
      </c>
      <c r="D8" s="220"/>
      <c r="E8" s="218"/>
      <c r="F8" s="219"/>
      <c r="G8" s="1854" t="s">
        <v>3976</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3977</v>
      </c>
      <c r="H9" s="1135"/>
      <c r="I9" s="1856" t="s">
        <v>1479</v>
      </c>
    </row>
    <row r="10" spans="1:9" s="212" customFormat="1" ht="13.5" customHeight="1">
      <c r="A10" s="777" t="s">
        <v>356</v>
      </c>
      <c r="B10" s="222" t="s">
        <v>1480</v>
      </c>
      <c r="C10" s="223">
        <f ca="1">ROUND(D10*E10/10000,0)</f>
        <v>2399</v>
      </c>
      <c r="D10" s="843">
        <f ca="1">IF(B1="",'数据-汇总表'!E6,IF(INDIRECT("'数据-取费表'!c"&amp;$G$1)="住宅",INDIRECT("'数据-取费表'!s"&amp;$G$1),INDIRECT("'数据-取费表'!k"&amp;$G$1)+INDIRECT("'数据-取费表'!s"&amp;$G$1)))</f>
        <v>119963.53</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119963.53</v>
      </c>
      <c r="E19" s="209">
        <f>'数据-取费表'!B31</f>
        <v>200</v>
      </c>
      <c r="F19" s="229"/>
      <c r="G19" s="1854" t="s">
        <v>3978</v>
      </c>
    </row>
    <row r="20" spans="1:7" s="212" customFormat="1" ht="13.5" customHeight="1">
      <c r="A20" s="253" t="s">
        <v>1493</v>
      </c>
      <c r="B20" s="208" t="s">
        <v>1494</v>
      </c>
      <c r="C20" s="230">
        <f ca="1">ROUND((C5+C19)*F20,0)</f>
        <v>3730</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13513</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13318</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195</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32017</v>
      </c>
      <c r="D27" s="233">
        <f ca="1">C29</f>
        <v>7.4999999999999997E-3</v>
      </c>
      <c r="E27" s="234" t="s">
        <v>1514</v>
      </c>
      <c r="F27" s="244">
        <f ca="1">IF(B1="",'数据-取费表'!Q16,INDIRECT("'数据-取费表'!q"&amp;$G$1))</f>
        <v>0.25</v>
      </c>
      <c r="G27" s="245" t="s">
        <v>1515</v>
      </c>
    </row>
    <row r="28" spans="1:7" s="212" customFormat="1" ht="13.5" customHeight="1">
      <c r="A28" s="778" t="s">
        <v>346</v>
      </c>
      <c r="B28" s="246" t="s">
        <v>1516</v>
      </c>
      <c r="C28" s="247">
        <f ca="1">ROUND((C5+C19+C20)*F27*'数据-取费表'!B21/'数据-取费表'!B20,0)</f>
        <v>32017</v>
      </c>
      <c r="D28" s="233"/>
      <c r="E28" s="234"/>
      <c r="F28" s="244"/>
      <c r="G28" s="245"/>
    </row>
    <row r="29" spans="1:7" s="212" customFormat="1" ht="13.5" customHeight="1">
      <c r="A29" s="778" t="s">
        <v>347</v>
      </c>
      <c r="B29" s="246" t="s">
        <v>1517</v>
      </c>
      <c r="C29" s="236">
        <f ca="1">ROUND(C21*F27*'数据-取费表'!B21/'数据-取费表'!B20,4)</f>
        <v>7.4999999999999997E-3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191080</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71348</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65980</v>
      </c>
      <c r="D34" s="215"/>
      <c r="E34" s="218"/>
      <c r="F34" s="255">
        <f ca="1">IF('数据-取费表'!B24=0,1,IF(B1="",'数据-取费表'!N16,INDIRECT("'数据-取费表'!n"&amp;$G$1)))</f>
        <v>1</v>
      </c>
      <c r="G34" s="217" t="s">
        <v>1526</v>
      </c>
    </row>
    <row r="35" spans="1:7" ht="13.5" customHeight="1">
      <c r="A35" s="778" t="s">
        <v>351</v>
      </c>
      <c r="B35" s="213" t="s">
        <v>1527</v>
      </c>
      <c r="C35" s="218">
        <f ca="1">ROUND(C34*F35,0)</f>
        <v>1979</v>
      </c>
      <c r="D35" s="218"/>
      <c r="E35" s="218"/>
      <c r="F35" s="257">
        <f>'数据-取费表'!B33</f>
        <v>0.03</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2399</v>
      </c>
      <c r="D37" s="215">
        <f ca="1">D19</f>
        <v>119963.53</v>
      </c>
      <c r="E37" s="247">
        <f>'数据-取费表'!B35</f>
        <v>200</v>
      </c>
      <c r="F37" s="257"/>
      <c r="G37" s="259" t="s">
        <v>1532</v>
      </c>
    </row>
    <row r="38" spans="1:7" ht="13.5" customHeight="1">
      <c r="A38" s="778" t="s">
        <v>354</v>
      </c>
      <c r="B38" s="213" t="s">
        <v>1533</v>
      </c>
      <c r="C38" s="218">
        <f ca="1">ROUND(C34*F38,0)</f>
        <v>990</v>
      </c>
      <c r="D38" s="218"/>
      <c r="E38" s="218"/>
      <c r="F38" s="257">
        <f>'数据-取费表'!B36</f>
        <v>1.4999999999999999E-2</v>
      </c>
      <c r="G38" s="217" t="s">
        <v>1528</v>
      </c>
    </row>
    <row r="39" spans="1:7" s="212" customFormat="1" ht="13.5" customHeight="1">
      <c r="A39" s="253" t="s">
        <v>1534</v>
      </c>
      <c r="B39" s="208" t="s">
        <v>1535</v>
      </c>
      <c r="C39" s="230">
        <f ca="1">ROUND(C33*F20,0)</f>
        <v>2140</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3836</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3724</v>
      </c>
      <c r="D42" s="236"/>
      <c r="E42" s="236"/>
      <c r="F42" s="237"/>
      <c r="G42" s="3683" t="s">
        <v>1544</v>
      </c>
    </row>
    <row r="43" spans="1:7" ht="13.5" customHeight="1">
      <c r="A43" s="778" t="s">
        <v>347</v>
      </c>
      <c r="B43" s="213" t="s">
        <v>1545</v>
      </c>
      <c r="C43" s="236">
        <f ca="1">ROUND(IF('数据-取费表'!B22&lt;=1,C39*F22*'数据-取费表'!B21/2,C39*(POWER((1+F22),'数据-取费表'!B21/2)-1)),0)</f>
        <v>112</v>
      </c>
      <c r="D43" s="236"/>
      <c r="E43" s="236"/>
      <c r="F43" s="237"/>
      <c r="G43" s="3684"/>
    </row>
    <row r="44" spans="1:7" ht="13.5" customHeight="1">
      <c r="A44" s="778" t="s">
        <v>348</v>
      </c>
      <c r="B44" s="213" t="s">
        <v>1546</v>
      </c>
      <c r="C44" s="236">
        <f ca="1">ROUND(IF('数据-取费表'!B22&lt;=1,C40*F22*'数据-取费表'!B21/2,C40*(POWER((1+F22),'数据-取费表'!B21/2)-1)),4)</f>
        <v>1.6000000000000001E-3</v>
      </c>
      <c r="D44" s="236"/>
      <c r="E44" s="236"/>
      <c r="F44" s="237"/>
      <c r="G44" s="3685"/>
    </row>
    <row r="45" spans="1:7" s="212" customFormat="1" ht="13.5" customHeight="1">
      <c r="A45" s="253" t="s">
        <v>1547</v>
      </c>
      <c r="B45" s="242" t="s">
        <v>1513</v>
      </c>
      <c r="C45" s="243">
        <f ca="1">C46</f>
        <v>18372</v>
      </c>
      <c r="D45" s="233">
        <f ca="1">C47</f>
        <v>7.4999999999999997E-3</v>
      </c>
      <c r="E45" s="234" t="s">
        <v>1539</v>
      </c>
      <c r="F45" s="244">
        <f ca="1">F27</f>
        <v>0.25</v>
      </c>
      <c r="G45" s="245" t="s">
        <v>1548</v>
      </c>
    </row>
    <row r="46" spans="1:7" s="212" customFormat="1" ht="13.5" customHeight="1">
      <c r="A46" s="778" t="s">
        <v>346</v>
      </c>
      <c r="B46" s="246" t="s">
        <v>1549</v>
      </c>
      <c r="C46" s="247">
        <f ca="1">ROUND((C33+C39)*F27,0)</f>
        <v>18372</v>
      </c>
      <c r="D46" s="261"/>
      <c r="E46" s="234"/>
      <c r="F46" s="244"/>
      <c r="G46" s="245"/>
    </row>
    <row r="47" spans="1:7" s="212" customFormat="1" ht="13.5" customHeight="1">
      <c r="A47" s="778" t="s">
        <v>347</v>
      </c>
      <c r="B47" s="246" t="s">
        <v>1550</v>
      </c>
      <c r="C47" s="236">
        <f ca="1">ROUND(C40*F27,4)</f>
        <v>7.4999999999999997E-3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105334</v>
      </c>
      <c r="D49" s="230"/>
      <c r="E49" s="230"/>
      <c r="F49" s="262"/>
      <c r="G49" s="232" t="s">
        <v>1554</v>
      </c>
    </row>
    <row r="50" spans="1:7" s="256" customFormat="1" ht="24">
      <c r="A50" s="253" t="s">
        <v>1555</v>
      </c>
      <c r="B50" s="208" t="s">
        <v>1556</v>
      </c>
      <c r="C50" s="230"/>
      <c r="D50" s="230"/>
      <c r="E50" s="230"/>
      <c r="F50" s="262">
        <f>IF('数据-取费表'!B24=0,'数据-取费表'!N16,1)</f>
        <v>0.88</v>
      </c>
      <c r="G50" s="245" t="s">
        <v>1557</v>
      </c>
    </row>
    <row r="51" spans="1:7" ht="16.5" customHeight="1">
      <c r="A51" s="253" t="s">
        <v>1558</v>
      </c>
      <c r="B51" s="208" t="s">
        <v>1559</v>
      </c>
      <c r="C51" s="230">
        <f ca="1">ROUND(C49*F50,0)</f>
        <v>92694</v>
      </c>
      <c r="D51" s="230"/>
      <c r="E51" s="230"/>
      <c r="F51" s="262"/>
      <c r="G51" s="232" t="s">
        <v>1560</v>
      </c>
    </row>
    <row r="52" spans="1:7" s="206" customFormat="1" ht="16.5" thickBot="1">
      <c r="A52" s="263" t="s">
        <v>1561</v>
      </c>
      <c r="B52" s="264"/>
      <c r="C52" s="265">
        <f ca="1">C31+C51</f>
        <v>283774</v>
      </c>
      <c r="D52" s="264"/>
      <c r="E52" s="264"/>
      <c r="F52" s="264"/>
      <c r="G52" s="266"/>
    </row>
    <row r="55" spans="1:7" ht="15">
      <c r="B55" s="268" t="s">
        <v>1562</v>
      </c>
      <c r="C55" s="269"/>
    </row>
    <row r="56" spans="1:7">
      <c r="B56" s="271" t="s">
        <v>802</v>
      </c>
      <c r="C56" s="273">
        <f ca="1">1-C57</f>
        <v>0.67300000000000004</v>
      </c>
    </row>
    <row r="57" spans="1:7">
      <c r="B57" s="271" t="s">
        <v>803</v>
      </c>
      <c r="C57" s="272">
        <f ca="1">ROUND(C51/C52,3)</f>
        <v>0.32700000000000001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1">
        <f ca="1">ROUND(IF(D2="——",C52/10000,C52/10000-E2),4)</f>
        <v>100068.9374</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8342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23992706</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23992706</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23992706</v>
      </c>
      <c r="D10" s="843">
        <f ca="1">IF(B1="",'数据-汇总表'!E6,IF(INDIRECT("'数据-取费表'!c"&amp;$G$1)="住宅",INDIRECT("'数据-取费表'!s"&amp;$G$1),INDIRECT("'数据-取费表'!k"&amp;$G$1)+INDIRECT("'数据-取费表'!s"&amp;$G$1)))</f>
        <v>119963.53</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23992706</v>
      </c>
      <c r="D19" s="847">
        <f ca="1">D9+D10</f>
        <v>119963.53</v>
      </c>
      <c r="E19" s="209">
        <f>'数据-取费表'!B31</f>
        <v>200</v>
      </c>
      <c r="F19" s="229"/>
      <c r="G19" s="1854"/>
    </row>
    <row r="20" spans="1:7" s="212" customFormat="1" ht="13.5" customHeight="1">
      <c r="A20" s="253" t="s">
        <v>1574</v>
      </c>
      <c r="B20" s="208" t="s">
        <v>1575</v>
      </c>
      <c r="C20" s="230">
        <f ca="1">ROUND((C5+C19)*F20,0)</f>
        <v>1439562</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5214940</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2569902</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2569902</v>
      </c>
      <c r="D24" s="236"/>
      <c r="E24" s="236"/>
      <c r="F24" s="237"/>
      <c r="G24" s="238" t="s">
        <v>1586</v>
      </c>
    </row>
    <row r="25" spans="1:7" s="212" customFormat="1" ht="24">
      <c r="A25" s="778" t="s">
        <v>1476</v>
      </c>
      <c r="B25" s="213" t="s">
        <v>1587</v>
      </c>
      <c r="C25" s="1126">
        <f ca="1">ROUND(IF('数据-取费表'!B22&lt;=1,C20*F22*'数据-取费表'!B22/2,C20*(POWER((1+F22),'数据-取费表'!B22/2)-1)),0)</f>
        <v>75136</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12356244</v>
      </c>
      <c r="D27" s="233">
        <f ca="1">C29</f>
        <v>7.4999999999999997E-3</v>
      </c>
      <c r="E27" s="234" t="s">
        <v>1514</v>
      </c>
      <c r="F27" s="244">
        <f ca="1">IF(B1="",'数据-取费表'!Q16,INDIRECT("'数据-取费表'!q"&amp;$G$1))</f>
        <v>0.25</v>
      </c>
      <c r="G27" s="245" t="s">
        <v>1515</v>
      </c>
    </row>
    <row r="28" spans="1:7" s="212" customFormat="1" ht="13.5" customHeight="1">
      <c r="A28" s="778" t="s">
        <v>346</v>
      </c>
      <c r="B28" s="246" t="s">
        <v>1516</v>
      </c>
      <c r="C28" s="247">
        <f ca="1">ROUND((C5+C19+C20)*F27,0)</f>
        <v>12356244</v>
      </c>
      <c r="D28" s="233"/>
      <c r="E28" s="234"/>
      <c r="F28" s="244"/>
      <c r="G28" s="245"/>
    </row>
    <row r="29" spans="1:7" s="212" customFormat="1" ht="13.5" customHeight="1">
      <c r="A29" s="778" t="s">
        <v>347</v>
      </c>
      <c r="B29" s="246" t="s">
        <v>1517</v>
      </c>
      <c r="C29" s="236">
        <f ca="1">ROUND(C21*F27,4)</f>
        <v>7.4999999999999997E-3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73743707</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713483094</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659799415</v>
      </c>
      <c r="D34" s="215"/>
      <c r="E34" s="218"/>
      <c r="F34" s="255"/>
      <c r="G34" s="217"/>
    </row>
    <row r="35" spans="1:7" ht="13.5" customHeight="1">
      <c r="A35" s="778" t="s">
        <v>351</v>
      </c>
      <c r="B35" s="213" t="s">
        <v>1527</v>
      </c>
      <c r="C35" s="218">
        <f ca="1">ROUND(C34*F35,0)</f>
        <v>19793982</v>
      </c>
      <c r="D35" s="218"/>
      <c r="E35" s="218"/>
      <c r="F35" s="257">
        <f>'数据-取费表'!B33</f>
        <v>0.03</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23992706</v>
      </c>
      <c r="D37" s="215">
        <f ca="1">D19</f>
        <v>119963.53</v>
      </c>
      <c r="E37" s="247">
        <f>'数据-取费表'!B35</f>
        <v>200</v>
      </c>
      <c r="F37" s="257"/>
      <c r="G37" s="259"/>
    </row>
    <row r="38" spans="1:7" ht="13.5" customHeight="1">
      <c r="A38" s="778" t="s">
        <v>354</v>
      </c>
      <c r="B38" s="213" t="s">
        <v>1533</v>
      </c>
      <c r="C38" s="218">
        <f ca="1">ROUND(C34*F38,0)</f>
        <v>9896991</v>
      </c>
      <c r="D38" s="218"/>
      <c r="E38" s="218"/>
      <c r="F38" s="257">
        <f>'数据-取费表'!B36</f>
        <v>1.4999999999999999E-2</v>
      </c>
      <c r="G38" s="217" t="s">
        <v>1528</v>
      </c>
    </row>
    <row r="39" spans="1:7" s="212" customFormat="1" ht="13.5" customHeight="1">
      <c r="A39" s="253" t="s">
        <v>1534</v>
      </c>
      <c r="B39" s="208" t="s">
        <v>1535</v>
      </c>
      <c r="C39" s="230">
        <f ca="1">ROUND(C33*F20,0)</f>
        <v>21404493</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38356583</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37239401</v>
      </c>
      <c r="D42" s="236"/>
      <c r="E42" s="236"/>
      <c r="F42" s="237"/>
      <c r="G42" s="3683" t="s">
        <v>1591</v>
      </c>
    </row>
    <row r="43" spans="1:7" ht="13.5" customHeight="1">
      <c r="A43" s="778" t="s">
        <v>347</v>
      </c>
      <c r="B43" s="213" t="s">
        <v>1545</v>
      </c>
      <c r="C43" s="236">
        <f ca="1">ROUND(IF('数据-取费表'!B22&lt;=1,C39*F22*'数据-取费表'!B20/2,C39*(POWER((1+F22),'数据-取费表'!B20/2)-1)),0)</f>
        <v>1117182</v>
      </c>
      <c r="D43" s="236"/>
      <c r="E43" s="236"/>
      <c r="F43" s="237"/>
      <c r="G43" s="3684"/>
    </row>
    <row r="44" spans="1:7" ht="13.5" customHeight="1">
      <c r="A44" s="778" t="s">
        <v>348</v>
      </c>
      <c r="B44" s="213" t="s">
        <v>1546</v>
      </c>
      <c r="C44" s="236">
        <f ca="1">ROUND(IF('数据-取费表'!B22&lt;=1,C40*F22*'数据-取费表'!B20/2,C40*(POWER((1+F22),'数据-取费表'!B20/2)-1)),4)</f>
        <v>1.6000000000000001E-3</v>
      </c>
      <c r="D44" s="236"/>
      <c r="E44" s="236"/>
      <c r="F44" s="237"/>
      <c r="G44" s="3685"/>
    </row>
    <row r="45" spans="1:7" s="212" customFormat="1" ht="13.5" customHeight="1">
      <c r="A45" s="253" t="s">
        <v>1547</v>
      </c>
      <c r="B45" s="242" t="s">
        <v>1513</v>
      </c>
      <c r="C45" s="243">
        <f ca="1">C46</f>
        <v>183721897</v>
      </c>
      <c r="D45" s="233">
        <f ca="1">C47</f>
        <v>7.4999999999999997E-3</v>
      </c>
      <c r="E45" s="234" t="s">
        <v>1539</v>
      </c>
      <c r="F45" s="244">
        <f ca="1">F27</f>
        <v>0.25</v>
      </c>
      <c r="G45" s="245" t="s">
        <v>1548</v>
      </c>
    </row>
    <row r="46" spans="1:7" s="212" customFormat="1" ht="13.5" customHeight="1">
      <c r="A46" s="778" t="s">
        <v>346</v>
      </c>
      <c r="B46" s="246" t="s">
        <v>1549</v>
      </c>
      <c r="C46" s="247">
        <f ca="1">ROUND((C33+C39)*F27,0)</f>
        <v>183721897</v>
      </c>
      <c r="D46" s="261"/>
      <c r="E46" s="234"/>
      <c r="F46" s="244"/>
      <c r="G46" s="245"/>
    </row>
    <row r="47" spans="1:7" s="212" customFormat="1" ht="13.5" customHeight="1">
      <c r="A47" s="778" t="s">
        <v>347</v>
      </c>
      <c r="B47" s="246" t="s">
        <v>1550</v>
      </c>
      <c r="C47" s="236">
        <f ca="1">ROUND(C40*F27,4)</f>
        <v>7.4999999999999997E-3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1053347349</v>
      </c>
      <c r="D49" s="230"/>
      <c r="E49" s="230"/>
      <c r="F49" s="262"/>
      <c r="G49" s="232" t="s">
        <v>1554</v>
      </c>
    </row>
    <row r="50" spans="1:7" s="256" customFormat="1">
      <c r="A50" s="253" t="s">
        <v>1555</v>
      </c>
      <c r="B50" s="208" t="s">
        <v>1556</v>
      </c>
      <c r="C50" s="230"/>
      <c r="D50" s="230"/>
      <c r="E50" s="230"/>
      <c r="F50" s="262">
        <f>IF('数据-取费表'!B24=0,'数据-取费表'!N16,1)</f>
        <v>0.88</v>
      </c>
      <c r="G50" s="245"/>
    </row>
    <row r="51" spans="1:7" ht="16.5" customHeight="1">
      <c r="A51" s="253" t="s">
        <v>1558</v>
      </c>
      <c r="B51" s="208" t="s">
        <v>1593</v>
      </c>
      <c r="C51" s="230">
        <f ca="1">ROUND(C49*F50,0)</f>
        <v>926945667</v>
      </c>
      <c r="D51" s="230"/>
      <c r="E51" s="230"/>
      <c r="F51" s="262"/>
      <c r="G51" s="232" t="s">
        <v>1560</v>
      </c>
    </row>
    <row r="52" spans="1:7" s="206" customFormat="1" ht="16.5" thickBot="1">
      <c r="A52" s="263" t="s">
        <v>1561</v>
      </c>
      <c r="B52" s="264"/>
      <c r="C52" s="265">
        <f ca="1">C31+C51</f>
        <v>1000689374</v>
      </c>
      <c r="D52" s="264"/>
      <c r="E52" s="264"/>
      <c r="F52" s="264"/>
      <c r="G52" s="266"/>
    </row>
    <row r="55" spans="1:7" ht="15">
      <c r="B55" s="268" t="s">
        <v>1562</v>
      </c>
      <c r="C55" s="269"/>
    </row>
    <row r="56" spans="1:7">
      <c r="B56" s="271" t="s">
        <v>802</v>
      </c>
      <c r="C56" s="273">
        <f ca="1">1-C57</f>
        <v>7.3999999999999955E-2</v>
      </c>
    </row>
    <row r="57" spans="1:7">
      <c r="B57" s="271" t="s">
        <v>803</v>
      </c>
      <c r="C57" s="272">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119963.53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119963.53</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2399</v>
      </c>
      <c r="D20" s="844">
        <f ca="1">IF(C1="",'数据-汇总表'!E6,IF(INDIRECT("'数据-取费表'!c"&amp;$K$1)="住宅",INDIRECT("'数据-取费表'!s"&amp;$K$1),INDIRECT("'数据-取费表'!k"&amp;$K$1)+INDIRECT("'数据-取费表'!s"&amp;$K$1)))</f>
        <v>119963.53</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30"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0.25</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30" t="s">
        <v>1644</v>
      </c>
      <c r="H29" s="805"/>
      <c r="I29" s="805"/>
      <c r="J29" s="805"/>
      <c r="K29" s="806"/>
    </row>
    <row r="30" spans="1:33" s="289" customFormat="1" ht="13.5" customHeight="1">
      <c r="A30" s="798" t="s">
        <v>359</v>
      </c>
      <c r="B30" s="820" t="s">
        <v>1645</v>
      </c>
      <c r="C30" s="290">
        <f ca="1">ROUND((C21+C22+C23)*F28,0)</f>
        <v>0</v>
      </c>
      <c r="D30" s="282"/>
      <c r="E30" s="283"/>
      <c r="F30" s="288"/>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673</v>
      </c>
      <c r="D1" s="1360" t="s">
        <v>43</v>
      </c>
      <c r="E1" s="1361" t="s">
        <v>678</v>
      </c>
      <c r="F1" s="1060">
        <f ca="1">J53</f>
        <v>27.85</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290072</v>
      </c>
      <c r="C2" s="1385" t="s">
        <v>805</v>
      </c>
      <c r="D2" s="1385"/>
      <c r="E2" s="1386"/>
      <c r="F2" s="1387"/>
      <c r="G2" s="2703"/>
      <c r="H2" s="2692"/>
      <c r="I2" s="2692"/>
      <c r="J2" s="2692"/>
      <c r="K2" s="2693"/>
      <c r="L2" s="2692"/>
      <c r="M2" s="2692"/>
    </row>
    <row r="3" spans="1:37" ht="18" customHeight="1" thickBot="1">
      <c r="A3" s="1388" t="s">
        <v>806</v>
      </c>
      <c r="B3" s="1389">
        <f ca="1">IF(ISERROR(B2*10000/F43),0,ROUND(B2*10000/F43,0))</f>
        <v>24180</v>
      </c>
      <c r="C3" s="1385" t="s">
        <v>807</v>
      </c>
      <c r="D3" s="1385"/>
      <c r="E3" s="1386"/>
      <c r="F3" s="1387"/>
      <c r="G3" s="2703"/>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19800</v>
      </c>
      <c r="D5" s="1362" t="s">
        <v>693</v>
      </c>
      <c r="E5" s="1069"/>
      <c r="F5" s="1070"/>
      <c r="G5" s="1382"/>
      <c r="H5" s="297">
        <v>1</v>
      </c>
      <c r="I5" s="298" t="s">
        <v>692</v>
      </c>
      <c r="J5" s="1068">
        <f ca="1">J6+J10+J12</f>
        <v>0</v>
      </c>
      <c r="K5" s="1362" t="s">
        <v>693</v>
      </c>
      <c r="L5" s="1069"/>
      <c r="M5" s="1070"/>
    </row>
    <row r="6" spans="1:37" ht="18" customHeight="1">
      <c r="A6" s="1067" t="s">
        <v>398</v>
      </c>
      <c r="B6" s="3688" t="s">
        <v>694</v>
      </c>
      <c r="C6" s="1072">
        <f ca="1">ROUND(F6*F8*F7*(1-F9)/10000,0)</f>
        <v>19775</v>
      </c>
      <c r="D6" s="154" t="s">
        <v>2108</v>
      </c>
      <c r="E6" s="300" t="s">
        <v>696</v>
      </c>
      <c r="F6" s="301">
        <f ca="1">INDIRECT("'数据-取费表'!u"&amp;$G$1)</f>
        <v>5.5</v>
      </c>
      <c r="G6" s="1382"/>
      <c r="H6" s="1067" t="s">
        <v>398</v>
      </c>
      <c r="I6" s="3688" t="s">
        <v>694</v>
      </c>
      <c r="J6" s="299">
        <f ca="1">ROUND(M6*M8*M7*(1-M9)/10000,0)</f>
        <v>0</v>
      </c>
      <c r="K6" s="154" t="s">
        <v>2107</v>
      </c>
      <c r="L6" s="300" t="s">
        <v>696</v>
      </c>
      <c r="M6" s="301">
        <f ca="1">INDIRECT("'数据-取费表'!z"&amp;$G$1)</f>
        <v>0</v>
      </c>
    </row>
    <row r="7" spans="1:37" ht="18" customHeight="1">
      <c r="A7" s="1071"/>
      <c r="B7" s="3689"/>
      <c r="C7" s="1073"/>
      <c r="D7" s="305"/>
      <c r="E7" s="1074" t="s">
        <v>697</v>
      </c>
      <c r="F7" s="301">
        <f ca="1">IF(INDIRECT("'数据-取费表'!ah"&amp;$G$1)="",INDIRECT("'数据-取费表'!k"&amp;$G$1),INDIRECT("'数据-取费表'!ah"&amp;$G$1))</f>
        <v>103688.47</v>
      </c>
      <c r="G7" s="1382"/>
      <c r="H7" s="302"/>
      <c r="I7" s="3689"/>
      <c r="J7" s="304"/>
      <c r="K7" s="305"/>
      <c r="L7" s="300" t="s">
        <v>697</v>
      </c>
      <c r="M7" s="301">
        <f ca="1">F7</f>
        <v>103688.47</v>
      </c>
    </row>
    <row r="8" spans="1:37" ht="18" customHeight="1">
      <c r="A8" s="302"/>
      <c r="B8" s="3689"/>
      <c r="C8" s="304"/>
      <c r="D8" s="305"/>
      <c r="E8" s="300" t="s">
        <v>698</v>
      </c>
      <c r="F8" s="301">
        <f ca="1">INDIRECT("'数据-取费表'!ai"&amp;$G$1)</f>
        <v>365</v>
      </c>
      <c r="G8" s="1382"/>
      <c r="H8" s="302"/>
      <c r="I8" s="3689"/>
      <c r="J8" s="304"/>
      <c r="K8" s="305"/>
      <c r="L8" s="300" t="s">
        <v>698</v>
      </c>
      <c r="M8" s="301">
        <f ca="1">INDIRECT("'数据-取费表'!ai"&amp;$G$1)</f>
        <v>365</v>
      </c>
    </row>
    <row r="9" spans="1:37" ht="18" customHeight="1">
      <c r="A9" s="302"/>
      <c r="B9" s="3690"/>
      <c r="C9" s="304"/>
      <c r="D9" s="305"/>
      <c r="E9" s="300" t="s">
        <v>699</v>
      </c>
      <c r="F9" s="310">
        <f ca="1">INDIRECT("'数据-取费表'!w"&amp;$G$1)</f>
        <v>0.05</v>
      </c>
      <c r="G9" s="1382"/>
      <c r="H9" s="302"/>
      <c r="I9" s="3690"/>
      <c r="J9" s="304"/>
      <c r="K9" s="305"/>
      <c r="L9" s="311" t="s">
        <v>699</v>
      </c>
      <c r="M9" s="312">
        <f ca="1">INDIRECT("'数据-取费表'!ab"&amp;$G$1)</f>
        <v>0</v>
      </c>
    </row>
    <row r="10" spans="1:37" ht="18" customHeight="1">
      <c r="A10" s="1067" t="s">
        <v>402</v>
      </c>
      <c r="B10" s="1363" t="s">
        <v>700</v>
      </c>
      <c r="C10" s="314">
        <f ca="1">ROUND(IF(F10="押一",C6/12*F11,IF(F10="押二",C6/12*2*F11,IF(F10="押三",C6/12*3*F11,C11*F11))),0)</f>
        <v>25</v>
      </c>
      <c r="D10" s="1364" t="s">
        <v>2116</v>
      </c>
      <c r="E10" s="311" t="s">
        <v>701</v>
      </c>
      <c r="F10" s="1114" t="s">
        <v>3979</v>
      </c>
      <c r="G10" s="1382"/>
      <c r="H10" s="1067" t="s">
        <v>402</v>
      </c>
      <c r="I10" s="1363" t="s">
        <v>700</v>
      </c>
      <c r="J10" s="299">
        <f ca="1">ROUND(IF(M10="押一",J6/12*M11,IF(M10="押二",J6/12*2*M11,IF(M10="押三",J6/12*3*M11,J11*M11))),0)</f>
        <v>0</v>
      </c>
      <c r="K10" s="1364" t="s">
        <v>2115</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92694</v>
      </c>
      <c r="D13" s="1079" t="s">
        <v>705</v>
      </c>
      <c r="E13" s="1079" t="s">
        <v>706</v>
      </c>
      <c r="F13" s="1080">
        <f ca="1">INDIRECT("'数据-取费表'!y"&amp;$G$1)</f>
        <v>0.88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65980</v>
      </c>
      <c r="D14" s="1343" t="s">
        <v>708</v>
      </c>
      <c r="E14" s="1340"/>
      <c r="F14" s="317"/>
      <c r="G14" s="1382"/>
      <c r="H14" s="980" t="s">
        <v>398</v>
      </c>
      <c r="I14" s="300" t="s">
        <v>709</v>
      </c>
      <c r="J14" s="21">
        <f ca="1">C29</f>
        <v>105334</v>
      </c>
      <c r="K14" s="12"/>
      <c r="L14" s="805"/>
      <c r="M14" s="806"/>
    </row>
    <row r="15" spans="1:37" s="1395" customFormat="1" ht="18" customHeight="1" thickBot="1">
      <c r="A15" s="980" t="s">
        <v>399</v>
      </c>
      <c r="B15" s="300" t="s">
        <v>710</v>
      </c>
      <c r="C15" s="21">
        <f ca="1">ROUND(C14*F15,0)</f>
        <v>1979</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530</v>
      </c>
      <c r="K16" s="1085" t="s">
        <v>715</v>
      </c>
      <c r="L16" s="1086"/>
      <c r="M16" s="1070"/>
    </row>
    <row r="17" spans="1:37" s="1395" customFormat="1" ht="18" customHeight="1">
      <c r="A17" s="980" t="s">
        <v>681</v>
      </c>
      <c r="B17" s="300" t="s">
        <v>716</v>
      </c>
      <c r="C17" s="21">
        <f ca="1">ROUND(F17*(F43+INDIRECT("'数据-取费表'!S"&amp;$G$1))/10000,0)</f>
        <v>2399</v>
      </c>
      <c r="D17" s="300" t="s">
        <v>717</v>
      </c>
      <c r="E17" s="300" t="s">
        <v>718</v>
      </c>
      <c r="F17" s="23">
        <f>'数据-取费表'!B35</f>
        <v>200</v>
      </c>
      <c r="G17" s="1394"/>
      <c r="H17" s="980" t="s">
        <v>398</v>
      </c>
      <c r="I17" s="300" t="s">
        <v>719</v>
      </c>
      <c r="J17" s="2314">
        <f ca="1">ROUND(IF(AND(项目基本情况!B11="自然人",项目基本情况!B10="北京市"),J6*M17/(1+'数据-取费表'!C42),J18+J19+J20),2)</f>
        <v>3.67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990</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71348</v>
      </c>
      <c r="D19" s="130" t="s">
        <v>726</v>
      </c>
      <c r="E19" s="1358"/>
      <c r="F19" s="23"/>
      <c r="G19" s="1382"/>
      <c r="H19" s="980" t="s">
        <v>399</v>
      </c>
      <c r="I19" s="300" t="s">
        <v>727</v>
      </c>
      <c r="J19" s="21">
        <f ca="1">IF(K19="按租金收入计税",ROUND(J6*M19/(1+'数据-取费表'!C42),2),ROUND(C29*M19*0.7,2))</f>
        <v>0</v>
      </c>
      <c r="K19" s="1368" t="s">
        <v>3330</v>
      </c>
      <c r="L19" s="300" t="s">
        <v>712</v>
      </c>
      <c r="M19" s="320">
        <f>IF(K19="按租金收入计税",'数据-取费表'!B51,'数据-取费表'!B50)</f>
        <v>0.12</v>
      </c>
    </row>
    <row r="20" spans="1:37" s="1395" customFormat="1" ht="18" customHeight="1">
      <c r="A20" s="980" t="s">
        <v>402</v>
      </c>
      <c r="B20" s="300" t="s">
        <v>728</v>
      </c>
      <c r="C20" s="21">
        <f ca="1">ROUND(C19*F20,0)</f>
        <v>2140</v>
      </c>
      <c r="D20" s="321" t="s">
        <v>729</v>
      </c>
      <c r="E20" s="300" t="s">
        <v>712</v>
      </c>
      <c r="F20" s="320">
        <f>'数据-取费表'!B37</f>
        <v>0.03</v>
      </c>
      <c r="G20" s="1394"/>
      <c r="H20" s="980" t="s">
        <v>680</v>
      </c>
      <c r="I20" s="154" t="s">
        <v>730</v>
      </c>
      <c r="J20" s="22">
        <f ca="1">ROUND(M20*M21/10000,2)</f>
        <v>3.67</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24498.84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ROUND(J14*M22,2)</f>
        <v>526.66999999999996</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3836</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0.02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30" t="s">
        <v>751</v>
      </c>
      <c r="E25" s="1358"/>
      <c r="F25" s="23"/>
      <c r="G25" s="1382"/>
      <c r="H25" s="1077" t="s">
        <v>394</v>
      </c>
      <c r="I25" s="1092" t="s">
        <v>752</v>
      </c>
      <c r="J25" s="308">
        <f ca="1">J5-J16</f>
        <v>-530</v>
      </c>
      <c r="K25" s="1093" t="s">
        <v>753</v>
      </c>
      <c r="L25" s="1094"/>
      <c r="M25" s="1095"/>
    </row>
    <row r="26" spans="1:37">
      <c r="A26" s="980" t="s">
        <v>397</v>
      </c>
      <c r="B26" s="300" t="s">
        <v>754</v>
      </c>
      <c r="C26" s="21">
        <f ca="1">ROUND((C19+C20)*F26,0)</f>
        <v>18372</v>
      </c>
      <c r="D26" s="321" t="s">
        <v>755</v>
      </c>
      <c r="E26" s="311" t="s">
        <v>756</v>
      </c>
      <c r="F26" s="310">
        <f ca="1">INDIRECT("'数据-取费表'!q"&amp;$G$1)</f>
        <v>0.25</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7.4999999999999997E-3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105334</v>
      </c>
      <c r="D29" s="1090"/>
      <c r="E29" s="1088"/>
      <c r="F29" s="1091"/>
      <c r="G29" s="1394"/>
      <c r="H29" s="332" t="s">
        <v>396</v>
      </c>
      <c r="I29" s="333" t="s">
        <v>768</v>
      </c>
      <c r="J29" s="334">
        <f ca="1">ROUND(J26/(1+F40)^F41,0)</f>
        <v>0</v>
      </c>
      <c r="K29" s="335" t="s">
        <v>769</v>
      </c>
      <c r="L29" s="336"/>
      <c r="M29" s="337">
        <f ca="1">INDIRECT("'数据-取费表'!k"&amp;$G$1)</f>
        <v>119963.53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4361</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ROUND(IF(AND(项目基本情况!B11="自然人",项目基本情况!B10="北京市"),C6*F31/(1+'数据-取费表'!C42),C32+C33+C34),2)</f>
        <v>3299.5</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IF(项目基本情况!B11="自然人","——",ROUND(C6*F32/(1+'数据-取费表'!C42),2))</f>
        <v>1035.83</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IF(项目基本情况!B11="自然人","——",IF(D33="按租金收入计税",ROUND(C6*F33/(1+'数据-取费表'!C42),2),IF(D33="按房产原值计税",ROUND(C29*F33*0.7,2),INDIRECT("'数据-取费表'!Aj"&amp;$G$1))))</f>
        <v>2260</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IF(项目基本情况!B11="自然人","——",ROUND(F34*F35/10000,2))</f>
        <v>3.67</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24498.84</v>
      </c>
      <c r="G35" s="1382"/>
      <c r="H35" s="2694"/>
      <c r="I35" s="1396"/>
      <c r="J35" s="1397"/>
      <c r="K35" s="2698"/>
      <c r="L35" s="2697"/>
      <c r="M35" s="2697"/>
    </row>
    <row r="36" spans="1:18" ht="18" customHeight="1">
      <c r="A36" s="1100" t="s">
        <v>402</v>
      </c>
      <c r="B36" s="300" t="s">
        <v>738</v>
      </c>
      <c r="C36" s="21">
        <f ca="1">ROUND(C29*F36,2)</f>
        <v>526.66999999999996</v>
      </c>
      <c r="D36" s="1342" t="s">
        <v>771</v>
      </c>
      <c r="E36" s="300" t="s">
        <v>712</v>
      </c>
      <c r="F36" s="326">
        <f ca="1">INDIRECT("'数据-取费表'!Ak"&amp;$G$1)</f>
        <v>5.0000000000000001E-3</v>
      </c>
      <c r="G36" s="1382"/>
      <c r="H36" s="2697"/>
      <c r="I36" s="1396"/>
      <c r="J36" s="1397"/>
      <c r="K36" s="2541"/>
      <c r="L36" s="2697"/>
      <c r="M36" s="2697"/>
    </row>
    <row r="37" spans="1:18" ht="18" customHeight="1">
      <c r="A37" s="980" t="s">
        <v>437</v>
      </c>
      <c r="B37" s="300" t="s">
        <v>742</v>
      </c>
      <c r="C37" s="21">
        <f ca="1">ROUND(C13*F37,2)</f>
        <v>139.04</v>
      </c>
      <c r="D37" s="1342" t="s">
        <v>743</v>
      </c>
      <c r="E37" s="300" t="s">
        <v>744</v>
      </c>
      <c r="F37" s="328">
        <f ca="1">INDIRECT("'数据-取费表'!Al"&amp;$G$1)</f>
        <v>1.5E-3</v>
      </c>
      <c r="G37" s="1382"/>
      <c r="H37" s="2697"/>
      <c r="I37" s="1396"/>
      <c r="J37" s="1397"/>
      <c r="K37" s="2541"/>
      <c r="L37" s="2697"/>
      <c r="M37" s="2697"/>
    </row>
    <row r="38" spans="1:18" ht="18" customHeight="1" thickBot="1">
      <c r="A38" s="1087" t="s">
        <v>684</v>
      </c>
      <c r="B38" s="1088" t="s">
        <v>728</v>
      </c>
      <c r="C38" s="1089">
        <f ca="1">ROUND(C5*F38,2)</f>
        <v>396</v>
      </c>
      <c r="D38" s="1090" t="s">
        <v>748</v>
      </c>
      <c r="E38" s="1088" t="s">
        <v>744</v>
      </c>
      <c r="F38" s="1084">
        <f ca="1">INDIRECT("'数据-取费表'!Am"&amp;$G$1)</f>
        <v>0.02</v>
      </c>
      <c r="G38" s="1382"/>
      <c r="H38" s="2697"/>
      <c r="I38" s="1396"/>
      <c r="J38" s="1397"/>
      <c r="K38" s="2701"/>
      <c r="L38" s="2697"/>
      <c r="M38" s="2697"/>
    </row>
    <row r="39" spans="1:18" ht="24.6" customHeight="1" thickTop="1">
      <c r="A39" s="1077" t="s">
        <v>394</v>
      </c>
      <c r="B39" s="1092" t="s">
        <v>772</v>
      </c>
      <c r="C39" s="308">
        <f ca="1">C5-C30</f>
        <v>15439</v>
      </c>
      <c r="D39" s="1093" t="s">
        <v>773</v>
      </c>
      <c r="E39" s="1094"/>
      <c r="F39" s="1095"/>
      <c r="G39" s="1382"/>
      <c r="H39" s="2697"/>
      <c r="I39" s="1396"/>
      <c r="J39" s="1397"/>
      <c r="K39" s="2701"/>
      <c r="L39" s="2697"/>
      <c r="M39" s="2697"/>
    </row>
    <row r="40" spans="1:18" ht="18" customHeight="1">
      <c r="A40" s="297" t="s">
        <v>395</v>
      </c>
      <c r="B40" s="298" t="s">
        <v>774</v>
      </c>
      <c r="C40" s="299">
        <f ca="1">ROUND(C39*(1-((1+F42)/(1+F40))^F41)/(F40-F42),0)</f>
        <v>284183</v>
      </c>
      <c r="D40" s="322" t="s">
        <v>758</v>
      </c>
      <c r="E40" s="300" t="s">
        <v>759</v>
      </c>
      <c r="F40" s="310">
        <f ca="1">INDIRECT("'数据-取费表'!I"&amp;$G$1)</f>
        <v>5.5E-2</v>
      </c>
      <c r="G40" s="1382"/>
      <c r="H40" s="1459"/>
      <c r="I40" s="1396"/>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27.85</v>
      </c>
      <c r="G41" s="1382"/>
      <c r="H41" s="1189"/>
      <c r="I41" s="1396"/>
      <c r="J41" s="1397"/>
      <c r="K41" s="2541"/>
      <c r="L41" s="1189"/>
      <c r="M41" s="1189"/>
    </row>
    <row r="42" spans="1:18" ht="18" customHeight="1">
      <c r="A42" s="306"/>
      <c r="B42" s="307"/>
      <c r="C42" s="308"/>
      <c r="D42" s="325"/>
      <c r="E42" s="300" t="s">
        <v>766</v>
      </c>
      <c r="F42" s="310">
        <f ca="1">INDIRECT("'数据-取费表'!v"&amp;$G$1)</f>
        <v>2.5000000000000001E-2</v>
      </c>
      <c r="G42" s="1382"/>
      <c r="H42" s="1189"/>
      <c r="I42" s="1396"/>
      <c r="J42" s="1397"/>
      <c r="K42" s="2541"/>
      <c r="L42" s="1189"/>
      <c r="M42" s="1189"/>
    </row>
    <row r="43" spans="1:18" ht="18" customHeight="1" thickBot="1">
      <c r="A43" s="332" t="s">
        <v>396</v>
      </c>
      <c r="B43" s="333" t="s">
        <v>776</v>
      </c>
      <c r="C43" s="334">
        <f ca="1">ROUND(C40*10000/F43,0)</f>
        <v>23689</v>
      </c>
      <c r="D43" s="335" t="s">
        <v>777</v>
      </c>
      <c r="E43" s="336" t="s">
        <v>778</v>
      </c>
      <c r="F43" s="337">
        <f ca="1">INDIRECT("'数据-取费表'!k"&amp;$G$1)</f>
        <v>119963.53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-293622</v>
      </c>
      <c r="D46" s="1404" t="str">
        <f>C2</f>
        <v>万元</v>
      </c>
      <c r="E46" s="1398"/>
      <c r="F46" s="1398"/>
      <c r="I46" s="1405" t="s">
        <v>810</v>
      </c>
      <c r="J46" s="1406"/>
      <c r="K46" s="1407"/>
      <c r="L46" s="1408">
        <f ca="1">IF(M47="住宅",0,IF(L48&gt;J51,L60,J60))</f>
        <v>5889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3980</v>
      </c>
      <c r="K47" s="1414" t="s">
        <v>816</v>
      </c>
      <c r="L47" s="1415">
        <f ca="1">INDIRECT("'数据-取费表'!d"&amp;$G$1)</f>
        <v>40</v>
      </c>
      <c r="M47" s="1378" t="str">
        <f>IF(ISNUMBER(FIND("住宅",C1)),"住宅","非住宅")</f>
        <v>非住宅</v>
      </c>
      <c r="O47" s="1416" t="s">
        <v>403</v>
      </c>
      <c r="P47" s="1417" t="s">
        <v>817</v>
      </c>
      <c r="Q47" s="1418">
        <f ca="1">C40+J29</f>
        <v>284183</v>
      </c>
      <c r="R47" s="1418" t="s">
        <v>818</v>
      </c>
    </row>
    <row r="48" spans="1:18" s="1382" customFormat="1" ht="28.5" thickBot="1">
      <c r="A48" s="1108" t="s">
        <v>438</v>
      </c>
      <c r="B48" s="298" t="s">
        <v>692</v>
      </c>
      <c r="C48" s="1357">
        <f ca="1">C49+C53+C55</f>
        <v>0</v>
      </c>
      <c r="D48" s="1110"/>
      <c r="E48" s="1111"/>
      <c r="F48" s="960"/>
      <c r="G48" s="720"/>
      <c r="H48" s="721"/>
      <c r="I48" s="1419" t="s">
        <v>819</v>
      </c>
      <c r="J48" s="1420" t="s">
        <v>3981</v>
      </c>
      <c r="K48" s="1421" t="s">
        <v>820</v>
      </c>
      <c r="L48" s="1422">
        <f ca="1">INDIRECT("'数据-取费表'!f"&amp;$G$1)</f>
        <v>27.85</v>
      </c>
      <c r="O48" s="1416" t="s">
        <v>404</v>
      </c>
      <c r="P48" s="1417" t="s">
        <v>821</v>
      </c>
      <c r="Q48" s="1418">
        <f ca="1">J60</f>
        <v>5889</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2017</v>
      </c>
      <c r="K49" s="1421" t="s">
        <v>824</v>
      </c>
      <c r="L49" s="1425"/>
      <c r="O49" s="1426" t="s">
        <v>405</v>
      </c>
      <c r="P49" s="1417" t="s">
        <v>825</v>
      </c>
      <c r="Q49" s="1418">
        <f ca="1">C29</f>
        <v>105334</v>
      </c>
      <c r="R49" s="1418" t="s">
        <v>818</v>
      </c>
    </row>
    <row r="50" spans="1:18" s="1382" customFormat="1" ht="13.5" thickBot="1">
      <c r="A50" s="974"/>
      <c r="B50" s="977"/>
      <c r="C50" s="1116"/>
      <c r="D50" s="951"/>
      <c r="E50" s="1054" t="s">
        <v>697</v>
      </c>
      <c r="F50" s="1055">
        <f ca="1">F7</f>
        <v>103688.47</v>
      </c>
      <c r="H50" s="721"/>
      <c r="I50" s="1419" t="s">
        <v>826</v>
      </c>
      <c r="J50" s="1427">
        <f>SUMPRODUCT((I63:I65=J47)*(J62:L62=J48)*(J63:L65))</f>
        <v>60</v>
      </c>
      <c r="K50" s="1421" t="s">
        <v>827</v>
      </c>
      <c r="L50" s="1425"/>
      <c r="M50" s="1428"/>
      <c r="O50" s="1426" t="s">
        <v>406</v>
      </c>
      <c r="P50" s="1417" t="s">
        <v>828</v>
      </c>
      <c r="Q50" s="1429">
        <f ca="1">J58</f>
        <v>0.41899999999999998</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165524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27.85</v>
      </c>
      <c r="R52" s="1418" t="s">
        <v>835</v>
      </c>
    </row>
    <row r="53" spans="1:18" s="1382" customFormat="1" ht="24.75" thickBot="1">
      <c r="A53" s="1150" t="s">
        <v>440</v>
      </c>
      <c r="B53" s="1371" t="s">
        <v>700</v>
      </c>
      <c r="C53" s="314">
        <f ca="1">ROUND(IF(F53="押一",C49/12*F11,IF(F53="押二",C49/12*2*F11,IF(F53="押三",C49/12*3*F11,C54*F11))),0)</f>
        <v>0</v>
      </c>
      <c r="D53" s="1364" t="s">
        <v>2115</v>
      </c>
      <c r="E53" s="311" t="s">
        <v>701</v>
      </c>
      <c r="F53" s="1114"/>
      <c r="I53" s="1437" t="s">
        <v>836</v>
      </c>
      <c r="J53" s="2166">
        <f ca="1">IF(M47="住宅",IF(D1="——",MAX(J51,L48),MAX(J51,L48-'数据-取费表'!B24)),IF(D1="——",MIN(J51,L48),MIN(J51,L48-'数据-取费表'!B24)))</f>
        <v>27.85</v>
      </c>
      <c r="K53" s="3686" t="s">
        <v>837</v>
      </c>
      <c r="L53" s="3687"/>
      <c r="O53" s="1416" t="s">
        <v>409</v>
      </c>
      <c r="P53" s="1417" t="s">
        <v>838</v>
      </c>
      <c r="Q53" s="1418">
        <f ca="1">Q47+Q48</f>
        <v>290072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0.41899999999999998</v>
      </c>
      <c r="K55" s="1443" t="s">
        <v>841</v>
      </c>
      <c r="L55" s="1444"/>
      <c r="O55" s="1409" t="s">
        <v>811</v>
      </c>
      <c r="P55" s="1410" t="s">
        <v>812</v>
      </c>
      <c r="Q55" s="1411" t="s">
        <v>813</v>
      </c>
      <c r="R55" s="1411" t="s">
        <v>814</v>
      </c>
    </row>
    <row r="56" spans="1:18" s="1382" customFormat="1" ht="25.5" thickTop="1" thickBot="1">
      <c r="A56" s="955">
        <v>2</v>
      </c>
      <c r="B56" s="956" t="s">
        <v>704</v>
      </c>
      <c r="C56" s="230">
        <f ca="1">C13</f>
        <v>92694</v>
      </c>
      <c r="D56" s="1445"/>
      <c r="E56" s="1446"/>
      <c r="F56" s="1438"/>
      <c r="I56" s="1447" t="s">
        <v>842</v>
      </c>
      <c r="J56" s="1448" t="s">
        <v>3982</v>
      </c>
      <c r="K56" s="1419" t="s">
        <v>843</v>
      </c>
      <c r="L56" s="1422" t="str">
        <f ca="1">IF(L48&lt;J51,"——",L48-J53)</f>
        <v>——</v>
      </c>
      <c r="O56" s="1416" t="s">
        <v>403</v>
      </c>
      <c r="P56" s="1417" t="s">
        <v>817</v>
      </c>
      <c r="Q56" s="1418">
        <f ca="1">C40+J29</f>
        <v>284183</v>
      </c>
      <c r="R56" s="1418" t="s">
        <v>818</v>
      </c>
    </row>
    <row r="57" spans="1:18" s="1382" customFormat="1" ht="24.75" thickBot="1">
      <c r="A57" s="1449"/>
      <c r="B57" s="948" t="s">
        <v>767</v>
      </c>
      <c r="C57" s="236">
        <f ca="1">C29</f>
        <v>105334</v>
      </c>
      <c r="D57" s="1450"/>
      <c r="E57" s="1451"/>
      <c r="F57" s="1452"/>
      <c r="I57" s="1453" t="s">
        <v>844</v>
      </c>
      <c r="J57" s="1454">
        <f ca="1">IF(OR(M47="住宅",J51&lt;L48,J56="是"),"——",J51-L48)</f>
        <v>25.15</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670</v>
      </c>
      <c r="D58" s="958" t="s">
        <v>715</v>
      </c>
      <c r="E58" s="959"/>
      <c r="F58" s="960"/>
      <c r="I58" s="1453" t="s">
        <v>848</v>
      </c>
      <c r="J58" s="1455">
        <f ca="1">IF(J55&lt;0.4,0.4,J55)</f>
        <v>0.41899999999999998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44135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5889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3.67</v>
      </c>
      <c r="D62" s="963" t="s">
        <v>786</v>
      </c>
      <c r="E62" s="948" t="s">
        <v>787</v>
      </c>
      <c r="F62" s="323">
        <f t="shared" si="0"/>
        <v>1.5</v>
      </c>
      <c r="I62" s="1460" t="s">
        <v>858</v>
      </c>
      <c r="J62" s="1461" t="s">
        <v>859</v>
      </c>
      <c r="K62" s="1461" t="s">
        <v>860</v>
      </c>
      <c r="L62" s="1461" t="s">
        <v>861</v>
      </c>
      <c r="M62" s="1462" t="s">
        <v>862</v>
      </c>
      <c r="O62" s="1416" t="s">
        <v>409</v>
      </c>
      <c r="P62" s="1417" t="s">
        <v>863</v>
      </c>
      <c r="Q62" s="1418">
        <f ca="1">Q56+Q57</f>
        <v>284183</v>
      </c>
      <c r="R62" s="1418" t="s">
        <v>410</v>
      </c>
    </row>
    <row r="63" spans="1:18" s="1382" customFormat="1" ht="13.5" thickBot="1">
      <c r="A63" s="324"/>
      <c r="B63" s="954"/>
      <c r="C63" s="26"/>
      <c r="D63" s="964"/>
      <c r="E63" s="948" t="s">
        <v>788</v>
      </c>
      <c r="F63" s="301">
        <f t="shared" ca="1" si="0"/>
        <v>24498.84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526.66999999999996</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139.04</v>
      </c>
      <c r="D65" s="962" t="s">
        <v>743</v>
      </c>
      <c r="E65" s="948" t="s">
        <v>744</v>
      </c>
      <c r="F65" s="328">
        <f t="shared" ca="1" si="0"/>
        <v>1.5E-3</v>
      </c>
      <c r="I65" s="1460" t="s">
        <v>867</v>
      </c>
      <c r="J65" s="1461">
        <v>40</v>
      </c>
      <c r="K65" s="1461">
        <v>30</v>
      </c>
      <c r="L65" s="1461">
        <v>50</v>
      </c>
      <c r="M65" s="1463">
        <v>0.02</v>
      </c>
      <c r="O65" s="1416" t="s">
        <v>403</v>
      </c>
      <c r="P65" s="1417" t="s">
        <v>868</v>
      </c>
      <c r="Q65" s="1418">
        <f ca="1">C40+J29</f>
        <v>284183</v>
      </c>
      <c r="R65" s="1418" t="s">
        <v>818</v>
      </c>
    </row>
    <row r="66" spans="1:18" s="1382" customFormat="1" ht="16.5" thickBot="1">
      <c r="A66" s="980" t="s">
        <v>793</v>
      </c>
      <c r="B66" s="948" t="s">
        <v>728</v>
      </c>
      <c r="C66" s="21">
        <f ca="1">ROUND(C48*F66,2)</f>
        <v>0</v>
      </c>
      <c r="D66" s="962" t="s">
        <v>794</v>
      </c>
      <c r="E66" s="948" t="s">
        <v>712</v>
      </c>
      <c r="F66" s="310">
        <f t="shared" ca="1" si="0"/>
        <v>0.02</v>
      </c>
      <c r="O66" s="1416" t="s">
        <v>404</v>
      </c>
      <c r="P66" s="1417" t="s">
        <v>846</v>
      </c>
      <c r="Q66" s="1418">
        <f ca="1">L60</f>
        <v>0</v>
      </c>
      <c r="R66" s="1418" t="s">
        <v>869</v>
      </c>
    </row>
    <row r="67" spans="1:18" s="1382" customFormat="1" ht="16.5" thickBot="1">
      <c r="A67" s="955" t="s">
        <v>394</v>
      </c>
      <c r="B67" s="965" t="s">
        <v>752</v>
      </c>
      <c r="C67" s="314">
        <f ca="1">C48-C58</f>
        <v>-670</v>
      </c>
      <c r="D67" s="961" t="s">
        <v>753</v>
      </c>
      <c r="E67" s="966"/>
      <c r="F67" s="967"/>
      <c r="O67" s="1426" t="s">
        <v>405</v>
      </c>
      <c r="P67" s="1417" t="s">
        <v>850</v>
      </c>
      <c r="Q67" s="1464">
        <f ca="1">L51</f>
        <v>165524</v>
      </c>
      <c r="R67" s="1418" t="s">
        <v>870</v>
      </c>
    </row>
    <row r="68" spans="1:18" s="1382" customFormat="1" ht="16.5" thickBot="1">
      <c r="A68" s="945" t="s">
        <v>395</v>
      </c>
      <c r="B68" s="946" t="s">
        <v>774</v>
      </c>
      <c r="C68" s="299">
        <f ca="1">ROUND(C67*(1-((1+F70)/(1+F68))^F69)/(F68-F70),0)</f>
        <v>-9439</v>
      </c>
      <c r="D68" s="963" t="s">
        <v>758</v>
      </c>
      <c r="E68" s="948" t="s">
        <v>759</v>
      </c>
      <c r="F68" s="310">
        <f ca="1">F40</f>
        <v>5.5E-2</v>
      </c>
      <c r="O68" s="1426" t="s">
        <v>406</v>
      </c>
      <c r="P68" s="1465" t="s">
        <v>871</v>
      </c>
      <c r="Q68" s="1418">
        <f ca="1">ROUND(Q69-Q70*Q71,0)</f>
        <v>8950</v>
      </c>
      <c r="R68" s="1418" t="s">
        <v>414</v>
      </c>
    </row>
    <row r="69" spans="1:18" s="1382" customFormat="1" ht="13.5" thickBot="1">
      <c r="A69" s="949"/>
      <c r="B69" s="950"/>
      <c r="C69" s="304"/>
      <c r="D69" s="968" t="s">
        <v>762</v>
      </c>
      <c r="E69" s="948" t="s">
        <v>763</v>
      </c>
      <c r="F69" s="331">
        <f ca="1">F41</f>
        <v>27.85</v>
      </c>
      <c r="O69" s="1426" t="s">
        <v>411</v>
      </c>
      <c r="P69" s="1465" t="s">
        <v>872</v>
      </c>
      <c r="Q69" s="1418">
        <f ca="1">C39</f>
        <v>15439</v>
      </c>
      <c r="R69" s="1418" t="s">
        <v>818</v>
      </c>
    </row>
    <row r="70" spans="1:18" s="1382" customFormat="1" ht="13.5" thickBot="1">
      <c r="A70" s="952"/>
      <c r="B70" s="953"/>
      <c r="C70" s="308"/>
      <c r="D70" s="964"/>
      <c r="E70" s="948" t="s">
        <v>766</v>
      </c>
      <c r="F70" s="1052"/>
      <c r="O70" s="1426" t="s">
        <v>412</v>
      </c>
      <c r="P70" s="1465" t="s">
        <v>873</v>
      </c>
      <c r="Q70" s="1418">
        <f ca="1">C13</f>
        <v>92694</v>
      </c>
      <c r="R70" s="1418" t="s">
        <v>818</v>
      </c>
    </row>
    <row r="71" spans="1:18" s="1382" customFormat="1" ht="13.5" thickBot="1">
      <c r="A71" s="969" t="s">
        <v>396</v>
      </c>
      <c r="B71" s="970" t="s">
        <v>776</v>
      </c>
      <c r="C71" s="334">
        <f ca="1">ROUND(C68*10000/F71,0)</f>
        <v>-787</v>
      </c>
      <c r="D71" s="971" t="s">
        <v>777</v>
      </c>
      <c r="E71" s="972" t="s">
        <v>778</v>
      </c>
      <c r="F71" s="337">
        <f ca="1">F43</f>
        <v>119963.53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6489</v>
      </c>
      <c r="D75" s="1382"/>
      <c r="E75" s="1382"/>
      <c r="F75" s="1382"/>
      <c r="K75" s="1400"/>
      <c r="L75" s="1382"/>
      <c r="O75" s="1416" t="s">
        <v>409</v>
      </c>
      <c r="P75" s="1417" t="s">
        <v>838</v>
      </c>
      <c r="Q75" s="1418">
        <f ca="1">Q65+Q66</f>
        <v>284183</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0.58000000000000007</v>
      </c>
    </row>
    <row r="80" spans="1:18">
      <c r="B80" s="338" t="s">
        <v>800</v>
      </c>
      <c r="C80" s="272">
        <f ca="1">ROUND(C75/C39,3)</f>
        <v>0.42</v>
      </c>
    </row>
    <row r="81" spans="2:3">
      <c r="B81" s="268" t="s">
        <v>801</v>
      </c>
      <c r="C81" s="236"/>
    </row>
    <row r="82" spans="2:3">
      <c r="B82" s="271" t="s">
        <v>802</v>
      </c>
      <c r="C82" s="273">
        <f ca="1">1-C83</f>
        <v>0.67399999999999993</v>
      </c>
    </row>
    <row r="83" spans="2:3">
      <c r="B83" s="271" t="s">
        <v>803</v>
      </c>
      <c r="C83" s="272">
        <f ca="1">ROUND(C13/C40,3)</f>
        <v>0.32600000000000001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88" t="s">
        <v>694</v>
      </c>
      <c r="C6" s="1072">
        <f ca="1">ROUND(F6*F8*F7*(1-F9),0)</f>
        <v>0</v>
      </c>
      <c r="D6" s="154" t="s">
        <v>2105</v>
      </c>
      <c r="E6" s="300" t="s">
        <v>696</v>
      </c>
      <c r="F6" s="301">
        <f ca="1">INDIRECT("'数据-取费表'!u"&amp;$G$1)</f>
        <v>0</v>
      </c>
      <c r="G6" s="1382"/>
      <c r="H6" s="1067" t="s">
        <v>398</v>
      </c>
      <c r="I6" s="3688" t="s">
        <v>694</v>
      </c>
      <c r="J6" s="299">
        <f ca="1">ROUND(M6*M8*M7*(1-M9),0)</f>
        <v>0</v>
      </c>
      <c r="K6" s="1374" t="s">
        <v>2106</v>
      </c>
      <c r="L6" s="300" t="s">
        <v>696</v>
      </c>
      <c r="M6" s="301">
        <f ca="1">INDIRECT("'数据-取费表'!z"&amp;$G$1)</f>
        <v>0</v>
      </c>
    </row>
    <row r="7" spans="1:37" ht="18" customHeight="1">
      <c r="A7" s="1071"/>
      <c r="B7" s="3689"/>
      <c r="C7" s="1073"/>
      <c r="D7" s="305"/>
      <c r="E7" s="1074" t="s">
        <v>697</v>
      </c>
      <c r="F7" s="301">
        <f ca="1">IF(INDIRECT("'数据-取费表'!ah"&amp;$G$1)="",INDIRECT("'数据-取费表'!k"&amp;$G$1),INDIRECT("'数据-取费表'!ah"&amp;$G$1))</f>
        <v>0</v>
      </c>
      <c r="G7" s="1382"/>
      <c r="H7" s="302"/>
      <c r="I7" s="3689"/>
      <c r="J7" s="304"/>
      <c r="K7" s="305"/>
      <c r="L7" s="300" t="s">
        <v>697</v>
      </c>
      <c r="M7" s="301">
        <f ca="1">F7</f>
        <v>0</v>
      </c>
    </row>
    <row r="8" spans="1:37" ht="18" customHeight="1">
      <c r="A8" s="302"/>
      <c r="B8" s="3689"/>
      <c r="C8" s="304"/>
      <c r="D8" s="305"/>
      <c r="E8" s="300" t="s">
        <v>698</v>
      </c>
      <c r="F8" s="301">
        <f ca="1">INDIRECT("'数据-取费表'!ai"&amp;$G$1)</f>
        <v>0</v>
      </c>
      <c r="G8" s="1382"/>
      <c r="H8" s="302"/>
      <c r="I8" s="3689"/>
      <c r="J8" s="304"/>
      <c r="K8" s="305"/>
      <c r="L8" s="300" t="s">
        <v>698</v>
      </c>
      <c r="M8" s="301">
        <f ca="1">INDIRECT("'数据-取费表'!ai"&amp;$G$1)</f>
        <v>0</v>
      </c>
    </row>
    <row r="9" spans="1:37" ht="18" customHeight="1">
      <c r="A9" s="302"/>
      <c r="B9" s="3690"/>
      <c r="C9" s="304"/>
      <c r="D9" s="305"/>
      <c r="E9" s="300" t="s">
        <v>699</v>
      </c>
      <c r="F9" s="310">
        <f ca="1">INDIRECT("'数据-取费表'!w"&amp;$G$1)</f>
        <v>0</v>
      </c>
      <c r="G9" s="1382"/>
      <c r="H9" s="302"/>
      <c r="I9" s="3690"/>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2115</v>
      </c>
      <c r="E10" s="311" t="s">
        <v>701</v>
      </c>
      <c r="F10" s="1114"/>
      <c r="G10" s="1382"/>
      <c r="H10" s="1067" t="s">
        <v>402</v>
      </c>
      <c r="I10" s="1363" t="s">
        <v>700</v>
      </c>
      <c r="J10" s="299">
        <f ca="1">ROUND(IF(M10="押一",J6/12*M11,IF(M10="押二",J6/12*2*M11,IF(M10="押三",J6/12*3*M11,J11*M11))),0)</f>
        <v>0</v>
      </c>
      <c r="K10" s="1375" t="s">
        <v>2117</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30" t="s">
        <v>726</v>
      </c>
      <c r="E19" s="1358"/>
      <c r="F19" s="23"/>
      <c r="G19" s="1382"/>
      <c r="H19" s="980" t="s">
        <v>399</v>
      </c>
      <c r="I19" s="300" t="s">
        <v>727</v>
      </c>
      <c r="J19" s="21">
        <f ca="1">IF(K19="按租金收入计税",ROUND(J6*M19/(1+'数据-取费表'!C42),0),ROUND(C29*M19*0.7,0))</f>
        <v>0</v>
      </c>
      <c r="K19" s="1368" t="s">
        <v>3330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4"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30"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IF(项目基本情况!B11="自然人","——",ROUND(F34*F35,0))</f>
        <v>0</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0</v>
      </c>
      <c r="G35" s="1382"/>
      <c r="H35" s="2694"/>
      <c r="I35" s="1396"/>
      <c r="J35" s="1397"/>
      <c r="K35" s="2698"/>
      <c r="L35" s="2697"/>
      <c r="M35" s="2697"/>
    </row>
    <row r="36" spans="1:18" ht="18" customHeight="1">
      <c r="A36" s="1100" t="s">
        <v>402</v>
      </c>
      <c r="B36" s="300" t="s">
        <v>738</v>
      </c>
      <c r="C36" s="21">
        <f ca="1">ROUND(C29*F36,0)</f>
        <v>0</v>
      </c>
      <c r="D36" s="1342" t="s">
        <v>771</v>
      </c>
      <c r="E36" s="300" t="s">
        <v>712</v>
      </c>
      <c r="F36" s="326">
        <f ca="1">INDIRECT("'数据-取费表'!Ak"&amp;$G$1)</f>
        <v>0</v>
      </c>
      <c r="G36" s="1382"/>
      <c r="H36" s="2697"/>
      <c r="I36" s="1396"/>
      <c r="J36" s="1397"/>
      <c r="K36" s="2541"/>
      <c r="L36" s="2697"/>
      <c r="M36" s="2697"/>
    </row>
    <row r="37" spans="1:18" ht="18" customHeight="1">
      <c r="A37" s="980" t="s">
        <v>437</v>
      </c>
      <c r="B37" s="300" t="s">
        <v>742</v>
      </c>
      <c r="C37" s="21">
        <f ca="1">ROUND(C13*F37,0)</f>
        <v>0</v>
      </c>
      <c r="D37" s="1342" t="s">
        <v>743</v>
      </c>
      <c r="E37" s="300" t="s">
        <v>744</v>
      </c>
      <c r="F37" s="328">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8">
        <f ca="1">C5-C30</f>
        <v>0</v>
      </c>
      <c r="D39" s="1093" t="s">
        <v>773</v>
      </c>
      <c r="E39" s="1094"/>
      <c r="F39" s="1095"/>
      <c r="G39" s="1382"/>
      <c r="H39" s="2697"/>
      <c r="I39" s="1396"/>
      <c r="J39" s="1397"/>
      <c r="K39" s="2701"/>
      <c r="L39" s="2697"/>
      <c r="M39" s="2697"/>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1"/>
      <c r="L41" s="1189"/>
      <c r="M41" s="1189"/>
    </row>
    <row r="42" spans="1:18" ht="18" customHeight="1">
      <c r="A42" s="306"/>
      <c r="B42" s="307"/>
      <c r="C42" s="308"/>
      <c r="D42" s="325"/>
      <c r="E42" s="300" t="s">
        <v>766</v>
      </c>
      <c r="F42" s="310">
        <f ca="1">INDIRECT("'数据-取费表'!v"&amp;$G$1)</f>
        <v>0</v>
      </c>
      <c r="G42" s="1382"/>
      <c r="H42" s="1189"/>
      <c r="I42" s="1396"/>
      <c r="J42" s="1397"/>
      <c r="K42" s="2541"/>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3346</v>
      </c>
      <c r="B45" s="1398"/>
      <c r="C45" s="1470" t="e">
        <f ca="1">ROUND((C68-C40)/10000,4)</f>
        <v>#DIV/0!</v>
      </c>
      <c r="D45" s="3429"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2118</v>
      </c>
      <c r="E53" s="311" t="s">
        <v>701</v>
      </c>
      <c r="F53" s="1114"/>
      <c r="I53" s="1437" t="s">
        <v>836</v>
      </c>
      <c r="J53" s="2166">
        <f ca="1">IF(M47="住宅",IF(D1="——",MAX(J51,L48),MAX(J51,L48-'数据-取费表'!B24)),IF(D1="——",MIN(J51,L48),MIN(J51,L48-'数据-取费表'!B24)))</f>
        <v>0</v>
      </c>
      <c r="K53" s="3686" t="s">
        <v>837</v>
      </c>
      <c r="L53" s="3687"/>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2430</v>
      </c>
      <c r="B1" s="2829"/>
      <c r="C1" s="2841"/>
      <c r="D1" s="2841"/>
      <c r="E1" s="2830"/>
      <c r="F1" s="2831"/>
      <c r="G1" s="2832"/>
      <c r="J1" s="2835" t="s">
        <v>2309</v>
      </c>
      <c r="K1" s="2836"/>
      <c r="L1" s="2836"/>
      <c r="M1" s="2836"/>
      <c r="N1" s="2836"/>
      <c r="O1" s="2836"/>
      <c r="P1" s="2836"/>
      <c r="Q1" s="2836"/>
      <c r="R1" s="2837"/>
      <c r="S1" s="2838"/>
      <c r="T1" s="2838"/>
      <c r="U1" s="2838"/>
    </row>
    <row r="2" spans="1:22" s="2850" customFormat="1" ht="13.15" customHeight="1">
      <c r="A2" s="1383" t="s">
        <v>2310</v>
      </c>
      <c r="B2" s="2840" t="e">
        <f>IF(D2="——",C40,C40+E2)</f>
        <v>#DIV/0!</v>
      </c>
      <c r="C2" s="2841" t="s">
        <v>2311</v>
      </c>
      <c r="D2" s="3440" t="s">
        <v>3353</v>
      </c>
      <c r="E2" s="3441"/>
      <c r="F2" s="2843"/>
      <c r="G2" s="2844"/>
      <c r="H2" s="2845"/>
      <c r="I2" s="2846"/>
      <c r="J2" s="3691" t="s">
        <v>2312</v>
      </c>
      <c r="K2" s="3692"/>
      <c r="L2" s="2847" t="s">
        <v>2313</v>
      </c>
      <c r="M2" s="2847" t="s">
        <v>2314</v>
      </c>
      <c r="N2" s="2847" t="s">
        <v>2315</v>
      </c>
      <c r="O2" s="2847" t="s">
        <v>2316</v>
      </c>
      <c r="P2" s="2847" t="s">
        <v>2317</v>
      </c>
      <c r="Q2" s="2848" t="s">
        <v>2318</v>
      </c>
      <c r="R2" s="2849" t="s">
        <v>2319</v>
      </c>
      <c r="S2" s="2838"/>
      <c r="T2" s="2838"/>
      <c r="U2" s="2838"/>
      <c r="V2" s="2846"/>
    </row>
    <row r="3" spans="1:22" s="2850" customFormat="1" ht="13.15" customHeight="1">
      <c r="A3" s="2851" t="s">
        <v>2320</v>
      </c>
      <c r="B3" s="2852" t="e">
        <f>ROUND(B2*10000/B4,0)</f>
        <v>#DIV/0!</v>
      </c>
      <c r="C3" s="2841" t="s">
        <v>2321</v>
      </c>
      <c r="D3" s="2841"/>
      <c r="E3" s="2842"/>
      <c r="F3" s="2843"/>
      <c r="G3" s="2844"/>
      <c r="H3" s="2845"/>
      <c r="I3" s="2846"/>
      <c r="J3" s="3693" t="s">
        <v>2322</v>
      </c>
      <c r="K3" s="3694"/>
      <c r="L3" s="2853"/>
      <c r="M3" s="2853"/>
      <c r="N3" s="2853"/>
      <c r="O3" s="2853"/>
      <c r="P3" s="2853"/>
      <c r="Q3" s="2854"/>
      <c r="R3" s="2855">
        <f>SUM(L3:Q3)</f>
        <v>0</v>
      </c>
      <c r="S3" s="2838"/>
      <c r="T3" s="2838"/>
      <c r="U3" s="2838"/>
      <c r="V3" s="2846"/>
    </row>
    <row r="4" spans="1:22" s="2850" customFormat="1" ht="13.15" customHeight="1">
      <c r="A4" s="2856" t="s">
        <v>2323</v>
      </c>
      <c r="B4" s="2857"/>
      <c r="C4" s="2841"/>
      <c r="D4" s="2841"/>
      <c r="E4" s="2842"/>
      <c r="F4" s="2843"/>
      <c r="G4" s="2844"/>
      <c r="H4" s="2845"/>
      <c r="I4" s="2846"/>
      <c r="J4" s="3693" t="s">
        <v>2324</v>
      </c>
      <c r="K4" s="3694"/>
      <c r="L4" s="2858"/>
      <c r="M4" s="2858"/>
      <c r="N4" s="2858"/>
      <c r="O4" s="2858"/>
      <c r="P4" s="2858"/>
      <c r="Q4" s="2859"/>
      <c r="R4" s="2860">
        <f>SUM(L4:Q4)</f>
        <v>0</v>
      </c>
      <c r="S4" s="2838"/>
      <c r="T4" s="2838"/>
      <c r="U4" s="2838"/>
      <c r="V4" s="2846"/>
    </row>
    <row r="5" spans="1:22" s="2850" customFormat="1" ht="13.15" customHeight="1" thickBot="1">
      <c r="A5" s="2861" t="s">
        <v>2325</v>
      </c>
      <c r="B5" s="2862"/>
      <c r="C5" s="2841"/>
      <c r="D5" s="2863"/>
      <c r="E5" s="2843"/>
      <c r="F5" s="2843"/>
      <c r="G5" s="2844"/>
      <c r="H5" s="2845"/>
      <c r="I5" s="2846"/>
      <c r="J5" s="2864" t="s">
        <v>2326</v>
      </c>
      <c r="K5" s="2865"/>
      <c r="L5" s="2865"/>
      <c r="M5" s="2866"/>
      <c r="N5" s="2866"/>
      <c r="O5" s="2866"/>
      <c r="P5" s="2866"/>
      <c r="Q5" s="2866"/>
      <c r="R5" s="2849">
        <f>SUM(R14,R19,R24,R25,R27,R28)</f>
        <v>0</v>
      </c>
      <c r="S5" s="2838"/>
      <c r="T5" s="2838" t="s">
        <v>2327</v>
      </c>
      <c r="U5" s="2838" t="e">
        <f>ROUND(R5*10000/365/R3,1)</f>
        <v>#DIV/0!</v>
      </c>
      <c r="V5" s="2846"/>
    </row>
    <row r="6" spans="1:22" s="2850" customFormat="1" ht="13.15" customHeight="1" thickBot="1">
      <c r="A6" s="3695" t="s">
        <v>2328</v>
      </c>
      <c r="B6" s="3696"/>
      <c r="C6" s="3697"/>
      <c r="D6" s="2867"/>
      <c r="E6" s="2868"/>
      <c r="F6" s="2869"/>
      <c r="G6" s="2870"/>
      <c r="H6" s="2845"/>
      <c r="I6" s="2846"/>
      <c r="J6" s="3698">
        <v>1</v>
      </c>
      <c r="K6" s="3699" t="s">
        <v>2329</v>
      </c>
      <c r="L6" s="2871" t="s">
        <v>2330</v>
      </c>
      <c r="M6" s="2872" t="s">
        <v>2331</v>
      </c>
      <c r="N6" s="2872" t="s">
        <v>2332</v>
      </c>
      <c r="O6" s="2872" t="s">
        <v>2333</v>
      </c>
      <c r="P6" s="2872" t="s">
        <v>2334</v>
      </c>
      <c r="Q6" s="2872" t="s">
        <v>2335</v>
      </c>
      <c r="R6" s="2855" t="s">
        <v>2336</v>
      </c>
      <c r="S6" s="2838"/>
      <c r="T6" s="2838" t="s">
        <v>2337</v>
      </c>
      <c r="U6" s="2838"/>
      <c r="V6" s="2846"/>
    </row>
    <row r="7" spans="1:22" s="2850" customFormat="1" ht="13.15" customHeight="1">
      <c r="A7" s="2873" t="s">
        <v>2338</v>
      </c>
      <c r="B7" s="2874"/>
      <c r="C7" s="2875"/>
      <c r="D7" s="2876">
        <f>SUM(D9,D10,D11,D17,0)</f>
        <v>0</v>
      </c>
      <c r="E7" s="2877" t="e">
        <f>E9+E10+E11+E17</f>
        <v>#DIV/0!</v>
      </c>
      <c r="F7" s="2878"/>
      <c r="G7" s="2879"/>
      <c r="H7" s="2845"/>
      <c r="I7" s="2846"/>
      <c r="J7" s="3698"/>
      <c r="K7" s="3700"/>
      <c r="L7" s="2880" t="s">
        <v>2339</v>
      </c>
      <c r="M7" s="2881"/>
      <c r="N7" s="2857"/>
      <c r="O7" s="2882"/>
      <c r="P7" s="2882"/>
      <c r="Q7" s="2883">
        <v>365</v>
      </c>
      <c r="R7" s="2884">
        <f>ROUND(M7*N7*O7*P7*Q7/10000,0)</f>
        <v>0</v>
      </c>
      <c r="S7" s="2838"/>
      <c r="T7" s="2838" t="s">
        <v>2340</v>
      </c>
      <c r="U7" s="2838"/>
      <c r="V7" s="2846"/>
    </row>
    <row r="8" spans="1:22" s="2850" customFormat="1" ht="13.15" customHeight="1">
      <c r="A8" s="2885" t="s">
        <v>2341</v>
      </c>
      <c r="B8" s="3702" t="s">
        <v>2342</v>
      </c>
      <c r="C8" s="3703"/>
      <c r="D8" s="2886" t="s">
        <v>2343</v>
      </c>
      <c r="E8" s="2887" t="s">
        <v>2344</v>
      </c>
      <c r="F8" s="2888" t="s">
        <v>2345</v>
      </c>
      <c r="G8" s="2889"/>
      <c r="H8" s="2845"/>
      <c r="I8" s="2846"/>
      <c r="J8" s="3698"/>
      <c r="K8" s="3700"/>
      <c r="L8" s="2880" t="s">
        <v>2346</v>
      </c>
      <c r="M8" s="2881"/>
      <c r="N8" s="2857"/>
      <c r="O8" s="2882"/>
      <c r="P8" s="2882"/>
      <c r="Q8" s="2883">
        <v>365</v>
      </c>
      <c r="R8" s="2884">
        <f t="shared" ref="R8:R13" si="0">ROUND(M8*N8*O8*P8*Q8/10000,0)</f>
        <v>0</v>
      </c>
      <c r="S8" s="2838"/>
      <c r="T8" s="2838" t="s">
        <v>2347</v>
      </c>
      <c r="U8" s="2838"/>
      <c r="V8" s="2846"/>
    </row>
    <row r="9" spans="1:22" s="2850" customFormat="1" ht="13.15" customHeight="1">
      <c r="A9" s="2885">
        <v>1</v>
      </c>
      <c r="B9" s="3702" t="s">
        <v>2348</v>
      </c>
      <c r="C9" s="3703"/>
      <c r="D9" s="2886">
        <f>ROUND(D6*E9,0)</f>
        <v>0</v>
      </c>
      <c r="E9" s="2890"/>
      <c r="F9" s="2891" t="s">
        <v>2349</v>
      </c>
      <c r="G9" s="2870"/>
      <c r="H9" s="2845"/>
      <c r="I9" s="2846"/>
      <c r="J9" s="3698"/>
      <c r="K9" s="3700"/>
      <c r="L9" s="2880" t="s">
        <v>2350</v>
      </c>
      <c r="M9" s="2881"/>
      <c r="N9" s="2857"/>
      <c r="O9" s="2882"/>
      <c r="P9" s="2882"/>
      <c r="Q9" s="2883">
        <v>365</v>
      </c>
      <c r="R9" s="2884">
        <f t="shared" si="0"/>
        <v>0</v>
      </c>
      <c r="S9" s="2838"/>
      <c r="T9" s="2838"/>
      <c r="U9" s="2838"/>
      <c r="V9" s="2846"/>
    </row>
    <row r="10" spans="1:22" s="2850" customFormat="1" ht="13.15" customHeight="1">
      <c r="A10" s="2885">
        <v>2</v>
      </c>
      <c r="B10" s="3702" t="s">
        <v>2351</v>
      </c>
      <c r="C10" s="3703"/>
      <c r="D10" s="2886">
        <f>ROUND(D6*E10,0)</f>
        <v>0</v>
      </c>
      <c r="E10" s="2890"/>
      <c r="F10" s="2891" t="s">
        <v>2352</v>
      </c>
      <c r="G10" s="2870"/>
      <c r="H10" s="2845"/>
      <c r="I10" s="2846"/>
      <c r="J10" s="3698"/>
      <c r="K10" s="3700"/>
      <c r="L10" s="2880" t="s">
        <v>2353</v>
      </c>
      <c r="M10" s="2881"/>
      <c r="N10" s="2857"/>
      <c r="O10" s="2882"/>
      <c r="P10" s="2882"/>
      <c r="Q10" s="2883">
        <v>365</v>
      </c>
      <c r="R10" s="2884">
        <f t="shared" si="0"/>
        <v>0</v>
      </c>
      <c r="S10" s="2838"/>
      <c r="T10" s="2838"/>
      <c r="U10" s="2838"/>
      <c r="V10" s="2846"/>
    </row>
    <row r="11" spans="1:22" s="2850" customFormat="1" ht="13.15" customHeight="1">
      <c r="A11" s="2885">
        <v>3</v>
      </c>
      <c r="B11" s="3702" t="s">
        <v>2354</v>
      </c>
      <c r="C11" s="3703"/>
      <c r="D11" s="2886">
        <f>D12+D14+D15+D16</f>
        <v>0</v>
      </c>
      <c r="E11" s="2892" t="e">
        <f>D11/D6</f>
        <v>#DIV/0!</v>
      </c>
      <c r="F11" s="2888"/>
      <c r="G11" s="2889"/>
      <c r="H11" s="2845"/>
      <c r="I11" s="2846"/>
      <c r="J11" s="3698"/>
      <c r="K11" s="3700"/>
      <c r="L11" s="2880" t="s">
        <v>2355</v>
      </c>
      <c r="M11" s="2881"/>
      <c r="N11" s="2857"/>
      <c r="O11" s="2882"/>
      <c r="P11" s="2882"/>
      <c r="Q11" s="2883">
        <v>365</v>
      </c>
      <c r="R11" s="2884">
        <f t="shared" si="0"/>
        <v>0</v>
      </c>
      <c r="S11" s="2838"/>
      <c r="T11" s="2838"/>
      <c r="U11" s="2838"/>
      <c r="V11" s="2846"/>
    </row>
    <row r="12" spans="1:22" s="2850" customFormat="1" ht="13.15" customHeight="1">
      <c r="A12" s="2893" t="s">
        <v>2356</v>
      </c>
      <c r="B12" s="3704" t="s">
        <v>2357</v>
      </c>
      <c r="C12" s="3705"/>
      <c r="D12" s="2894">
        <f>ROUND(D13*1.2%*(1-30%),0)</f>
        <v>0</v>
      </c>
      <c r="E12" s="2895">
        <v>1.2E-2</v>
      </c>
      <c r="F12" s="2888" t="s">
        <v>2358</v>
      </c>
      <c r="G12" s="2889"/>
      <c r="H12" s="2845"/>
      <c r="I12" s="2846"/>
      <c r="J12" s="3698"/>
      <c r="K12" s="3700"/>
      <c r="L12" s="2880" t="s">
        <v>2359</v>
      </c>
      <c r="M12" s="2881"/>
      <c r="N12" s="2857"/>
      <c r="O12" s="2882"/>
      <c r="P12" s="2882"/>
      <c r="Q12" s="2883">
        <v>365</v>
      </c>
      <c r="R12" s="2884">
        <f t="shared" si="0"/>
        <v>0</v>
      </c>
      <c r="S12" s="2838"/>
      <c r="T12" s="2838"/>
      <c r="U12" s="2838"/>
      <c r="V12" s="2846"/>
    </row>
    <row r="13" spans="1:22" s="2850" customFormat="1" ht="13.15" customHeight="1">
      <c r="A13" s="2893"/>
      <c r="B13" s="2896"/>
      <c r="C13" s="2897" t="s">
        <v>2360</v>
      </c>
      <c r="D13" s="2898"/>
      <c r="E13" s="2899"/>
      <c r="F13" s="2888"/>
      <c r="G13" s="2889"/>
      <c r="H13" s="2845"/>
      <c r="I13" s="2846"/>
      <c r="J13" s="3698"/>
      <c r="K13" s="3700"/>
      <c r="L13" s="2880" t="s">
        <v>2361</v>
      </c>
      <c r="M13" s="2881"/>
      <c r="N13" s="2857"/>
      <c r="O13" s="2882"/>
      <c r="P13" s="2882"/>
      <c r="Q13" s="2883">
        <v>365</v>
      </c>
      <c r="R13" s="2884">
        <f t="shared" si="0"/>
        <v>0</v>
      </c>
      <c r="S13" s="2838"/>
      <c r="T13" s="2838"/>
      <c r="U13" s="2838"/>
      <c r="V13" s="2846"/>
    </row>
    <row r="14" spans="1:22" s="2850" customFormat="1" ht="13.15" customHeight="1">
      <c r="A14" s="2893" t="s">
        <v>2362</v>
      </c>
      <c r="B14" s="3704" t="s">
        <v>2363</v>
      </c>
      <c r="C14" s="3705"/>
      <c r="D14" s="2894">
        <f>ROUND(E14*B5/10000,0)</f>
        <v>0</v>
      </c>
      <c r="E14" s="2883"/>
      <c r="F14" s="2888" t="s">
        <v>2364</v>
      </c>
      <c r="G14" s="2889"/>
      <c r="H14" s="2845"/>
      <c r="I14" s="2846"/>
      <c r="J14" s="3698"/>
      <c r="K14" s="3701"/>
      <c r="L14" s="2900" t="s">
        <v>2365</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2366</v>
      </c>
      <c r="B15" s="3704" t="s">
        <v>2367</v>
      </c>
      <c r="C15" s="3705"/>
      <c r="D15" s="2894">
        <f>ROUND(D6*E15,0)</f>
        <v>0</v>
      </c>
      <c r="E15" s="2895">
        <v>5.5E-2</v>
      </c>
      <c r="F15" s="2888" t="s">
        <v>2368</v>
      </c>
      <c r="G15" s="2870"/>
      <c r="H15" s="2845"/>
      <c r="I15" s="2846"/>
      <c r="J15" s="3698">
        <v>2</v>
      </c>
      <c r="K15" s="3699" t="s">
        <v>2369</v>
      </c>
      <c r="L15" s="2880" t="s">
        <v>2370</v>
      </c>
      <c r="M15" s="2881" t="s">
        <v>2371</v>
      </c>
      <c r="N15" s="2881" t="s">
        <v>2372</v>
      </c>
      <c r="O15" s="2882" t="s">
        <v>2373</v>
      </c>
      <c r="P15" s="2882" t="s">
        <v>2335</v>
      </c>
      <c r="Q15" s="2857" t="s">
        <v>2374</v>
      </c>
      <c r="R15" s="2904" t="s">
        <v>2336</v>
      </c>
      <c r="S15" s="2838"/>
      <c r="T15" s="2838"/>
      <c r="U15" s="2838"/>
      <c r="V15" s="2846"/>
    </row>
    <row r="16" spans="1:22" s="2850" customFormat="1" ht="13.15" customHeight="1">
      <c r="A16" s="2893" t="s">
        <v>2375</v>
      </c>
      <c r="B16" s="3704" t="s">
        <v>2376</v>
      </c>
      <c r="C16" s="3705"/>
      <c r="D16" s="2905">
        <f>D6*E16</f>
        <v>0</v>
      </c>
      <c r="E16" s="2906"/>
      <c r="F16" s="2891" t="s">
        <v>2377</v>
      </c>
      <c r="G16" s="2870"/>
      <c r="H16" s="2845"/>
      <c r="I16" s="2846"/>
      <c r="J16" s="3698"/>
      <c r="K16" s="3700"/>
      <c r="L16" s="2880" t="s">
        <v>2378</v>
      </c>
      <c r="M16" s="2881"/>
      <c r="N16" s="2881"/>
      <c r="O16" s="2882"/>
      <c r="P16" s="2883">
        <v>365</v>
      </c>
      <c r="Q16" s="2857"/>
      <c r="R16" s="2904">
        <f>ROUND(M16*N16*O16*P16/10000,0)</f>
        <v>0</v>
      </c>
      <c r="S16" s="2838"/>
      <c r="T16" s="2838"/>
      <c r="U16" s="2838"/>
      <c r="V16" s="2846"/>
    </row>
    <row r="17" spans="1:22" s="2850" customFormat="1" ht="13.15" customHeight="1" thickBot="1">
      <c r="A17" s="2907">
        <v>4</v>
      </c>
      <c r="B17" s="3706" t="s">
        <v>2379</v>
      </c>
      <c r="C17" s="3707"/>
      <c r="D17" s="2908">
        <f>ROUND(D6*E17,0)</f>
        <v>0</v>
      </c>
      <c r="E17" s="2909"/>
      <c r="F17" s="2910" t="s">
        <v>2380</v>
      </c>
      <c r="G17" s="2870"/>
      <c r="H17" s="2845"/>
      <c r="I17" s="2846"/>
      <c r="J17" s="3698"/>
      <c r="K17" s="3700"/>
      <c r="L17" s="2880" t="s">
        <v>2381</v>
      </c>
      <c r="M17" s="2881"/>
      <c r="N17" s="2881"/>
      <c r="O17" s="2882"/>
      <c r="P17" s="2883">
        <v>365</v>
      </c>
      <c r="Q17" s="2857"/>
      <c r="R17" s="2904">
        <f>ROUND(M17*N17*O17*P17/10000,0)</f>
        <v>0</v>
      </c>
      <c r="S17" s="2838"/>
      <c r="T17" s="2838"/>
      <c r="U17" s="2838"/>
      <c r="V17" s="2846"/>
    </row>
    <row r="18" spans="1:22" s="2850" customFormat="1" ht="13.15" customHeight="1" thickBot="1">
      <c r="A18" s="2873" t="s">
        <v>2382</v>
      </c>
      <c r="B18" s="2874"/>
      <c r="C18" s="2874"/>
      <c r="D18" s="2911">
        <f>ROUND(D6*E18,0)</f>
        <v>0</v>
      </c>
      <c r="E18" s="2912"/>
      <c r="F18" s="2913" t="s">
        <v>2383</v>
      </c>
      <c r="G18" s="2870"/>
      <c r="H18" s="2845"/>
      <c r="I18" s="2846"/>
      <c r="J18" s="3698"/>
      <c r="K18" s="3700"/>
      <c r="L18" s="2880" t="s">
        <v>2384</v>
      </c>
      <c r="M18" s="2881"/>
      <c r="N18" s="2881"/>
      <c r="O18" s="2882"/>
      <c r="P18" s="2883">
        <v>365</v>
      </c>
      <c r="Q18" s="2857"/>
      <c r="R18" s="2904">
        <f>ROUND(M18*N18*O18*P18/10000,0)</f>
        <v>0</v>
      </c>
      <c r="S18" s="2838"/>
      <c r="T18" s="2838"/>
      <c r="U18" s="2838"/>
      <c r="V18" s="2846"/>
    </row>
    <row r="19" spans="1:22" s="2850" customFormat="1" ht="13.15" customHeight="1" thickBot="1">
      <c r="A19" s="2914" t="s">
        <v>2385</v>
      </c>
      <c r="B19" s="2868"/>
      <c r="C19" s="2868"/>
      <c r="D19" s="2868"/>
      <c r="E19" s="2868"/>
      <c r="F19" s="2869"/>
      <c r="G19" s="2889"/>
      <c r="H19" s="2845"/>
      <c r="I19" s="2846"/>
      <c r="J19" s="3698"/>
      <c r="K19" s="3701"/>
      <c r="L19" s="2900" t="s">
        <v>2365</v>
      </c>
      <c r="M19" s="2901"/>
      <c r="N19" s="2901">
        <f>SUM(N16:N18)</f>
        <v>0</v>
      </c>
      <c r="O19" s="2902"/>
      <c r="P19" s="2915" t="s">
        <v>2429</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8">
        <v>3</v>
      </c>
      <c r="K20" s="3699" t="s">
        <v>2386</v>
      </c>
      <c r="L20" s="2880" t="s">
        <v>2387</v>
      </c>
      <c r="M20" s="2881" t="s">
        <v>2388</v>
      </c>
      <c r="N20" s="2918" t="s">
        <v>2389</v>
      </c>
      <c r="O20" s="2882" t="s">
        <v>2390</v>
      </c>
      <c r="P20" s="2883" t="s">
        <v>2391</v>
      </c>
      <c r="Q20" s="2857" t="s">
        <v>2392</v>
      </c>
      <c r="R20" s="2904" t="s">
        <v>2393</v>
      </c>
      <c r="S20" s="2919"/>
      <c r="T20" s="2919"/>
      <c r="U20" s="2919"/>
      <c r="V20" s="2846"/>
    </row>
    <row r="21" spans="1:22" s="2850" customFormat="1" ht="13.15" customHeight="1">
      <c r="A21" s="2873"/>
      <c r="B21" s="2874"/>
      <c r="C21" s="2920" t="s">
        <v>2394</v>
      </c>
      <c r="D21" s="2921" t="s">
        <v>2395</v>
      </c>
      <c r="E21" s="2922" t="s">
        <v>2396</v>
      </c>
      <c r="F21" s="2917"/>
      <c r="G21" s="2889"/>
      <c r="H21" s="2845"/>
      <c r="I21" s="2846"/>
      <c r="J21" s="3698"/>
      <c r="K21" s="3700"/>
      <c r="L21" s="2880" t="s">
        <v>2397</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2398</v>
      </c>
      <c r="D22" s="2925" t="s">
        <v>2399</v>
      </c>
      <c r="E22" s="2926" t="s">
        <v>2400</v>
      </c>
      <c r="F22" s="2917"/>
      <c r="G22" s="2927"/>
      <c r="H22" s="2845"/>
      <c r="I22" s="2846"/>
      <c r="J22" s="3698"/>
      <c r="K22" s="3700"/>
      <c r="L22" s="2880" t="s">
        <v>2401</v>
      </c>
      <c r="M22" s="2881"/>
      <c r="N22" s="2881"/>
      <c r="O22" s="2882"/>
      <c r="P22" s="2883">
        <v>365</v>
      </c>
      <c r="Q22" s="2857"/>
      <c r="R22" s="2923">
        <f>ROUND(M22*N22*O22*P22/10000,0)</f>
        <v>0</v>
      </c>
      <c r="S22" s="2919"/>
      <c r="T22" s="2919"/>
      <c r="U22" s="2919"/>
      <c r="V22" s="2846"/>
    </row>
    <row r="23" spans="1:22" s="2850" customFormat="1" ht="13.15" customHeight="1">
      <c r="A23" s="2928">
        <v>1</v>
      </c>
      <c r="B23" s="2929" t="s">
        <v>2402</v>
      </c>
      <c r="C23" s="2930">
        <f>D6</f>
        <v>0</v>
      </c>
      <c r="D23" s="2931">
        <f>C23*(1+D24)</f>
        <v>0</v>
      </c>
      <c r="E23" s="2932">
        <f>D23*(1+E24)</f>
        <v>0</v>
      </c>
      <c r="F23" s="2933"/>
      <c r="G23" s="2934"/>
      <c r="H23" s="2845"/>
      <c r="I23" s="2846"/>
      <c r="J23" s="3698"/>
      <c r="K23" s="3700"/>
      <c r="L23" s="2880" t="s">
        <v>2403</v>
      </c>
      <c r="M23" s="2881"/>
      <c r="N23" s="2881"/>
      <c r="O23" s="2882"/>
      <c r="P23" s="2883">
        <v>365</v>
      </c>
      <c r="Q23" s="2857"/>
      <c r="R23" s="2923">
        <f>ROUND(M23*N23*O23*P23/10000,0)</f>
        <v>0</v>
      </c>
      <c r="S23" s="2838"/>
      <c r="T23" s="2838"/>
      <c r="U23" s="2838"/>
      <c r="V23" s="2846"/>
    </row>
    <row r="24" spans="1:22" s="2850" customFormat="1" ht="13.15" customHeight="1">
      <c r="A24" s="2935"/>
      <c r="B24" s="2936" t="s">
        <v>2404</v>
      </c>
      <c r="C24" s="2937"/>
      <c r="D24" s="2938"/>
      <c r="E24" s="2939"/>
      <c r="F24" s="2940"/>
      <c r="G24" s="2934"/>
      <c r="H24" s="2845"/>
      <c r="I24" s="2846"/>
      <c r="J24" s="3698"/>
      <c r="K24" s="3701"/>
      <c r="L24" s="2900" t="s">
        <v>2365</v>
      </c>
      <c r="M24" s="2901">
        <f>SUM(M21:M23)</f>
        <v>0</v>
      </c>
      <c r="N24" s="2901"/>
      <c r="O24" s="2902"/>
      <c r="P24" s="2915" t="s">
        <v>2429</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2405</v>
      </c>
      <c r="L25" s="2943"/>
      <c r="M25" s="2943"/>
      <c r="N25" s="2943"/>
      <c r="O25" s="2943"/>
      <c r="P25" s="2944"/>
      <c r="Q25" s="2945">
        <v>0</v>
      </c>
      <c r="R25" s="2916">
        <f>ROUND(R14*Q25,0)</f>
        <v>0</v>
      </c>
      <c r="S25" s="2838"/>
      <c r="T25" s="2838"/>
      <c r="U25" s="2838"/>
      <c r="V25" s="2946"/>
    </row>
    <row r="26" spans="1:22" s="2947" customFormat="1" ht="13.15" customHeight="1">
      <c r="A26" s="2928">
        <v>2</v>
      </c>
      <c r="B26" s="2929" t="s">
        <v>2406</v>
      </c>
      <c r="C26" s="2930">
        <f>D7</f>
        <v>0</v>
      </c>
      <c r="D26" s="2931">
        <f>D23*D27</f>
        <v>0</v>
      </c>
      <c r="E26" s="2932">
        <f>E23*E27</f>
        <v>0</v>
      </c>
      <c r="F26" s="2933"/>
      <c r="G26" s="2934"/>
      <c r="H26" s="2845"/>
      <c r="I26" s="2846"/>
      <c r="J26" s="3708">
        <v>5</v>
      </c>
      <c r="K26" s="2948" t="s">
        <v>2407</v>
      </c>
      <c r="L26" s="2949"/>
      <c r="M26" s="2950"/>
      <c r="N26" s="2951" t="s">
        <v>2408</v>
      </c>
      <c r="O26" s="2951" t="s">
        <v>2409</v>
      </c>
      <c r="P26" s="2952" t="s">
        <v>2410</v>
      </c>
      <c r="Q26" s="2952" t="s">
        <v>2411</v>
      </c>
      <c r="R26" s="2855" t="s">
        <v>2336</v>
      </c>
      <c r="S26" s="2953"/>
      <c r="T26" s="2953"/>
      <c r="U26" s="2953"/>
      <c r="V26" s="2946"/>
    </row>
    <row r="27" spans="1:22" s="2850" customFormat="1" ht="13.15" customHeight="1">
      <c r="A27" s="2935"/>
      <c r="B27" s="2936" t="s">
        <v>2412</v>
      </c>
      <c r="C27" s="2954" t="e">
        <f>E7</f>
        <v>#DIV/0!</v>
      </c>
      <c r="D27" s="2938"/>
      <c r="E27" s="2939"/>
      <c r="F27" s="2940"/>
      <c r="G27" s="2934"/>
      <c r="H27" s="2955"/>
      <c r="I27" s="2946"/>
      <c r="J27" s="370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2413</v>
      </c>
      <c r="F28" s="2940"/>
      <c r="G28" s="2927"/>
      <c r="H28" s="2955"/>
      <c r="I28" s="2946"/>
      <c r="J28" s="2961">
        <v>6</v>
      </c>
      <c r="K28" s="2962" t="s">
        <v>2414</v>
      </c>
      <c r="L28" s="2963" t="s">
        <v>2415</v>
      </c>
      <c r="M28" s="2964"/>
      <c r="N28" s="2963" t="s">
        <v>2416</v>
      </c>
      <c r="O28" s="2965"/>
      <c r="P28" s="2963" t="s">
        <v>2417</v>
      </c>
      <c r="Q28" s="2966">
        <v>1.4999999999999999E-2</v>
      </c>
      <c r="R28" s="2967"/>
      <c r="S28" s="2919"/>
      <c r="T28" s="2919"/>
      <c r="U28" s="2919"/>
      <c r="V28" s="2946"/>
    </row>
    <row r="29" spans="1:22" s="2947" customFormat="1" ht="13.15" customHeight="1">
      <c r="A29" s="2928">
        <v>3</v>
      </c>
      <c r="B29" s="2929" t="s">
        <v>2418</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2412</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2419</v>
      </c>
      <c r="K31" s="2836"/>
      <c r="L31" s="2836"/>
      <c r="M31" s="2836"/>
      <c r="N31" s="2836"/>
      <c r="O31" s="2836"/>
      <c r="P31" s="2836"/>
      <c r="Q31" s="2836"/>
      <c r="R31" s="2837"/>
      <c r="S31" s="2919"/>
      <c r="T31" s="2838"/>
      <c r="U31" s="2838"/>
      <c r="V31" s="2946"/>
    </row>
    <row r="32" spans="1:22" s="2947" customFormat="1" ht="13.15" customHeight="1">
      <c r="A32" s="2928">
        <v>4</v>
      </c>
      <c r="B32" s="2929" t="s">
        <v>2420</v>
      </c>
      <c r="C32" s="2930">
        <f>C23-C26-C29</f>
        <v>0</v>
      </c>
      <c r="D32" s="2931">
        <f>D23-D26-D29</f>
        <v>0</v>
      </c>
      <c r="E32" s="2932">
        <f>E23-E26-E29</f>
        <v>0</v>
      </c>
      <c r="F32" s="2933"/>
      <c r="G32" s="2927"/>
      <c r="H32" s="2845"/>
      <c r="I32" s="2846"/>
      <c r="J32" s="3691" t="s">
        <v>2312</v>
      </c>
      <c r="K32" s="3692"/>
      <c r="L32" s="2847" t="s">
        <v>2313</v>
      </c>
      <c r="M32" s="2847" t="s">
        <v>2314</v>
      </c>
      <c r="N32" s="2847" t="s">
        <v>2315</v>
      </c>
      <c r="O32" s="2847" t="s">
        <v>2316</v>
      </c>
      <c r="P32" s="2847" t="s">
        <v>2317</v>
      </c>
      <c r="Q32" s="2848" t="s">
        <v>2318</v>
      </c>
      <c r="R32" s="2970" t="s">
        <v>2319</v>
      </c>
      <c r="S32" s="2919"/>
      <c r="T32" s="2838"/>
      <c r="U32" s="2838"/>
      <c r="V32" s="2946"/>
    </row>
    <row r="33" spans="1:23" s="2850" customFormat="1" ht="13.15" customHeight="1">
      <c r="A33" s="2928"/>
      <c r="B33" s="2929"/>
      <c r="C33" s="2930"/>
      <c r="D33" s="2971"/>
      <c r="E33" s="2972"/>
      <c r="F33" s="2933"/>
      <c r="G33" s="2927"/>
      <c r="H33" s="2955"/>
      <c r="I33" s="2946"/>
      <c r="J33" s="3693" t="s">
        <v>2322</v>
      </c>
      <c r="K33" s="3694"/>
      <c r="L33" s="2853"/>
      <c r="M33" s="2853"/>
      <c r="N33" s="2853"/>
      <c r="O33" s="2853"/>
      <c r="P33" s="2853"/>
      <c r="Q33" s="2854"/>
      <c r="R33" s="2973">
        <f>SUM(L33:Q33)</f>
        <v>0</v>
      </c>
      <c r="S33" s="2919"/>
      <c r="T33" s="2838"/>
      <c r="U33" s="2838"/>
      <c r="V33" s="2846"/>
    </row>
    <row r="34" spans="1:23" s="2850" customFormat="1" ht="13.15" customHeight="1">
      <c r="A34" s="2928">
        <v>5</v>
      </c>
      <c r="B34" s="2929" t="s">
        <v>2421</v>
      </c>
      <c r="C34" s="2974"/>
      <c r="D34" s="2975"/>
      <c r="E34" s="2976"/>
      <c r="F34" s="2933"/>
      <c r="G34" s="2927"/>
      <c r="H34" s="2955"/>
      <c r="I34" s="2946"/>
      <c r="J34" s="3693" t="s">
        <v>2324</v>
      </c>
      <c r="K34" s="369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2422</v>
      </c>
      <c r="C35" s="2978"/>
      <c r="D35" s="2979"/>
      <c r="E35" s="2980"/>
      <c r="F35" s="2933"/>
      <c r="G35" s="2981"/>
      <c r="H35" s="2845"/>
      <c r="I35" s="2946"/>
      <c r="J35" s="2864" t="s">
        <v>2326</v>
      </c>
      <c r="K35" s="2865"/>
      <c r="L35" s="2865"/>
      <c r="M35" s="2866"/>
      <c r="N35" s="2866"/>
      <c r="O35" s="2866"/>
      <c r="P35" s="2866"/>
      <c r="Q35" s="2866"/>
      <c r="R35" s="2982">
        <f>R40+R41+R43</f>
        <v>0</v>
      </c>
      <c r="S35" s="2919"/>
      <c r="T35" s="2838" t="s">
        <v>2327</v>
      </c>
      <c r="U35" s="2838"/>
      <c r="V35" s="2846"/>
    </row>
    <row r="36" spans="1:23" s="2850" customFormat="1" ht="13.15" customHeight="1" thickBot="1">
      <c r="A36" s="2928">
        <v>7</v>
      </c>
      <c r="B36" s="2983" t="s">
        <v>2423</v>
      </c>
      <c r="C36" s="2984"/>
      <c r="D36" s="2985"/>
      <c r="E36" s="2986"/>
      <c r="F36" s="2987">
        <f>C36+D36+E36</f>
        <v>0</v>
      </c>
      <c r="G36" s="2927"/>
      <c r="H36" s="2845"/>
      <c r="I36" s="2846"/>
      <c r="J36" s="3698">
        <v>1</v>
      </c>
      <c r="K36" s="3699" t="s">
        <v>2424</v>
      </c>
      <c r="L36" s="2871"/>
      <c r="M36" s="2872"/>
      <c r="N36" s="2872"/>
      <c r="O36" s="2872"/>
      <c r="P36" s="2872"/>
      <c r="Q36" s="2872"/>
      <c r="R36" s="2855" t="s">
        <v>2336</v>
      </c>
      <c r="S36" s="2919"/>
      <c r="T36" s="2838" t="s">
        <v>2337</v>
      </c>
      <c r="U36" s="2838"/>
      <c r="V36" s="2846"/>
    </row>
    <row r="37" spans="1:23" s="2850" customFormat="1" ht="13.15" customHeight="1">
      <c r="A37" s="2928"/>
      <c r="B37" s="2929"/>
      <c r="C37" s="2929"/>
      <c r="D37" s="2929"/>
      <c r="E37" s="2929"/>
      <c r="F37" s="2933"/>
      <c r="G37" s="2927"/>
      <c r="H37" s="2845"/>
      <c r="I37" s="2846"/>
      <c r="J37" s="3698"/>
      <c r="K37" s="3700"/>
      <c r="L37" s="2880"/>
      <c r="M37" s="2881"/>
      <c r="N37" s="2857"/>
      <c r="O37" s="2882"/>
      <c r="P37" s="2882"/>
      <c r="Q37" s="2883"/>
      <c r="R37" s="2884"/>
      <c r="S37" s="2919"/>
      <c r="T37" s="2838" t="s">
        <v>2340</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8"/>
      <c r="K38" s="3700"/>
      <c r="L38" s="2880"/>
      <c r="M38" s="2881"/>
      <c r="N38" s="2857"/>
      <c r="O38" s="2882"/>
      <c r="P38" s="2882"/>
      <c r="Q38" s="2883"/>
      <c r="R38" s="2884"/>
      <c r="S38" s="2919"/>
      <c r="T38" s="2838" t="s">
        <v>2347</v>
      </c>
      <c r="U38" s="2838"/>
      <c r="V38" s="2846"/>
    </row>
    <row r="39" spans="1:23" s="2850" customFormat="1" ht="13.15" customHeight="1">
      <c r="A39" s="2928">
        <v>9</v>
      </c>
      <c r="B39" s="2929" t="s">
        <v>2425</v>
      </c>
      <c r="C39" s="2894" t="e">
        <f>C38</f>
        <v>#DIV/0!</v>
      </c>
      <c r="D39" s="2929">
        <f>D38/(1+D34)^C36</f>
        <v>0</v>
      </c>
      <c r="E39" s="2929">
        <f>E38/(1+E34)^(C36+D36)</f>
        <v>0</v>
      </c>
      <c r="F39" s="2933"/>
      <c r="G39" s="2988"/>
      <c r="H39" s="2845"/>
      <c r="I39" s="2846"/>
      <c r="J39" s="3698"/>
      <c r="K39" s="3700"/>
      <c r="L39" s="2880"/>
      <c r="M39" s="2881"/>
      <c r="N39" s="2857"/>
      <c r="O39" s="2882"/>
      <c r="P39" s="2882"/>
      <c r="Q39" s="2883"/>
      <c r="R39" s="2884"/>
      <c r="S39" s="2919"/>
      <c r="T39" s="2838"/>
      <c r="U39" s="2838"/>
      <c r="V39" s="2846"/>
    </row>
    <row r="40" spans="1:23" s="2850" customFormat="1" ht="13.15" customHeight="1">
      <c r="A40" s="2989">
        <v>10</v>
      </c>
      <c r="B40" s="2929" t="s">
        <v>2426</v>
      </c>
      <c r="C40" s="2990" t="e">
        <f>C39+D39+E39</f>
        <v>#DIV/0!</v>
      </c>
      <c r="D40" s="2991"/>
      <c r="E40" s="2991"/>
      <c r="F40" s="2992"/>
      <c r="G40" s="2927"/>
      <c r="H40" s="2845"/>
      <c r="I40" s="2846"/>
      <c r="J40" s="3698"/>
      <c r="K40" s="3701"/>
      <c r="L40" s="2900" t="s">
        <v>2365</v>
      </c>
      <c r="M40" s="2901"/>
      <c r="N40" s="2901"/>
      <c r="O40" s="2902"/>
      <c r="P40" s="2902"/>
      <c r="Q40" s="2903"/>
      <c r="R40" s="2849">
        <f>SUM(R37:R39)</f>
        <v>0</v>
      </c>
      <c r="S40" s="2919"/>
      <c r="T40" s="2838"/>
      <c r="U40" s="2838"/>
      <c r="V40" s="2846"/>
    </row>
    <row r="41" spans="1:23" s="2850" customFormat="1" ht="13.15" customHeight="1" thickBot="1">
      <c r="A41" s="2993">
        <v>11</v>
      </c>
      <c r="B41" s="2994" t="s">
        <v>2427</v>
      </c>
      <c r="C41" s="2994" t="e">
        <f>ROUND(C40*10000/B4,0)</f>
        <v>#DIV/0!</v>
      </c>
      <c r="D41" s="2995"/>
      <c r="E41" s="2995"/>
      <c r="F41" s="2996"/>
      <c r="G41" s="2997"/>
      <c r="H41" s="2845"/>
      <c r="I41" s="2846"/>
      <c r="J41" s="2941">
        <v>2</v>
      </c>
      <c r="K41" s="2942" t="s">
        <v>2405</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8">
        <v>3</v>
      </c>
      <c r="K42" s="2948" t="s">
        <v>2407</v>
      </c>
      <c r="L42" s="2949"/>
      <c r="M42" s="2950"/>
      <c r="N42" s="2951" t="s">
        <v>2408</v>
      </c>
      <c r="O42" s="2951" t="s">
        <v>2409</v>
      </c>
      <c r="P42" s="2952" t="s">
        <v>2410</v>
      </c>
      <c r="Q42" s="2952" t="s">
        <v>2411</v>
      </c>
      <c r="R42" s="2855" t="s">
        <v>2336</v>
      </c>
      <c r="S42" s="2953"/>
      <c r="T42" s="2953"/>
      <c r="U42" s="2838"/>
      <c r="V42" s="2846"/>
    </row>
    <row r="43" spans="1:23" ht="13.15" customHeight="1">
      <c r="A43" s="2850"/>
      <c r="B43" s="2850"/>
      <c r="C43" s="2850"/>
      <c r="D43" s="2850"/>
      <c r="E43" s="2850"/>
      <c r="F43" s="2850"/>
      <c r="I43" s="2833"/>
      <c r="J43" s="370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2414</v>
      </c>
      <c r="L44" s="3001" t="s">
        <v>2415</v>
      </c>
      <c r="M44" s="2964"/>
      <c r="N44" s="3001" t="s">
        <v>2416</v>
      </c>
      <c r="O44" s="2964"/>
      <c r="P44" s="3001" t="s">
        <v>2417</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290072</v>
      </c>
      <c r="C2" s="1870" t="s">
        <v>1651</v>
      </c>
      <c r="D2" s="1871" t="s">
        <v>1652</v>
      </c>
      <c r="E2" s="2604">
        <f>SUM(E6:E13)</f>
        <v>119963.53</v>
      </c>
      <c r="F2" s="2704"/>
      <c r="G2" s="1487"/>
      <c r="H2" s="1487"/>
      <c r="I2" s="1487"/>
      <c r="J2" s="1487"/>
      <c r="K2" s="1487"/>
      <c r="L2" s="1487"/>
      <c r="M2" s="1487"/>
      <c r="N2" s="1487"/>
      <c r="O2" s="1487"/>
      <c r="P2" s="1487"/>
      <c r="Q2" s="1487"/>
      <c r="R2" s="1487"/>
      <c r="S2" s="1487"/>
    </row>
    <row r="3" spans="1:22" ht="15.75">
      <c r="A3" s="1868" t="s">
        <v>686</v>
      </c>
      <c r="B3" s="2598">
        <f ca="1">ROUND(B2*10000/E2,0)</f>
        <v>24180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10" t="s">
        <v>1654</v>
      </c>
      <c r="C5" s="3711"/>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290072</v>
      </c>
      <c r="C6" s="1870" t="s">
        <v>1651</v>
      </c>
      <c r="D6" s="2706"/>
      <c r="E6" s="2603">
        <f>IF(OR(A6=0,F6="否"),0,'数据-取费表'!K6+'数据-取费表'!S6)</f>
        <v>119963.53</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119963.53</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3" t="s">
        <v>1666</v>
      </c>
      <c r="B4" s="354"/>
      <c r="C4" s="3730" t="s">
        <v>1667</v>
      </c>
      <c r="D4" s="3731"/>
      <c r="E4" s="3732" t="s">
        <v>1668</v>
      </c>
      <c r="F4" s="3733"/>
      <c r="G4" s="3730" t="s">
        <v>1669</v>
      </c>
      <c r="H4" s="3731"/>
      <c r="I4" s="3730" t="s">
        <v>1670</v>
      </c>
      <c r="J4" s="3731"/>
      <c r="K4" s="1887" t="s">
        <v>1671</v>
      </c>
      <c r="L4" s="2712"/>
      <c r="M4" s="2713"/>
      <c r="N4" s="2713"/>
      <c r="O4" s="2713"/>
      <c r="P4" s="3734" t="s">
        <v>1672</v>
      </c>
      <c r="Q4" s="3735"/>
      <c r="R4" s="3717" t="s">
        <v>1668</v>
      </c>
      <c r="S4" s="3718"/>
      <c r="T4" s="3717" t="s">
        <v>1669</v>
      </c>
      <c r="U4" s="3718"/>
      <c r="V4" s="3742" t="s">
        <v>1670</v>
      </c>
      <c r="W4" s="3742"/>
      <c r="X4" s="1353"/>
      <c r="Y4" s="3717" t="s">
        <v>1672</v>
      </c>
      <c r="Z4" s="3718"/>
      <c r="AA4" s="3712" t="s">
        <v>1668</v>
      </c>
      <c r="AB4" s="3712" t="s">
        <v>1669</v>
      </c>
      <c r="AC4" s="3712" t="s">
        <v>1670</v>
      </c>
    </row>
    <row r="5" spans="1:29" ht="15">
      <c r="A5" s="356"/>
      <c r="B5" s="357"/>
      <c r="C5" s="3723" t="s">
        <v>1673</v>
      </c>
      <c r="D5" s="3724"/>
      <c r="E5" s="3721" t="s">
        <v>1674</v>
      </c>
      <c r="F5" s="3722"/>
      <c r="G5" s="3723" t="s">
        <v>1675</v>
      </c>
      <c r="H5" s="3724"/>
      <c r="I5" s="3723" t="s">
        <v>1676</v>
      </c>
      <c r="J5" s="3724"/>
      <c r="K5" s="1888"/>
      <c r="L5" s="2712"/>
      <c r="M5" s="2713"/>
      <c r="N5" s="2713"/>
      <c r="O5" s="2713"/>
      <c r="P5" s="3736"/>
      <c r="Q5" s="3737"/>
      <c r="R5" s="3719"/>
      <c r="S5" s="3720"/>
      <c r="T5" s="3719"/>
      <c r="U5" s="3720"/>
      <c r="V5" s="3742"/>
      <c r="W5" s="3742"/>
      <c r="X5" s="1353"/>
      <c r="Y5" s="3719"/>
      <c r="Z5" s="3720"/>
      <c r="AA5" s="3713"/>
      <c r="AB5" s="3713"/>
      <c r="AC5" s="3713"/>
    </row>
    <row r="6" spans="1:29" ht="15.75" thickBot="1">
      <c r="A6" s="358"/>
      <c r="B6" s="359"/>
      <c r="C6" s="3725" t="s">
        <v>1677</v>
      </c>
      <c r="D6" s="3726"/>
      <c r="E6" s="3727" t="s">
        <v>1677</v>
      </c>
      <c r="F6" s="3728"/>
      <c r="G6" s="3725" t="s">
        <v>1677</v>
      </c>
      <c r="H6" s="3726"/>
      <c r="I6" s="3725" t="s">
        <v>1677</v>
      </c>
      <c r="J6" s="3726"/>
      <c r="K6" s="1888" t="s">
        <v>1678</v>
      </c>
      <c r="L6" s="2712"/>
      <c r="M6" s="2713"/>
      <c r="N6" s="2713"/>
      <c r="O6" s="2713"/>
      <c r="P6" s="3738"/>
      <c r="Q6" s="3739"/>
      <c r="R6" s="3719"/>
      <c r="S6" s="3720"/>
      <c r="T6" s="3740"/>
      <c r="U6" s="3741"/>
      <c r="V6" s="3742"/>
      <c r="W6" s="3742"/>
      <c r="X6" s="1353"/>
      <c r="Y6" s="3740"/>
      <c r="Z6" s="3741"/>
      <c r="AA6" s="3714"/>
      <c r="AB6" s="3714"/>
      <c r="AC6" s="3714"/>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1889"/>
      <c r="L7" s="2714"/>
      <c r="M7" s="2715"/>
      <c r="N7" s="2715"/>
      <c r="O7" s="2715"/>
      <c r="P7" s="3715" t="s">
        <v>1680</v>
      </c>
      <c r="Q7" s="3743"/>
      <c r="R7" s="699" t="s">
        <v>20</v>
      </c>
      <c r="S7" s="700">
        <f t="shared" ref="S7:S15" si="0">F7</f>
        <v>0</v>
      </c>
      <c r="T7" s="699" t="s">
        <v>20</v>
      </c>
      <c r="U7" s="700">
        <f t="shared" ref="U7:U15" si="1">H7</f>
        <v>0</v>
      </c>
      <c r="V7" s="699" t="s">
        <v>20</v>
      </c>
      <c r="W7" s="700">
        <f t="shared" ref="W7:W15" si="2">J7</f>
        <v>0</v>
      </c>
      <c r="X7" s="701"/>
      <c r="Y7" s="3715" t="s">
        <v>1680</v>
      </c>
      <c r="Z7" s="3716"/>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4"/>
      <c r="M8" s="2715"/>
      <c r="N8" s="2715"/>
      <c r="O8" s="2715"/>
      <c r="P8" s="3715" t="s">
        <v>1683</v>
      </c>
      <c r="Q8" s="3716"/>
      <c r="R8" s="699" t="s">
        <v>20</v>
      </c>
      <c r="S8" s="700">
        <f t="shared" si="0"/>
        <v>100</v>
      </c>
      <c r="T8" s="699" t="s">
        <v>20</v>
      </c>
      <c r="U8" s="700">
        <f t="shared" si="1"/>
        <v>100</v>
      </c>
      <c r="V8" s="699" t="s">
        <v>20</v>
      </c>
      <c r="W8" s="700">
        <f t="shared" si="2"/>
        <v>100</v>
      </c>
      <c r="X8" s="701"/>
      <c r="Y8" s="3715" t="s">
        <v>1683</v>
      </c>
      <c r="Z8" s="3716"/>
      <c r="AA8" s="702">
        <f t="shared" ref="AA8:AA19" si="3">D8/F8</f>
        <v>1</v>
      </c>
      <c r="AB8" s="702">
        <f t="shared" ref="AB8:AB19" si="4">D8/H8</f>
        <v>1</v>
      </c>
      <c r="AC8" s="702">
        <f t="shared" ref="AC8:AC19" si="5">D8/J8</f>
        <v>1</v>
      </c>
    </row>
    <row r="9" spans="1:29" s="107" customFormat="1">
      <c r="A9" s="367" t="s">
        <v>1684</v>
      </c>
      <c r="B9" s="63" t="s">
        <v>1685</v>
      </c>
      <c r="C9" s="368"/>
      <c r="D9" s="125">
        <v>100</v>
      </c>
      <c r="E9" s="369"/>
      <c r="F9" s="370">
        <f>SUMIF(63:63,E9,64:64)-SUMIF(63:63,C9,64:64)+100</f>
        <v>100</v>
      </c>
      <c r="G9" s="371"/>
      <c r="H9" s="125">
        <f>SUMIF(63:63,G9,64:64)-SUMIF(63:63,C9,64:64)+100</f>
        <v>100</v>
      </c>
      <c r="I9" s="371"/>
      <c r="J9" s="125">
        <f>SUMIF(63:63,I9,64:64)-SUMIF(63:63,C9,64:64)+100</f>
        <v>100</v>
      </c>
      <c r="K9" s="1889"/>
      <c r="L9" s="2714"/>
      <c r="M9" s="2715"/>
      <c r="N9" s="2715"/>
      <c r="O9" s="2715"/>
      <c r="P9" s="3729" t="s">
        <v>1686</v>
      </c>
      <c r="Q9" s="1341"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1889"/>
      <c r="L10" s="2716"/>
      <c r="M10" s="2717"/>
      <c r="N10" s="2717"/>
      <c r="O10" s="2717"/>
      <c r="P10" s="3729"/>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375"/>
      <c r="L11" s="2718"/>
      <c r="M11" s="2713"/>
      <c r="N11" s="2713"/>
      <c r="O11" s="2713"/>
      <c r="P11" s="3729"/>
      <c r="Q11" s="1341" t="str">
        <f t="shared" si="6"/>
        <v>容积率</v>
      </c>
      <c r="R11" s="699" t="s">
        <v>18</v>
      </c>
      <c r="S11" s="700" t="e">
        <f t="shared" si="0"/>
        <v>#N/A</v>
      </c>
      <c r="T11" s="699" t="s">
        <v>18</v>
      </c>
      <c r="U11" s="700" t="e">
        <f t="shared" si="1"/>
        <v>#N/A</v>
      </c>
      <c r="V11" s="699" t="s">
        <v>18</v>
      </c>
      <c r="W11" s="700" t="e">
        <f t="shared" si="2"/>
        <v>#N/A</v>
      </c>
      <c r="X11" s="701"/>
      <c r="Y11" s="3659"/>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6">
        <f>SUMIF(70:70,G12,71:71)-SUMIF(70:70,C12,71:71)+100</f>
        <v>100</v>
      </c>
      <c r="I12" s="381"/>
      <c r="J12" s="126">
        <f>SUMIF(70:70,I12,71:71)-SUMIF(70:70,C12,71:71)+100</f>
        <v>100</v>
      </c>
      <c r="K12" s="1892"/>
      <c r="L12" s="2714"/>
      <c r="M12" s="2715"/>
      <c r="N12" s="2715"/>
      <c r="O12" s="2715"/>
      <c r="P12" s="3729"/>
      <c r="Q12" s="1341">
        <f t="shared" si="6"/>
        <v>111</v>
      </c>
      <c r="R12" s="699" t="s">
        <v>18</v>
      </c>
      <c r="S12" s="700">
        <f t="shared" si="0"/>
        <v>100</v>
      </c>
      <c r="T12" s="699" t="s">
        <v>18</v>
      </c>
      <c r="U12" s="700">
        <f t="shared" si="1"/>
        <v>100</v>
      </c>
      <c r="V12" s="699" t="s">
        <v>18</v>
      </c>
      <c r="W12" s="700">
        <f t="shared" si="2"/>
        <v>100</v>
      </c>
      <c r="X12" s="701"/>
      <c r="Y12" s="365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9"/>
      <c r="M13" s="2713"/>
      <c r="N13" s="2713"/>
      <c r="O13" s="2713"/>
      <c r="P13" s="3729"/>
      <c r="Q13" s="1341">
        <f t="shared" si="6"/>
        <v>111</v>
      </c>
      <c r="R13" s="699" t="s">
        <v>18</v>
      </c>
      <c r="S13" s="700">
        <f t="shared" si="0"/>
        <v>100</v>
      </c>
      <c r="T13" s="699" t="s">
        <v>18</v>
      </c>
      <c r="U13" s="700">
        <f t="shared" si="1"/>
        <v>100</v>
      </c>
      <c r="V13" s="699" t="s">
        <v>18</v>
      </c>
      <c r="W13" s="700">
        <f t="shared" si="2"/>
        <v>100</v>
      </c>
      <c r="X13" s="701"/>
      <c r="Y13" s="3659"/>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9"/>
      <c r="M14" s="2713"/>
      <c r="N14" s="2713"/>
      <c r="O14" s="2713"/>
      <c r="P14" s="3729"/>
      <c r="Q14" s="1341">
        <f t="shared" si="6"/>
        <v>111</v>
      </c>
      <c r="R14" s="699" t="s">
        <v>18</v>
      </c>
      <c r="S14" s="700">
        <f t="shared" si="0"/>
        <v>100</v>
      </c>
      <c r="T14" s="699" t="s">
        <v>18</v>
      </c>
      <c r="U14" s="700">
        <f t="shared" si="1"/>
        <v>100</v>
      </c>
      <c r="V14" s="699" t="s">
        <v>18</v>
      </c>
      <c r="W14" s="700">
        <f t="shared" si="2"/>
        <v>100</v>
      </c>
      <c r="X14" s="701"/>
      <c r="Y14" s="3659"/>
      <c r="Z14" s="52">
        <f t="shared" si="7"/>
        <v>111</v>
      </c>
      <c r="AA14" s="702">
        <f t="shared" si="3"/>
        <v>1</v>
      </c>
      <c r="AB14" s="702">
        <f t="shared" si="4"/>
        <v>1</v>
      </c>
      <c r="AC14" s="702">
        <f t="shared" si="5"/>
        <v>1</v>
      </c>
    </row>
    <row r="15" spans="1:29" ht="15">
      <c r="A15" s="389" t="s">
        <v>1690</v>
      </c>
      <c r="B15" s="61" t="s">
        <v>1257</v>
      </c>
      <c r="C15" s="1894">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756" t="s">
        <v>1691</v>
      </c>
      <c r="Q15" s="1350" t="str">
        <f t="shared" si="6"/>
        <v>居住社区成熟度</v>
      </c>
      <c r="R15" s="703" t="s">
        <v>18</v>
      </c>
      <c r="S15" s="704">
        <f t="shared" si="0"/>
        <v>100</v>
      </c>
      <c r="T15" s="703" t="s">
        <v>18</v>
      </c>
      <c r="U15" s="704">
        <f t="shared" si="1"/>
        <v>100</v>
      </c>
      <c r="V15" s="703" t="s">
        <v>18</v>
      </c>
      <c r="W15" s="704">
        <f t="shared" si="2"/>
        <v>100</v>
      </c>
      <c r="X15" s="1353"/>
      <c r="Y15" s="3749"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9"/>
      <c r="M16" s="2713"/>
      <c r="N16" s="2713"/>
      <c r="O16" s="2713"/>
      <c r="P16" s="3757"/>
      <c r="Q16" s="1350"/>
      <c r="R16" s="703"/>
      <c r="S16" s="704"/>
      <c r="T16" s="703"/>
      <c r="U16" s="704"/>
      <c r="V16" s="703"/>
      <c r="W16" s="704"/>
      <c r="X16" s="1353"/>
      <c r="Y16" s="3750"/>
      <c r="Z16" s="1354"/>
      <c r="AA16" s="1351">
        <v>1</v>
      </c>
      <c r="AB16" s="1351">
        <v>1</v>
      </c>
      <c r="AC16" s="1351">
        <v>1</v>
      </c>
    </row>
    <row r="17" spans="1:29" ht="15">
      <c r="A17" s="377"/>
      <c r="B17" s="400" t="s">
        <v>1259</v>
      </c>
      <c r="C17" s="1898">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757"/>
      <c r="Q17" s="1350" t="str">
        <f>B17</f>
        <v>交通便捷度</v>
      </c>
      <c r="R17" s="703" t="s">
        <v>18</v>
      </c>
      <c r="S17" s="704">
        <f>F17</f>
        <v>100</v>
      </c>
      <c r="T17" s="703" t="s">
        <v>18</v>
      </c>
      <c r="U17" s="704">
        <f>H17</f>
        <v>100</v>
      </c>
      <c r="V17" s="703" t="s">
        <v>18</v>
      </c>
      <c r="W17" s="704">
        <f>J17</f>
        <v>100</v>
      </c>
      <c r="X17" s="1353"/>
      <c r="Y17" s="3750"/>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9"/>
      <c r="M18" s="2713"/>
      <c r="N18" s="2713"/>
      <c r="O18" s="2713"/>
      <c r="P18" s="3757"/>
      <c r="Q18" s="1350"/>
      <c r="R18" s="703"/>
      <c r="S18" s="704"/>
      <c r="T18" s="703"/>
      <c r="U18" s="704"/>
      <c r="V18" s="703"/>
      <c r="W18" s="704"/>
      <c r="X18" s="1353"/>
      <c r="Y18" s="3750"/>
      <c r="Z18" s="1354"/>
      <c r="AA18" s="1351">
        <v>1</v>
      </c>
      <c r="AB18" s="1351">
        <v>1</v>
      </c>
      <c r="AC18" s="1351">
        <v>1</v>
      </c>
    </row>
    <row r="19" spans="1:29" ht="15">
      <c r="A19" s="377"/>
      <c r="B19" s="400" t="s">
        <v>1258</v>
      </c>
      <c r="C19" s="1898">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757"/>
      <c r="Q19" s="1350" t="str">
        <f>B19</f>
        <v>公共配套设施</v>
      </c>
      <c r="R19" s="703" t="s">
        <v>18</v>
      </c>
      <c r="S19" s="704">
        <f>F19</f>
        <v>100</v>
      </c>
      <c r="T19" s="703" t="s">
        <v>18</v>
      </c>
      <c r="U19" s="704">
        <f>H19</f>
        <v>100</v>
      </c>
      <c r="V19" s="703" t="s">
        <v>18</v>
      </c>
      <c r="W19" s="704">
        <f>J19</f>
        <v>100</v>
      </c>
      <c r="X19" s="1353"/>
      <c r="Y19" s="3750"/>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9"/>
      <c r="M20" s="2713"/>
      <c r="N20" s="2713"/>
      <c r="O20" s="2713"/>
      <c r="P20" s="3757"/>
      <c r="Q20" s="1350"/>
      <c r="R20" s="703"/>
      <c r="S20" s="704"/>
      <c r="T20" s="703"/>
      <c r="U20" s="704"/>
      <c r="V20" s="703"/>
      <c r="W20" s="704"/>
      <c r="X20" s="1353"/>
      <c r="Y20" s="3750"/>
      <c r="Z20" s="1354"/>
      <c r="AA20" s="1351">
        <v>1</v>
      </c>
      <c r="AB20" s="1351">
        <v>1</v>
      </c>
      <c r="AC20" s="1351">
        <v>1</v>
      </c>
    </row>
    <row r="21" spans="1:29" ht="15">
      <c r="A21" s="377"/>
      <c r="B21" s="1129" t="s">
        <v>1260</v>
      </c>
      <c r="C21" s="1898">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757"/>
      <c r="Q21" s="1350" t="str">
        <f>B21</f>
        <v>基础设施水平</v>
      </c>
      <c r="R21" s="703" t="s">
        <v>14</v>
      </c>
      <c r="S21" s="704">
        <f>F21</f>
        <v>100</v>
      </c>
      <c r="T21" s="703" t="s">
        <v>14</v>
      </c>
      <c r="U21" s="704">
        <f>H21</f>
        <v>100</v>
      </c>
      <c r="V21" s="703" t="s">
        <v>14</v>
      </c>
      <c r="W21" s="704">
        <f>J21</f>
        <v>100</v>
      </c>
      <c r="X21" s="1353"/>
      <c r="Y21" s="3750"/>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9"/>
      <c r="M22" s="2713"/>
      <c r="N22" s="2713"/>
      <c r="O22" s="2713"/>
      <c r="P22" s="3757"/>
      <c r="Q22" s="1350"/>
      <c r="R22" s="703"/>
      <c r="S22" s="704"/>
      <c r="T22" s="703"/>
      <c r="U22" s="704"/>
      <c r="V22" s="703"/>
      <c r="W22" s="704"/>
      <c r="X22" s="1353"/>
      <c r="Y22" s="3750"/>
      <c r="Z22" s="1354"/>
      <c r="AA22" s="1351">
        <v>1</v>
      </c>
      <c r="AB22" s="1351">
        <v>1</v>
      </c>
      <c r="AC22" s="1351">
        <v>1</v>
      </c>
    </row>
    <row r="23" spans="1:29" ht="15">
      <c r="A23" s="377"/>
      <c r="B23" s="400" t="s">
        <v>1261</v>
      </c>
      <c r="C23" s="1898">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757"/>
      <c r="Q23" s="1350" t="str">
        <f>B23</f>
        <v>自然及人文环境</v>
      </c>
      <c r="R23" s="703" t="s">
        <v>18</v>
      </c>
      <c r="S23" s="704">
        <f>F23</f>
        <v>100</v>
      </c>
      <c r="T23" s="703" t="s">
        <v>18</v>
      </c>
      <c r="U23" s="704">
        <f>H23</f>
        <v>100</v>
      </c>
      <c r="V23" s="703" t="s">
        <v>18</v>
      </c>
      <c r="W23" s="704">
        <f>J23</f>
        <v>100</v>
      </c>
      <c r="X23" s="1353"/>
      <c r="Y23" s="3750"/>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9"/>
      <c r="M24" s="2713"/>
      <c r="N24" s="2713"/>
      <c r="O24" s="2713"/>
      <c r="P24" s="3757"/>
      <c r="Q24" s="1350"/>
      <c r="R24" s="703"/>
      <c r="S24" s="704"/>
      <c r="T24" s="703"/>
      <c r="U24" s="704"/>
      <c r="V24" s="703"/>
      <c r="W24" s="704"/>
      <c r="X24" s="1353"/>
      <c r="Y24" s="3750"/>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9"/>
      <c r="M25" s="2713"/>
      <c r="N25" s="2713"/>
      <c r="O25" s="2713"/>
      <c r="P25" s="37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50"/>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9"/>
      <c r="M26" s="2713"/>
      <c r="N26" s="2713"/>
      <c r="O26" s="2713"/>
      <c r="P26" s="3757"/>
      <c r="Q26" s="1350" t="str">
        <f t="shared" si="11"/>
        <v>朝向</v>
      </c>
      <c r="R26" s="703" t="s">
        <v>18</v>
      </c>
      <c r="S26" s="704">
        <f t="shared" si="12"/>
        <v>100</v>
      </c>
      <c r="T26" s="703" t="s">
        <v>18</v>
      </c>
      <c r="U26" s="704">
        <f t="shared" si="13"/>
        <v>100</v>
      </c>
      <c r="V26" s="703" t="s">
        <v>18</v>
      </c>
      <c r="W26" s="704">
        <f t="shared" si="14"/>
        <v>100</v>
      </c>
      <c r="X26" s="1353"/>
      <c r="Y26" s="3750"/>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4"/>
      <c r="M27" s="2715"/>
      <c r="N27" s="2715"/>
      <c r="O27" s="2715"/>
      <c r="P27" s="3757"/>
      <c r="Q27" s="1341">
        <f t="shared" si="11"/>
        <v>111</v>
      </c>
      <c r="R27" s="699" t="s">
        <v>18</v>
      </c>
      <c r="S27" s="700">
        <f t="shared" si="12"/>
        <v>100</v>
      </c>
      <c r="T27" s="699" t="s">
        <v>18</v>
      </c>
      <c r="U27" s="700">
        <f t="shared" si="13"/>
        <v>100</v>
      </c>
      <c r="V27" s="699" t="s">
        <v>18</v>
      </c>
      <c r="W27" s="700">
        <f t="shared" si="14"/>
        <v>100</v>
      </c>
      <c r="X27" s="701"/>
      <c r="Y27" s="3750"/>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9"/>
      <c r="M28" s="2713"/>
      <c r="N28" s="2713"/>
      <c r="O28" s="2713"/>
      <c r="P28" s="3757"/>
      <c r="Q28" s="1350">
        <f t="shared" si="11"/>
        <v>111</v>
      </c>
      <c r="R28" s="703" t="s">
        <v>18</v>
      </c>
      <c r="S28" s="704">
        <f t="shared" si="12"/>
        <v>100</v>
      </c>
      <c r="T28" s="703" t="s">
        <v>18</v>
      </c>
      <c r="U28" s="704">
        <f t="shared" si="13"/>
        <v>100</v>
      </c>
      <c r="V28" s="703" t="s">
        <v>18</v>
      </c>
      <c r="W28" s="704">
        <f t="shared" si="14"/>
        <v>100</v>
      </c>
      <c r="X28" s="1353"/>
      <c r="Y28" s="3750"/>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9"/>
      <c r="M29" s="2713"/>
      <c r="N29" s="2713"/>
      <c r="O29" s="2713"/>
      <c r="P29" s="3757"/>
      <c r="Q29" s="1350">
        <f t="shared" si="11"/>
        <v>111</v>
      </c>
      <c r="R29" s="703" t="s">
        <v>18</v>
      </c>
      <c r="S29" s="704">
        <f t="shared" si="12"/>
        <v>100</v>
      </c>
      <c r="T29" s="703" t="s">
        <v>18</v>
      </c>
      <c r="U29" s="704">
        <f t="shared" si="13"/>
        <v>100</v>
      </c>
      <c r="V29" s="703" t="s">
        <v>18</v>
      </c>
      <c r="W29" s="704">
        <f t="shared" si="14"/>
        <v>100</v>
      </c>
      <c r="X29" s="1353"/>
      <c r="Y29" s="3750"/>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9"/>
      <c r="M30" s="2713"/>
      <c r="N30" s="2713"/>
      <c r="O30" s="2713"/>
      <c r="P30" s="3757"/>
      <c r="Q30" s="1350">
        <f t="shared" si="11"/>
        <v>111</v>
      </c>
      <c r="R30" s="703" t="s">
        <v>18</v>
      </c>
      <c r="S30" s="704">
        <f t="shared" si="12"/>
        <v>100</v>
      </c>
      <c r="T30" s="703" t="s">
        <v>18</v>
      </c>
      <c r="U30" s="704">
        <f t="shared" si="13"/>
        <v>100</v>
      </c>
      <c r="V30" s="703" t="s">
        <v>18</v>
      </c>
      <c r="W30" s="704">
        <f t="shared" si="14"/>
        <v>100</v>
      </c>
      <c r="X30" s="1353"/>
      <c r="Y30" s="3750"/>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9"/>
      <c r="M31" s="2713"/>
      <c r="N31" s="2713"/>
      <c r="O31" s="2713"/>
      <c r="P31" s="3757"/>
      <c r="Q31" s="1350">
        <f t="shared" si="11"/>
        <v>111</v>
      </c>
      <c r="R31" s="703" t="s">
        <v>18</v>
      </c>
      <c r="S31" s="704">
        <f t="shared" si="12"/>
        <v>100</v>
      </c>
      <c r="T31" s="703" t="s">
        <v>18</v>
      </c>
      <c r="U31" s="704">
        <f t="shared" si="13"/>
        <v>100</v>
      </c>
      <c r="V31" s="703" t="s">
        <v>18</v>
      </c>
      <c r="W31" s="704">
        <f t="shared" si="14"/>
        <v>100</v>
      </c>
      <c r="X31" s="1353"/>
      <c r="Y31" s="3750"/>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9"/>
      <c r="M32" s="2713"/>
      <c r="N32" s="2713"/>
      <c r="O32" s="2713"/>
      <c r="P32" s="3751" t="s">
        <v>1696</v>
      </c>
      <c r="Q32" s="1350" t="str">
        <f t="shared" si="11"/>
        <v>建筑类型</v>
      </c>
      <c r="R32" s="703" t="s">
        <v>18</v>
      </c>
      <c r="S32" s="704">
        <f t="shared" si="12"/>
        <v>100</v>
      </c>
      <c r="T32" s="703" t="s">
        <v>18</v>
      </c>
      <c r="U32" s="704">
        <f t="shared" si="13"/>
        <v>100</v>
      </c>
      <c r="V32" s="703" t="s">
        <v>18</v>
      </c>
      <c r="W32" s="704">
        <f t="shared" si="14"/>
        <v>100</v>
      </c>
      <c r="X32" s="1353"/>
      <c r="Y32" s="3754" t="s">
        <v>1696</v>
      </c>
      <c r="Z32" s="1354" t="str">
        <f t="shared" si="18"/>
        <v>建筑类型</v>
      </c>
      <c r="AA32" s="1351">
        <f t="shared" si="15"/>
        <v>1</v>
      </c>
      <c r="AB32" s="1351">
        <f t="shared" si="16"/>
        <v>1</v>
      </c>
      <c r="AC32" s="1351">
        <f t="shared" si="17"/>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9"/>
      <c r="J33" s="126" t="e">
        <f>LOOKUP(I33,103:103,104:104)-LOOKUP(C33,103:103,104:104)+100</f>
        <v>#N/A</v>
      </c>
      <c r="K33" s="1892"/>
      <c r="L33" s="2718"/>
      <c r="M33" s="2720"/>
      <c r="N33" s="2720"/>
      <c r="O33" s="2720"/>
      <c r="P33" s="3752"/>
      <c r="Q33" s="705" t="str">
        <f t="shared" si="11"/>
        <v>项目建筑规模</v>
      </c>
      <c r="R33" s="706" t="s">
        <v>18</v>
      </c>
      <c r="S33" s="707" t="e">
        <f t="shared" si="12"/>
        <v>#N/A</v>
      </c>
      <c r="T33" s="706" t="s">
        <v>18</v>
      </c>
      <c r="U33" s="707" t="e">
        <f t="shared" si="13"/>
        <v>#N/A</v>
      </c>
      <c r="V33" s="706" t="s">
        <v>18</v>
      </c>
      <c r="W33" s="707" t="e">
        <f t="shared" si="14"/>
        <v>#N/A</v>
      </c>
      <c r="X33" s="708"/>
      <c r="Y33" s="3754"/>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9"/>
      <c r="M34" s="2713"/>
      <c r="N34" s="2713"/>
      <c r="O34" s="2713"/>
      <c r="P34" s="3752"/>
      <c r="Q34" s="1350" t="str">
        <f t="shared" si="11"/>
        <v>建筑结构</v>
      </c>
      <c r="R34" s="703" t="s">
        <v>18</v>
      </c>
      <c r="S34" s="704">
        <f t="shared" si="12"/>
        <v>100</v>
      </c>
      <c r="T34" s="703" t="s">
        <v>18</v>
      </c>
      <c r="U34" s="704">
        <f t="shared" si="13"/>
        <v>100</v>
      </c>
      <c r="V34" s="703" t="s">
        <v>18</v>
      </c>
      <c r="W34" s="704">
        <f t="shared" si="14"/>
        <v>100</v>
      </c>
      <c r="X34" s="1353"/>
      <c r="Y34" s="3754"/>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9"/>
      <c r="M35" s="2713"/>
      <c r="N35" s="2713"/>
      <c r="O35" s="2713"/>
      <c r="P35" s="3752"/>
      <c r="Q35" s="1350" t="str">
        <f t="shared" si="11"/>
        <v>建筑品质</v>
      </c>
      <c r="R35" s="703" t="s">
        <v>18</v>
      </c>
      <c r="S35" s="704">
        <f t="shared" si="12"/>
        <v>100</v>
      </c>
      <c r="T35" s="703" t="s">
        <v>18</v>
      </c>
      <c r="U35" s="704">
        <f t="shared" si="13"/>
        <v>100</v>
      </c>
      <c r="V35" s="703" t="s">
        <v>18</v>
      </c>
      <c r="W35" s="704">
        <f t="shared" si="14"/>
        <v>100</v>
      </c>
      <c r="X35" s="1353"/>
      <c r="Y35" s="3754"/>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9"/>
      <c r="M36" s="2713"/>
      <c r="N36" s="2713"/>
      <c r="O36" s="2713"/>
      <c r="P36" s="3752"/>
      <c r="Q36" s="1350" t="str">
        <f t="shared" si="11"/>
        <v>公共部分装修</v>
      </c>
      <c r="R36" s="703" t="s">
        <v>18</v>
      </c>
      <c r="S36" s="704">
        <f t="shared" si="12"/>
        <v>100</v>
      </c>
      <c r="T36" s="703" t="s">
        <v>18</v>
      </c>
      <c r="U36" s="704">
        <f t="shared" si="13"/>
        <v>100</v>
      </c>
      <c r="V36" s="703" t="s">
        <v>18</v>
      </c>
      <c r="W36" s="704">
        <f t="shared" si="14"/>
        <v>100</v>
      </c>
      <c r="X36" s="1353"/>
      <c r="Y36" s="3754"/>
      <c r="Z36" s="1354" t="str">
        <f t="shared" si="18"/>
        <v>公共部分装修</v>
      </c>
      <c r="AA36" s="1351">
        <f t="shared" si="15"/>
        <v>1</v>
      </c>
      <c r="AB36" s="1351">
        <f t="shared" si="16"/>
        <v>1</v>
      </c>
      <c r="AC36" s="1351">
        <f t="shared" si="17"/>
        <v>1</v>
      </c>
    </row>
    <row r="37" spans="1:29" s="107" customFormat="1" ht="15">
      <c r="A37" s="422"/>
      <c r="B37" s="373" t="s">
        <v>1701</v>
      </c>
      <c r="C37" s="423"/>
      <c r="D37" s="126">
        <v>100</v>
      </c>
      <c r="E37" s="423"/>
      <c r="F37" s="374" t="e">
        <f>LOOKUP(E37,112:112,113:113)-LOOKUP(C37,112:112,113:113)+100</f>
        <v>#N/A</v>
      </c>
      <c r="G37" s="425"/>
      <c r="H37" s="126" t="e">
        <f>LOOKUP(G37,112:112,113:113)-LOOKUP(C37,112:112,113:113)+100</f>
        <v>#N/A</v>
      </c>
      <c r="I37" s="424"/>
      <c r="J37" s="126" t="e">
        <f>LOOKUP(I37,112:112,113:113)-LOOKUP(C37,112:112,113:113)+100</f>
        <v>#N/A</v>
      </c>
      <c r="K37" s="375"/>
      <c r="L37" s="2714"/>
      <c r="M37" s="2715"/>
      <c r="N37" s="2715"/>
      <c r="O37" s="2715"/>
      <c r="P37" s="3752"/>
      <c r="Q37" s="1341" t="str">
        <f t="shared" si="11"/>
        <v>成新度</v>
      </c>
      <c r="R37" s="699" t="s">
        <v>18</v>
      </c>
      <c r="S37" s="700" t="e">
        <f t="shared" si="12"/>
        <v>#N/A</v>
      </c>
      <c r="T37" s="699" t="s">
        <v>18</v>
      </c>
      <c r="U37" s="700" t="e">
        <f t="shared" si="13"/>
        <v>#N/A</v>
      </c>
      <c r="V37" s="699" t="s">
        <v>18</v>
      </c>
      <c r="W37" s="700" t="e">
        <f t="shared" si="14"/>
        <v>#N/A</v>
      </c>
      <c r="X37" s="701"/>
      <c r="Y37" s="3754"/>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9"/>
      <c r="M38" s="2713"/>
      <c r="N38" s="2713"/>
      <c r="O38" s="2713"/>
      <c r="P38" s="3752" t="s">
        <v>1696</v>
      </c>
      <c r="Q38" s="1350" t="str">
        <f t="shared" si="11"/>
        <v>物业管理</v>
      </c>
      <c r="R38" s="703" t="s">
        <v>18</v>
      </c>
      <c r="S38" s="704">
        <f t="shared" si="12"/>
        <v>100</v>
      </c>
      <c r="T38" s="703" t="s">
        <v>18</v>
      </c>
      <c r="U38" s="704">
        <f t="shared" si="13"/>
        <v>100</v>
      </c>
      <c r="V38" s="703" t="s">
        <v>18</v>
      </c>
      <c r="W38" s="704">
        <f t="shared" si="14"/>
        <v>100</v>
      </c>
      <c r="X38" s="1353"/>
      <c r="Y38" s="3754"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9"/>
      <c r="M39" s="2713"/>
      <c r="N39" s="2713"/>
      <c r="O39" s="2713"/>
      <c r="P39" s="3752"/>
      <c r="Q39" s="1350" t="str">
        <f t="shared" si="11"/>
        <v>市政基础设施</v>
      </c>
      <c r="R39" s="703" t="s">
        <v>18</v>
      </c>
      <c r="S39" s="704">
        <f t="shared" si="12"/>
        <v>100</v>
      </c>
      <c r="T39" s="703" t="s">
        <v>18</v>
      </c>
      <c r="U39" s="704">
        <f t="shared" si="13"/>
        <v>100</v>
      </c>
      <c r="V39" s="703" t="s">
        <v>18</v>
      </c>
      <c r="W39" s="704">
        <f t="shared" si="14"/>
        <v>100</v>
      </c>
      <c r="X39" s="1353"/>
      <c r="Y39" s="3754"/>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9"/>
      <c r="M40" s="2713"/>
      <c r="N40" s="2713"/>
      <c r="O40" s="2713"/>
      <c r="P40" s="3752"/>
      <c r="Q40" s="1350" t="str">
        <f t="shared" si="11"/>
        <v>房型</v>
      </c>
      <c r="R40" s="703" t="s">
        <v>18</v>
      </c>
      <c r="S40" s="704">
        <f t="shared" si="12"/>
        <v>100</v>
      </c>
      <c r="T40" s="703" t="s">
        <v>18</v>
      </c>
      <c r="U40" s="704">
        <f t="shared" si="13"/>
        <v>100</v>
      </c>
      <c r="V40" s="703" t="s">
        <v>18</v>
      </c>
      <c r="W40" s="704">
        <f t="shared" si="14"/>
        <v>100</v>
      </c>
      <c r="X40" s="1353"/>
      <c r="Y40" s="3754"/>
      <c r="Z40" s="1354" t="str">
        <f t="shared" si="18"/>
        <v>房型</v>
      </c>
      <c r="AA40" s="1351">
        <f t="shared" si="15"/>
        <v>1</v>
      </c>
      <c r="AB40" s="1351">
        <f t="shared" si="16"/>
        <v>1</v>
      </c>
      <c r="AC40" s="1351">
        <f t="shared" si="17"/>
        <v>1</v>
      </c>
    </row>
    <row r="41" spans="1:29" s="420" customFormat="1" ht="28.5">
      <c r="A41" s="417"/>
      <c r="B41" s="373" t="s">
        <v>1705</v>
      </c>
      <c r="C41" s="418"/>
      <c r="D41" s="126">
        <v>100</v>
      </c>
      <c r="E41" s="379"/>
      <c r="F41" s="374">
        <f>SUMIF(120:120,E41,121:121)-SUMIF(120:120,C41,121:121)+100</f>
        <v>100</v>
      </c>
      <c r="G41" s="378"/>
      <c r="H41" s="126">
        <f>SUMIF(120:120,G41,121:121)-SUMIF(120:120,C41,121:121)+100</f>
        <v>100</v>
      </c>
      <c r="I41" s="426"/>
      <c r="J41" s="384">
        <f>SUMIF(120:120,I41,121:121)-SUMIF(120:120,C41,121:121)+100</f>
        <v>100</v>
      </c>
      <c r="K41" s="1892"/>
      <c r="L41" s="2718"/>
      <c r="M41" s="2720"/>
      <c r="N41" s="2720"/>
      <c r="O41" s="2720"/>
      <c r="P41" s="3752"/>
      <c r="Q41" s="705" t="str">
        <f t="shared" si="11"/>
        <v>单套/主力户型建筑面积</v>
      </c>
      <c r="R41" s="706" t="s">
        <v>18</v>
      </c>
      <c r="S41" s="707">
        <f t="shared" si="12"/>
        <v>100</v>
      </c>
      <c r="T41" s="706" t="s">
        <v>18</v>
      </c>
      <c r="U41" s="707">
        <f t="shared" si="13"/>
        <v>100</v>
      </c>
      <c r="V41" s="706" t="s">
        <v>18</v>
      </c>
      <c r="W41" s="707">
        <f t="shared" si="14"/>
        <v>100</v>
      </c>
      <c r="X41" s="708"/>
      <c r="Y41" s="3754"/>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9"/>
      <c r="M42" s="2713"/>
      <c r="N42" s="2713"/>
      <c r="O42" s="2713"/>
      <c r="P42" s="3752"/>
      <c r="Q42" s="1350" t="str">
        <f t="shared" si="11"/>
        <v>内部装修</v>
      </c>
      <c r="R42" s="703" t="s">
        <v>18</v>
      </c>
      <c r="S42" s="704">
        <f t="shared" si="12"/>
        <v>100</v>
      </c>
      <c r="T42" s="703" t="s">
        <v>18</v>
      </c>
      <c r="U42" s="704">
        <f t="shared" si="13"/>
        <v>100</v>
      </c>
      <c r="V42" s="703" t="s">
        <v>18</v>
      </c>
      <c r="W42" s="704">
        <f t="shared" si="14"/>
        <v>100</v>
      </c>
      <c r="X42" s="1353"/>
      <c r="Y42" s="3754"/>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9"/>
      <c r="M43" s="2713"/>
      <c r="N43" s="2713"/>
      <c r="O43" s="2713"/>
      <c r="P43" s="3752"/>
      <c r="Q43" s="1350" t="str">
        <f t="shared" si="11"/>
        <v>内部装修维护情况</v>
      </c>
      <c r="R43" s="703" t="s">
        <v>18</v>
      </c>
      <c r="S43" s="704">
        <f t="shared" si="12"/>
        <v>100</v>
      </c>
      <c r="T43" s="703" t="s">
        <v>18</v>
      </c>
      <c r="U43" s="704">
        <f t="shared" si="13"/>
        <v>100</v>
      </c>
      <c r="V43" s="703" t="s">
        <v>18</v>
      </c>
      <c r="W43" s="704">
        <f t="shared" si="14"/>
        <v>100</v>
      </c>
      <c r="X43" s="1353"/>
      <c r="Y43" s="3754"/>
      <c r="Z43" s="1354" t="str">
        <f t="shared" si="18"/>
        <v>内部装修维护情况</v>
      </c>
      <c r="AA43" s="1351">
        <f t="shared" si="15"/>
        <v>1</v>
      </c>
      <c r="AB43" s="1351">
        <f t="shared" si="16"/>
        <v>1</v>
      </c>
      <c r="AC43" s="1351">
        <f t="shared" si="17"/>
        <v>1</v>
      </c>
    </row>
    <row r="44" spans="1:29" s="107" customFormat="1" ht="15">
      <c r="A44" s="422"/>
      <c r="B44" s="1131">
        <v>111</v>
      </c>
      <c r="C44" s="418"/>
      <c r="D44" s="126">
        <v>100</v>
      </c>
      <c r="E44" s="418"/>
      <c r="F44" s="374">
        <f>SUMIF(126:126,E44,127:127)-SUMIF(126:126,C44,127:127)+100</f>
        <v>100</v>
      </c>
      <c r="G44" s="418"/>
      <c r="H44" s="126">
        <f>SUMIF(126:126,G44,127:127)-SUMIF(126:126,C44,127:127)+100</f>
        <v>100</v>
      </c>
      <c r="I44" s="418"/>
      <c r="J44" s="126">
        <f>SUMIF(126:126,I44,127:127)-SUMIF(126:126,C44,127:127)+100</f>
        <v>100</v>
      </c>
      <c r="K44" s="1892"/>
      <c r="L44" s="2714"/>
      <c r="M44" s="2715"/>
      <c r="N44" s="2715"/>
      <c r="O44" s="2715"/>
      <c r="P44" s="3752"/>
      <c r="Q44" s="1341">
        <f t="shared" si="11"/>
        <v>111</v>
      </c>
      <c r="R44" s="699" t="s">
        <v>18</v>
      </c>
      <c r="S44" s="700">
        <f t="shared" si="12"/>
        <v>100</v>
      </c>
      <c r="T44" s="699" t="s">
        <v>18</v>
      </c>
      <c r="U44" s="700">
        <f t="shared" si="13"/>
        <v>100</v>
      </c>
      <c r="V44" s="699" t="s">
        <v>18</v>
      </c>
      <c r="W44" s="700">
        <f t="shared" si="14"/>
        <v>100</v>
      </c>
      <c r="X44" s="701"/>
      <c r="Y44" s="3754"/>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9"/>
      <c r="M45" s="2713"/>
      <c r="N45" s="2713"/>
      <c r="O45" s="2713"/>
      <c r="P45" s="3752"/>
      <c r="Q45" s="1350">
        <f t="shared" si="11"/>
        <v>111</v>
      </c>
      <c r="R45" s="703" t="s">
        <v>18</v>
      </c>
      <c r="S45" s="704">
        <f t="shared" si="12"/>
        <v>100</v>
      </c>
      <c r="T45" s="703" t="s">
        <v>18</v>
      </c>
      <c r="U45" s="704">
        <f t="shared" si="13"/>
        <v>100</v>
      </c>
      <c r="V45" s="703" t="s">
        <v>18</v>
      </c>
      <c r="W45" s="704">
        <f t="shared" si="14"/>
        <v>100</v>
      </c>
      <c r="X45" s="1353"/>
      <c r="Y45" s="3754"/>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9"/>
      <c r="M46" s="2713"/>
      <c r="N46" s="2713"/>
      <c r="O46" s="2713"/>
      <c r="P46" s="3753"/>
      <c r="Q46" s="1350">
        <f t="shared" si="11"/>
        <v>111</v>
      </c>
      <c r="R46" s="703" t="s">
        <v>17</v>
      </c>
      <c r="S46" s="704">
        <f t="shared" si="12"/>
        <v>100</v>
      </c>
      <c r="T46" s="703" t="s">
        <v>17</v>
      </c>
      <c r="U46" s="704">
        <f t="shared" si="13"/>
        <v>100</v>
      </c>
      <c r="V46" s="703" t="s">
        <v>17</v>
      </c>
      <c r="W46" s="704">
        <f t="shared" si="14"/>
        <v>100</v>
      </c>
      <c r="X46" s="1353"/>
      <c r="Y46" s="3755"/>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1"/>
      <c r="M47" s="2722"/>
      <c r="N47" s="2713"/>
      <c r="O47" s="2722"/>
      <c r="P47" s="3747" t="str">
        <f>A47</f>
        <v>成交单价（元/平方米）</v>
      </c>
      <c r="Q47" s="3747"/>
      <c r="R47" s="3748">
        <f>E47</f>
        <v>0</v>
      </c>
      <c r="S47" s="3748"/>
      <c r="T47" s="3748">
        <f>G47</f>
        <v>0</v>
      </c>
      <c r="U47" s="3748"/>
      <c r="V47" s="3748">
        <f>I47</f>
        <v>0</v>
      </c>
      <c r="W47" s="3748"/>
      <c r="X47" s="688"/>
      <c r="Y47" s="710"/>
      <c r="Z47" s="688"/>
      <c r="AA47" s="688"/>
      <c r="AB47" s="688"/>
      <c r="AC47" s="688"/>
    </row>
    <row r="48" spans="1:29" ht="15.75" thickBot="1">
      <c r="A48" s="435" t="s">
        <v>1709</v>
      </c>
      <c r="B48" s="436"/>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1"/>
      <c r="M49" s="2722"/>
      <c r="N49" s="2722"/>
      <c r="O49" s="272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5"/>
    </row>
    <row r="55" spans="1:29" s="449"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119963.53</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3" t="s">
        <v>1769</v>
      </c>
      <c r="B4" s="354"/>
      <c r="C4" s="3730" t="s">
        <v>1770</v>
      </c>
      <c r="D4" s="3731"/>
      <c r="E4" s="3732" t="s">
        <v>1771</v>
      </c>
      <c r="F4" s="3733"/>
      <c r="G4" s="3730" t="s">
        <v>1772</v>
      </c>
      <c r="H4" s="3731"/>
      <c r="I4" s="3730" t="s">
        <v>1773</v>
      </c>
      <c r="J4" s="3731"/>
      <c r="K4" s="557" t="s">
        <v>1774</v>
      </c>
      <c r="L4" s="2712"/>
      <c r="M4" s="2713"/>
      <c r="N4" s="2713"/>
      <c r="O4" s="2713"/>
      <c r="P4" s="3734" t="s">
        <v>1775</v>
      </c>
      <c r="Q4" s="3735"/>
      <c r="R4" s="3717" t="s">
        <v>1771</v>
      </c>
      <c r="S4" s="3718"/>
      <c r="T4" s="3717" t="s">
        <v>1772</v>
      </c>
      <c r="U4" s="3718"/>
      <c r="V4" s="3742" t="s">
        <v>1773</v>
      </c>
      <c r="W4" s="3742"/>
      <c r="X4" s="1353"/>
      <c r="Y4" s="3717" t="s">
        <v>1775</v>
      </c>
      <c r="Z4" s="3718"/>
      <c r="AA4" s="3712" t="s">
        <v>1771</v>
      </c>
      <c r="AB4" s="3742" t="s">
        <v>1772</v>
      </c>
      <c r="AC4" s="3712" t="s">
        <v>1773</v>
      </c>
    </row>
    <row r="5" spans="1:29" ht="15">
      <c r="A5" s="356"/>
      <c r="B5" s="357"/>
      <c r="C5" s="3723" t="s">
        <v>1673</v>
      </c>
      <c r="D5" s="3724"/>
      <c r="E5" s="3721" t="s">
        <v>1674</v>
      </c>
      <c r="F5" s="3722"/>
      <c r="G5" s="3723" t="s">
        <v>1675</v>
      </c>
      <c r="H5" s="3724"/>
      <c r="I5" s="3723" t="s">
        <v>1676</v>
      </c>
      <c r="J5" s="3724"/>
      <c r="K5" s="557"/>
      <c r="L5" s="2712"/>
      <c r="M5" s="2713"/>
      <c r="N5" s="2713"/>
      <c r="O5" s="2713"/>
      <c r="P5" s="3736"/>
      <c r="Q5" s="3737"/>
      <c r="R5" s="3719"/>
      <c r="S5" s="3720"/>
      <c r="T5" s="3719"/>
      <c r="U5" s="3720"/>
      <c r="V5" s="3742"/>
      <c r="W5" s="3742"/>
      <c r="X5" s="1353"/>
      <c r="Y5" s="3719"/>
      <c r="Z5" s="3720"/>
      <c r="AA5" s="3713"/>
      <c r="AB5" s="3742"/>
      <c r="AC5" s="3713"/>
    </row>
    <row r="6" spans="1:29" ht="15.75" thickBot="1">
      <c r="A6" s="358"/>
      <c r="B6" s="359"/>
      <c r="C6" s="3725" t="s">
        <v>1677</v>
      </c>
      <c r="D6" s="3726"/>
      <c r="E6" s="3727" t="s">
        <v>1677</v>
      </c>
      <c r="F6" s="3728"/>
      <c r="G6" s="3725" t="s">
        <v>1677</v>
      </c>
      <c r="H6" s="3726"/>
      <c r="I6" s="3725" t="s">
        <v>1677</v>
      </c>
      <c r="J6" s="3726"/>
      <c r="K6" s="557" t="s">
        <v>1678</v>
      </c>
      <c r="L6" s="2712"/>
      <c r="M6" s="2713"/>
      <c r="N6" s="2713"/>
      <c r="O6" s="2713"/>
      <c r="P6" s="3738"/>
      <c r="Q6" s="3739"/>
      <c r="R6" s="3719"/>
      <c r="S6" s="3720"/>
      <c r="T6" s="3740"/>
      <c r="U6" s="3741"/>
      <c r="V6" s="3742"/>
      <c r="W6" s="3742"/>
      <c r="X6" s="1353"/>
      <c r="Y6" s="3740"/>
      <c r="Z6" s="3741"/>
      <c r="AA6" s="3714"/>
      <c r="AB6" s="3742"/>
      <c r="AC6" s="3714"/>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558"/>
      <c r="L7" s="2714"/>
      <c r="M7" s="2715"/>
      <c r="N7" s="2715"/>
      <c r="O7" s="2715"/>
      <c r="P7" s="3715" t="s">
        <v>1680</v>
      </c>
      <c r="Q7" s="3743"/>
      <c r="R7" s="699" t="s">
        <v>14</v>
      </c>
      <c r="S7" s="700">
        <f t="shared" ref="S7:S15" si="0">F7</f>
        <v>0</v>
      </c>
      <c r="T7" s="699" t="s">
        <v>14</v>
      </c>
      <c r="U7" s="700">
        <f t="shared" ref="U7:U15" si="1">H7</f>
        <v>0</v>
      </c>
      <c r="V7" s="699" t="s">
        <v>14</v>
      </c>
      <c r="W7" s="700">
        <f t="shared" ref="W7:W15" si="2">J7</f>
        <v>0</v>
      </c>
      <c r="X7" s="701"/>
      <c r="Y7" s="3715" t="s">
        <v>1680</v>
      </c>
      <c r="Z7" s="3716"/>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4"/>
      <c r="M8" s="2715"/>
      <c r="N8" s="2715"/>
      <c r="O8" s="2715"/>
      <c r="P8" s="3715" t="s">
        <v>1683</v>
      </c>
      <c r="Q8" s="3716"/>
      <c r="R8" s="699" t="s">
        <v>14</v>
      </c>
      <c r="S8" s="700">
        <f t="shared" si="0"/>
        <v>100</v>
      </c>
      <c r="T8" s="699" t="s">
        <v>14</v>
      </c>
      <c r="U8" s="700">
        <f t="shared" si="1"/>
        <v>100</v>
      </c>
      <c r="V8" s="699" t="s">
        <v>14</v>
      </c>
      <c r="W8" s="700">
        <f t="shared" si="2"/>
        <v>100</v>
      </c>
      <c r="X8" s="701"/>
      <c r="Y8" s="3715" t="s">
        <v>1683</v>
      </c>
      <c r="Z8" s="3716"/>
      <c r="AA8" s="702">
        <f t="shared" ref="AA8:AA46" si="3">D8/F8</f>
        <v>1</v>
      </c>
      <c r="AB8" s="702">
        <f t="shared" ref="AB8:AB46" si="4">D8/H8</f>
        <v>1</v>
      </c>
      <c r="AC8" s="702">
        <f t="shared" ref="AC8:AC46" si="5">D8/J8</f>
        <v>1</v>
      </c>
    </row>
    <row r="9" spans="1:29" s="107" customFormat="1">
      <c r="A9" s="367" t="s">
        <v>1684</v>
      </c>
      <c r="B9" s="63" t="s">
        <v>1685</v>
      </c>
      <c r="C9" s="368"/>
      <c r="D9" s="125">
        <v>100</v>
      </c>
      <c r="E9" s="369"/>
      <c r="F9" s="370">
        <f>SUMIF(63:63,E9,64:64)-SUMIF(63:63,C9,64:64)+100</f>
        <v>100</v>
      </c>
      <c r="G9" s="369"/>
      <c r="H9" s="125">
        <f>SUMIF(63:63,G9,64:64)-SUMIF(63:63,C9,64:64)+100</f>
        <v>100</v>
      </c>
      <c r="I9" s="369"/>
      <c r="J9" s="125">
        <f>SUMIF(63:63,I9,64:64)-SUMIF(63:63,C9,64:64)+100</f>
        <v>100</v>
      </c>
      <c r="K9" s="558"/>
      <c r="L9" s="2714"/>
      <c r="M9" s="2715"/>
      <c r="N9" s="2715"/>
      <c r="O9" s="2715"/>
      <c r="P9" s="3729" t="s">
        <v>1686</v>
      </c>
      <c r="Q9" s="1341"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558"/>
      <c r="L10" s="2716"/>
      <c r="M10" s="2717"/>
      <c r="N10" s="2717"/>
      <c r="O10" s="2717"/>
      <c r="P10" s="3729"/>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559"/>
      <c r="L11" s="2718"/>
      <c r="M11" s="2713"/>
      <c r="N11" s="2713"/>
      <c r="O11" s="2713"/>
      <c r="P11" s="3729"/>
      <c r="Q11" s="1341"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6">
        <f>SUMIF(70:70,G12,71:71)-SUMIF(70:70,C12,71:71)+100</f>
        <v>100</v>
      </c>
      <c r="I12" s="383"/>
      <c r="J12" s="126">
        <f>SUMIF(70:70,I12,71:71)-SUMIF(70:70,C12,71:71)+100</f>
        <v>100</v>
      </c>
      <c r="K12" s="560"/>
      <c r="L12" s="2714"/>
      <c r="M12" s="2715"/>
      <c r="N12" s="2715"/>
      <c r="O12" s="2715"/>
      <c r="P12" s="3729"/>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729"/>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729"/>
      <c r="Q14" s="1341">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15">
      <c r="A15" s="389" t="s">
        <v>1690</v>
      </c>
      <c r="B15" s="61" t="s">
        <v>1777</v>
      </c>
      <c r="C15" s="1894">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756" t="s">
        <v>1691</v>
      </c>
      <c r="Q15" s="1350" t="str">
        <f t="shared" si="6"/>
        <v>商业繁华度</v>
      </c>
      <c r="R15" s="703" t="s">
        <v>14</v>
      </c>
      <c r="S15" s="704">
        <f t="shared" si="0"/>
        <v>100</v>
      </c>
      <c r="T15" s="703" t="s">
        <v>14</v>
      </c>
      <c r="U15" s="704">
        <f t="shared" si="1"/>
        <v>100</v>
      </c>
      <c r="V15" s="703" t="s">
        <v>14</v>
      </c>
      <c r="W15" s="704">
        <f t="shared" si="2"/>
        <v>100</v>
      </c>
      <c r="X15" s="1353"/>
      <c r="Y15" s="3749"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9"/>
      <c r="M16" s="2713"/>
      <c r="N16" s="2713"/>
      <c r="O16" s="2713"/>
      <c r="P16" s="3757"/>
      <c r="Q16" s="1350"/>
      <c r="R16" s="703"/>
      <c r="S16" s="704"/>
      <c r="T16" s="703"/>
      <c r="U16" s="704"/>
      <c r="V16" s="703"/>
      <c r="W16" s="704"/>
      <c r="X16" s="1353"/>
      <c r="Y16" s="3750"/>
      <c r="Z16" s="1354"/>
      <c r="AA16" s="1351">
        <v>1</v>
      </c>
      <c r="AB16" s="1351">
        <v>1</v>
      </c>
      <c r="AC16" s="1351">
        <v>1</v>
      </c>
    </row>
    <row r="17" spans="1:29" ht="15">
      <c r="A17" s="377"/>
      <c r="B17" s="400" t="s">
        <v>1259</v>
      </c>
      <c r="C17" s="1898">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757"/>
      <c r="Q17" s="1350" t="str">
        <f>B17</f>
        <v>交通便捷度</v>
      </c>
      <c r="R17" s="703" t="s">
        <v>14</v>
      </c>
      <c r="S17" s="704">
        <f>F17</f>
        <v>100</v>
      </c>
      <c r="T17" s="703" t="s">
        <v>14</v>
      </c>
      <c r="U17" s="704">
        <f>H17</f>
        <v>100</v>
      </c>
      <c r="V17" s="703" t="s">
        <v>14</v>
      </c>
      <c r="W17" s="704">
        <f>J17</f>
        <v>100</v>
      </c>
      <c r="X17" s="1353"/>
      <c r="Y17" s="3750"/>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9"/>
      <c r="M18" s="2713"/>
      <c r="N18" s="2713"/>
      <c r="O18" s="2713"/>
      <c r="P18" s="3757"/>
      <c r="Q18" s="1350"/>
      <c r="R18" s="703"/>
      <c r="S18" s="704"/>
      <c r="T18" s="703"/>
      <c r="U18" s="704"/>
      <c r="V18" s="703"/>
      <c r="W18" s="704"/>
      <c r="X18" s="1353"/>
      <c r="Y18" s="3750"/>
      <c r="Z18" s="1354"/>
      <c r="AA18" s="1351">
        <v>1</v>
      </c>
      <c r="AB18" s="1351">
        <v>1</v>
      </c>
      <c r="AC18" s="1351">
        <v>1</v>
      </c>
    </row>
    <row r="19" spans="1:29" ht="15">
      <c r="A19" s="377"/>
      <c r="B19" s="400" t="s">
        <v>1778</v>
      </c>
      <c r="C19" s="1898">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757"/>
      <c r="Q19" s="1350" t="str">
        <f>B19</f>
        <v>公共配套设施</v>
      </c>
      <c r="R19" s="703" t="s">
        <v>14</v>
      </c>
      <c r="S19" s="704">
        <f>F19</f>
        <v>100</v>
      </c>
      <c r="T19" s="703" t="s">
        <v>14</v>
      </c>
      <c r="U19" s="704">
        <f>H19</f>
        <v>100</v>
      </c>
      <c r="V19" s="703" t="s">
        <v>14</v>
      </c>
      <c r="W19" s="704">
        <f>J19</f>
        <v>100</v>
      </c>
      <c r="X19" s="1353"/>
      <c r="Y19" s="3750"/>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9"/>
      <c r="M20" s="2713"/>
      <c r="N20" s="2713"/>
      <c r="O20" s="2713"/>
      <c r="P20" s="3757"/>
      <c r="Q20" s="1350"/>
      <c r="R20" s="703"/>
      <c r="S20" s="704"/>
      <c r="T20" s="703"/>
      <c r="U20" s="704"/>
      <c r="V20" s="703"/>
      <c r="W20" s="704"/>
      <c r="X20" s="1353"/>
      <c r="Y20" s="3750"/>
      <c r="Z20" s="1354"/>
      <c r="AA20" s="1351">
        <v>1</v>
      </c>
      <c r="AB20" s="1351">
        <v>1</v>
      </c>
      <c r="AC20" s="1351">
        <v>1</v>
      </c>
    </row>
    <row r="21" spans="1:29" ht="15">
      <c r="A21" s="377"/>
      <c r="B21" s="1129" t="s">
        <v>1779</v>
      </c>
      <c r="C21" s="1898">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757"/>
      <c r="Q21" s="1350" t="str">
        <f>B21</f>
        <v>基础设施水平</v>
      </c>
      <c r="R21" s="703" t="s">
        <v>14</v>
      </c>
      <c r="S21" s="704">
        <f>F21</f>
        <v>100</v>
      </c>
      <c r="T21" s="703" t="s">
        <v>14</v>
      </c>
      <c r="U21" s="704">
        <f>H21</f>
        <v>100</v>
      </c>
      <c r="V21" s="703" t="s">
        <v>14</v>
      </c>
      <c r="W21" s="704">
        <f>J21</f>
        <v>100</v>
      </c>
      <c r="X21" s="1353"/>
      <c r="Y21" s="3750"/>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9"/>
      <c r="M22" s="2713"/>
      <c r="N22" s="2713"/>
      <c r="O22" s="2713"/>
      <c r="P22" s="3757"/>
      <c r="Q22" s="1350"/>
      <c r="R22" s="703"/>
      <c r="S22" s="704"/>
      <c r="T22" s="703"/>
      <c r="U22" s="704"/>
      <c r="V22" s="703"/>
      <c r="W22" s="704"/>
      <c r="X22" s="1353"/>
      <c r="Y22" s="3750"/>
      <c r="Z22" s="1354"/>
      <c r="AA22" s="1351">
        <v>1</v>
      </c>
      <c r="AB22" s="1351">
        <v>1</v>
      </c>
      <c r="AC22" s="1351">
        <v>1</v>
      </c>
    </row>
    <row r="23" spans="1:29" ht="15">
      <c r="A23" s="377"/>
      <c r="B23" s="400" t="s">
        <v>1261</v>
      </c>
      <c r="C23" s="1953">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757"/>
      <c r="Q23" s="1350" t="str">
        <f>B23</f>
        <v>自然及人文环境</v>
      </c>
      <c r="R23" s="703" t="s">
        <v>14</v>
      </c>
      <c r="S23" s="704">
        <f>F23</f>
        <v>100</v>
      </c>
      <c r="T23" s="703" t="s">
        <v>14</v>
      </c>
      <c r="U23" s="704">
        <f>H23</f>
        <v>100</v>
      </c>
      <c r="V23" s="703" t="s">
        <v>14</v>
      </c>
      <c r="W23" s="704">
        <f>J23</f>
        <v>100</v>
      </c>
      <c r="X23" s="1353"/>
      <c r="Y23" s="3750"/>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9"/>
      <c r="M24" s="2713"/>
      <c r="N24" s="2713"/>
      <c r="O24" s="2713"/>
      <c r="P24" s="3757"/>
      <c r="Q24" s="1350"/>
      <c r="R24" s="703"/>
      <c r="S24" s="704"/>
      <c r="T24" s="703"/>
      <c r="U24" s="704"/>
      <c r="V24" s="703"/>
      <c r="W24" s="704"/>
      <c r="X24" s="1353"/>
      <c r="Y24" s="3750"/>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757"/>
      <c r="Q25" s="1350" t="str">
        <f t="shared" ref="Q25:Q46" si="11">B25</f>
        <v>临街状况</v>
      </c>
      <c r="R25" s="703" t="s">
        <v>14</v>
      </c>
      <c r="S25" s="704">
        <f>F25</f>
        <v>100</v>
      </c>
      <c r="T25" s="703" t="s">
        <v>14</v>
      </c>
      <c r="U25" s="704">
        <f>H25</f>
        <v>100</v>
      </c>
      <c r="V25" s="703" t="s">
        <v>14</v>
      </c>
      <c r="W25" s="704">
        <f>J25</f>
        <v>100</v>
      </c>
      <c r="X25" s="1353"/>
      <c r="Y25" s="3750"/>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757"/>
      <c r="Q26" s="1350" t="str">
        <f t="shared" si="11"/>
        <v>平面位置/可视性</v>
      </c>
      <c r="R26" s="703" t="s">
        <v>14</v>
      </c>
      <c r="S26" s="704">
        <f>F26</f>
        <v>100</v>
      </c>
      <c r="T26" s="703" t="s">
        <v>14</v>
      </c>
      <c r="U26" s="704">
        <f>H26</f>
        <v>100</v>
      </c>
      <c r="V26" s="703" t="s">
        <v>14</v>
      </c>
      <c r="W26" s="704">
        <f>J26</f>
        <v>100</v>
      </c>
      <c r="X26" s="1353"/>
      <c r="Y26" s="3750"/>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4"/>
      <c r="M27" s="2715"/>
      <c r="N27" s="2715"/>
      <c r="O27" s="2715"/>
      <c r="P27" s="3757"/>
      <c r="Q27" s="1341" t="str">
        <f t="shared" si="11"/>
        <v>人流量</v>
      </c>
      <c r="R27" s="699" t="s">
        <v>14</v>
      </c>
      <c r="S27" s="700">
        <f>F27</f>
        <v>100</v>
      </c>
      <c r="T27" s="699" t="s">
        <v>14</v>
      </c>
      <c r="U27" s="700">
        <f>H27</f>
        <v>100</v>
      </c>
      <c r="V27" s="699" t="s">
        <v>14</v>
      </c>
      <c r="W27" s="700">
        <f>J27</f>
        <v>100</v>
      </c>
      <c r="X27" s="701"/>
      <c r="Y27" s="3750"/>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7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50"/>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757"/>
      <c r="Q29" s="1350">
        <f t="shared" si="11"/>
        <v>111</v>
      </c>
      <c r="R29" s="703" t="s">
        <v>14</v>
      </c>
      <c r="S29" s="704">
        <f t="shared" si="12"/>
        <v>100</v>
      </c>
      <c r="T29" s="703" t="s">
        <v>14</v>
      </c>
      <c r="U29" s="704">
        <f t="shared" si="13"/>
        <v>100</v>
      </c>
      <c r="V29" s="703" t="s">
        <v>14</v>
      </c>
      <c r="W29" s="704">
        <f t="shared" si="14"/>
        <v>100</v>
      </c>
      <c r="X29" s="1353"/>
      <c r="Y29" s="3750"/>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757"/>
      <c r="Q30" s="1350">
        <f t="shared" si="11"/>
        <v>111</v>
      </c>
      <c r="R30" s="703" t="s">
        <v>14</v>
      </c>
      <c r="S30" s="704">
        <f t="shared" si="12"/>
        <v>100</v>
      </c>
      <c r="T30" s="703" t="s">
        <v>14</v>
      </c>
      <c r="U30" s="704">
        <f t="shared" si="13"/>
        <v>100</v>
      </c>
      <c r="V30" s="703" t="s">
        <v>14</v>
      </c>
      <c r="W30" s="704">
        <f t="shared" si="14"/>
        <v>100</v>
      </c>
      <c r="X30" s="1353"/>
      <c r="Y30" s="3750"/>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757"/>
      <c r="Q31" s="1350">
        <f t="shared" si="11"/>
        <v>111</v>
      </c>
      <c r="R31" s="703" t="s">
        <v>14</v>
      </c>
      <c r="S31" s="704">
        <f t="shared" si="12"/>
        <v>100</v>
      </c>
      <c r="T31" s="703" t="s">
        <v>14</v>
      </c>
      <c r="U31" s="704">
        <f t="shared" si="13"/>
        <v>100</v>
      </c>
      <c r="V31" s="703" t="s">
        <v>14</v>
      </c>
      <c r="W31" s="704">
        <f t="shared" si="14"/>
        <v>100</v>
      </c>
      <c r="X31" s="1353"/>
      <c r="Y31" s="3750"/>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9"/>
      <c r="M32" s="2713"/>
      <c r="N32" s="2713"/>
      <c r="O32" s="2713"/>
      <c r="P32" s="3751" t="s">
        <v>1696</v>
      </c>
      <c r="Q32" s="1350" t="str">
        <f t="shared" si="11"/>
        <v>商业类型</v>
      </c>
      <c r="R32" s="703" t="s">
        <v>14</v>
      </c>
      <c r="S32" s="704">
        <f t="shared" si="12"/>
        <v>100</v>
      </c>
      <c r="T32" s="703" t="s">
        <v>14</v>
      </c>
      <c r="U32" s="704">
        <f t="shared" si="13"/>
        <v>100</v>
      </c>
      <c r="V32" s="703" t="s">
        <v>14</v>
      </c>
      <c r="W32" s="704">
        <f t="shared" si="14"/>
        <v>100</v>
      </c>
      <c r="X32" s="1353"/>
      <c r="Y32" s="3754" t="s">
        <v>1696</v>
      </c>
      <c r="Z32" s="1354" t="str">
        <f t="shared" si="15"/>
        <v>商业类型</v>
      </c>
      <c r="AA32" s="1351">
        <f t="shared" si="3"/>
        <v>1</v>
      </c>
      <c r="AB32" s="1351">
        <f t="shared" si="4"/>
        <v>1</v>
      </c>
      <c r="AC32" s="1351">
        <f t="shared" si="5"/>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8"/>
      <c r="J33" s="126" t="e">
        <f>LOOKUP(I33,103:103,104:104)-LOOKUP(C33,103:103,104:104)+100</f>
        <v>#N/A</v>
      </c>
      <c r="K33" s="560"/>
      <c r="L33" s="2718"/>
      <c r="M33" s="2720"/>
      <c r="N33" s="2720"/>
      <c r="O33" s="2720"/>
      <c r="P33" s="3752"/>
      <c r="Q33" s="705" t="str">
        <f t="shared" si="11"/>
        <v>项目建筑规模</v>
      </c>
      <c r="R33" s="706" t="s">
        <v>14</v>
      </c>
      <c r="S33" s="707" t="e">
        <f t="shared" si="12"/>
        <v>#N/A</v>
      </c>
      <c r="T33" s="706" t="s">
        <v>14</v>
      </c>
      <c r="U33" s="707" t="e">
        <f t="shared" si="13"/>
        <v>#N/A</v>
      </c>
      <c r="V33" s="706" t="s">
        <v>14</v>
      </c>
      <c r="W33" s="707" t="e">
        <f t="shared" si="14"/>
        <v>#N/A</v>
      </c>
      <c r="X33" s="708"/>
      <c r="Y33" s="3754"/>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9"/>
      <c r="M34" s="2713"/>
      <c r="N34" s="2713"/>
      <c r="O34" s="2713"/>
      <c r="P34" s="3752"/>
      <c r="Q34" s="1350" t="str">
        <f t="shared" si="11"/>
        <v>建筑结构</v>
      </c>
      <c r="R34" s="703" t="s">
        <v>14</v>
      </c>
      <c r="S34" s="704">
        <f t="shared" si="12"/>
        <v>100</v>
      </c>
      <c r="T34" s="703" t="s">
        <v>14</v>
      </c>
      <c r="U34" s="704">
        <f t="shared" si="13"/>
        <v>100</v>
      </c>
      <c r="V34" s="703" t="s">
        <v>14</v>
      </c>
      <c r="W34" s="704">
        <f t="shared" si="14"/>
        <v>100</v>
      </c>
      <c r="X34" s="1353"/>
      <c r="Y34" s="3754"/>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9"/>
      <c r="M35" s="2713"/>
      <c r="N35" s="2713"/>
      <c r="O35" s="2713"/>
      <c r="P35" s="3752"/>
      <c r="Q35" s="1350" t="str">
        <f t="shared" si="11"/>
        <v>公共部分装修</v>
      </c>
      <c r="R35" s="703" t="s">
        <v>14</v>
      </c>
      <c r="S35" s="704">
        <f t="shared" si="12"/>
        <v>100</v>
      </c>
      <c r="T35" s="703" t="s">
        <v>14</v>
      </c>
      <c r="U35" s="704">
        <f t="shared" si="13"/>
        <v>100</v>
      </c>
      <c r="V35" s="703" t="s">
        <v>14</v>
      </c>
      <c r="W35" s="704">
        <f t="shared" si="14"/>
        <v>100</v>
      </c>
      <c r="X35" s="1353"/>
      <c r="Y35" s="3754"/>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9"/>
      <c r="M36" s="2713"/>
      <c r="N36" s="2713"/>
      <c r="O36" s="2713"/>
      <c r="P36" s="3752"/>
      <c r="Q36" s="1350" t="str">
        <f t="shared" si="11"/>
        <v>成新度</v>
      </c>
      <c r="R36" s="703" t="s">
        <v>14</v>
      </c>
      <c r="S36" s="704" t="e">
        <f t="shared" si="12"/>
        <v>#N/A</v>
      </c>
      <c r="T36" s="703" t="s">
        <v>14</v>
      </c>
      <c r="U36" s="704" t="e">
        <f t="shared" si="13"/>
        <v>#N/A</v>
      </c>
      <c r="V36" s="703" t="s">
        <v>14</v>
      </c>
      <c r="W36" s="704" t="e">
        <f t="shared" si="14"/>
        <v>#N/A</v>
      </c>
      <c r="X36" s="1353"/>
      <c r="Y36" s="3754"/>
      <c r="Z36" s="1354" t="str">
        <f t="shared" si="15"/>
        <v>成新度</v>
      </c>
      <c r="AA36" s="1351" t="e">
        <f t="shared" si="3"/>
        <v>#N/A</v>
      </c>
      <c r="AB36" s="1351" t="e">
        <f t="shared" si="4"/>
        <v>#N/A</v>
      </c>
      <c r="AC36" s="1351" t="e">
        <f t="shared" si="5"/>
        <v>#N/A</v>
      </c>
    </row>
    <row r="37" spans="1:29" s="107" customFormat="1" ht="15">
      <c r="A37" s="422"/>
      <c r="B37" s="373" t="s">
        <v>1787</v>
      </c>
      <c r="C37" s="1904"/>
      <c r="D37" s="126">
        <v>100</v>
      </c>
      <c r="E37" s="1904"/>
      <c r="F37" s="410">
        <f>SUMIF(112:112,E37,113:113)-SUMIF(112:112,C37,113:113)+100</f>
        <v>100</v>
      </c>
      <c r="G37" s="1904"/>
      <c r="H37" s="384">
        <f>SUMIF(112:112,G37,113:113)-SUMIF(112:112,C37,113:113)+100</f>
        <v>100</v>
      </c>
      <c r="I37" s="1904"/>
      <c r="J37" s="384">
        <f>SUMIF(112:112,I37,113:113)-SUMIF(112:112,C37,113:113)+100</f>
        <v>100</v>
      </c>
      <c r="K37" s="559"/>
      <c r="L37" s="2714"/>
      <c r="M37" s="2715"/>
      <c r="N37" s="2715"/>
      <c r="O37" s="2715"/>
      <c r="P37" s="3752"/>
      <c r="Q37" s="1341" t="str">
        <f t="shared" si="11"/>
        <v>市政基础设施</v>
      </c>
      <c r="R37" s="699" t="s">
        <v>14</v>
      </c>
      <c r="S37" s="700">
        <f t="shared" si="12"/>
        <v>100</v>
      </c>
      <c r="T37" s="699" t="s">
        <v>14</v>
      </c>
      <c r="U37" s="700">
        <f t="shared" si="13"/>
        <v>100</v>
      </c>
      <c r="V37" s="699" t="s">
        <v>14</v>
      </c>
      <c r="W37" s="700">
        <f t="shared" si="14"/>
        <v>100</v>
      </c>
      <c r="X37" s="701"/>
      <c r="Y37" s="3754"/>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9"/>
      <c r="M38" s="2713"/>
      <c r="N38" s="2713"/>
      <c r="O38" s="2713"/>
      <c r="P38" s="3752" t="s">
        <v>1696</v>
      </c>
      <c r="Q38" s="1350" t="str">
        <f t="shared" si="11"/>
        <v>业态</v>
      </c>
      <c r="R38" s="703" t="s">
        <v>14</v>
      </c>
      <c r="S38" s="704">
        <f t="shared" si="12"/>
        <v>100</v>
      </c>
      <c r="T38" s="703" t="s">
        <v>14</v>
      </c>
      <c r="U38" s="704">
        <f t="shared" si="13"/>
        <v>100</v>
      </c>
      <c r="V38" s="703" t="s">
        <v>14</v>
      </c>
      <c r="W38" s="704">
        <f t="shared" si="14"/>
        <v>100</v>
      </c>
      <c r="X38" s="1353"/>
      <c r="Y38" s="3754"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9"/>
      <c r="M39" s="2713"/>
      <c r="N39" s="2713"/>
      <c r="O39" s="2713"/>
      <c r="P39" s="3752"/>
      <c r="Q39" s="1350" t="str">
        <f t="shared" si="11"/>
        <v>层高</v>
      </c>
      <c r="R39" s="703" t="s">
        <v>14</v>
      </c>
      <c r="S39" s="704">
        <f t="shared" si="12"/>
        <v>100</v>
      </c>
      <c r="T39" s="703" t="s">
        <v>14</v>
      </c>
      <c r="U39" s="704">
        <f t="shared" si="13"/>
        <v>100</v>
      </c>
      <c r="V39" s="703" t="s">
        <v>14</v>
      </c>
      <c r="W39" s="704">
        <f t="shared" si="14"/>
        <v>100</v>
      </c>
      <c r="X39" s="1353"/>
      <c r="Y39" s="3754"/>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752"/>
      <c r="Q40" s="1350" t="str">
        <f t="shared" si="11"/>
        <v>单套建筑面积</v>
      </c>
      <c r="R40" s="703" t="s">
        <v>14</v>
      </c>
      <c r="S40" s="704">
        <f t="shared" si="12"/>
        <v>100</v>
      </c>
      <c r="T40" s="703" t="s">
        <v>14</v>
      </c>
      <c r="U40" s="704">
        <f t="shared" si="13"/>
        <v>100</v>
      </c>
      <c r="V40" s="703" t="s">
        <v>14</v>
      </c>
      <c r="W40" s="704">
        <f t="shared" si="14"/>
        <v>100</v>
      </c>
      <c r="X40" s="1353"/>
      <c r="Y40" s="3754"/>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752"/>
      <c r="Q41" s="705" t="str">
        <f t="shared" si="11"/>
        <v>进深比</v>
      </c>
      <c r="R41" s="706" t="s">
        <v>14</v>
      </c>
      <c r="S41" s="707">
        <f t="shared" si="12"/>
        <v>100</v>
      </c>
      <c r="T41" s="706" t="s">
        <v>14</v>
      </c>
      <c r="U41" s="707">
        <f t="shared" si="13"/>
        <v>100</v>
      </c>
      <c r="V41" s="706" t="s">
        <v>14</v>
      </c>
      <c r="W41" s="707">
        <f t="shared" si="14"/>
        <v>100</v>
      </c>
      <c r="X41" s="708"/>
      <c r="Y41" s="3754"/>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9"/>
      <c r="M42" s="2713"/>
      <c r="N42" s="2713"/>
      <c r="O42" s="2713"/>
      <c r="P42" s="3752"/>
      <c r="Q42" s="1350" t="str">
        <f t="shared" si="11"/>
        <v>内部装修</v>
      </c>
      <c r="R42" s="703" t="s">
        <v>14</v>
      </c>
      <c r="S42" s="704">
        <f t="shared" si="12"/>
        <v>100</v>
      </c>
      <c r="T42" s="703" t="s">
        <v>14</v>
      </c>
      <c r="U42" s="704">
        <f t="shared" si="13"/>
        <v>100</v>
      </c>
      <c r="V42" s="703" t="s">
        <v>14</v>
      </c>
      <c r="W42" s="704">
        <f t="shared" si="14"/>
        <v>100</v>
      </c>
      <c r="X42" s="1353"/>
      <c r="Y42" s="3754"/>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9"/>
      <c r="M43" s="2713"/>
      <c r="N43" s="2713"/>
      <c r="O43" s="2713"/>
      <c r="P43" s="3752"/>
      <c r="Q43" s="1350" t="str">
        <f t="shared" si="11"/>
        <v>内部装修维护情况</v>
      </c>
      <c r="R43" s="703" t="s">
        <v>14</v>
      </c>
      <c r="S43" s="704">
        <f t="shared" si="12"/>
        <v>100</v>
      </c>
      <c r="T43" s="703" t="s">
        <v>14</v>
      </c>
      <c r="U43" s="704">
        <f t="shared" si="13"/>
        <v>100</v>
      </c>
      <c r="V43" s="703" t="s">
        <v>14</v>
      </c>
      <c r="W43" s="704">
        <f t="shared" si="14"/>
        <v>100</v>
      </c>
      <c r="X43" s="1353"/>
      <c r="Y43" s="3754"/>
      <c r="Z43" s="1354" t="str">
        <f t="shared" si="15"/>
        <v>内部装修维护情况</v>
      </c>
      <c r="AA43" s="1351">
        <f t="shared" si="3"/>
        <v>1</v>
      </c>
      <c r="AB43" s="1351">
        <f t="shared" si="4"/>
        <v>1</v>
      </c>
      <c r="AC43" s="1351">
        <f t="shared" si="5"/>
        <v>1</v>
      </c>
    </row>
    <row r="44" spans="1:29" s="107" customFormat="1" ht="15">
      <c r="A44" s="422"/>
      <c r="B44" s="1131">
        <v>111</v>
      </c>
      <c r="C44" s="418"/>
      <c r="D44" s="126">
        <v>100</v>
      </c>
      <c r="E44" s="383"/>
      <c r="F44" s="374">
        <f>SUMIF(126:126,E44,127:127)-SUMIF(126:126,C44,127:127)+100</f>
        <v>100</v>
      </c>
      <c r="G44" s="383"/>
      <c r="H44" s="126">
        <f>SUMIF(126:126,G44,127:127)-SUMIF(126:126,C44,127:127)+100</f>
        <v>100</v>
      </c>
      <c r="I44" s="383"/>
      <c r="J44" s="126">
        <f>SUMIF(126:126,I44,127:127)-SUMIF(126:126,C44,127:127)+100</f>
        <v>100</v>
      </c>
      <c r="K44" s="560"/>
      <c r="L44" s="2714"/>
      <c r="M44" s="2715"/>
      <c r="N44" s="2715"/>
      <c r="O44" s="2715"/>
      <c r="P44" s="3752"/>
      <c r="Q44" s="1341">
        <f t="shared" si="11"/>
        <v>111</v>
      </c>
      <c r="R44" s="699" t="s">
        <v>14</v>
      </c>
      <c r="S44" s="700">
        <f t="shared" si="12"/>
        <v>100</v>
      </c>
      <c r="T44" s="699" t="s">
        <v>14</v>
      </c>
      <c r="U44" s="700">
        <f t="shared" si="13"/>
        <v>100</v>
      </c>
      <c r="V44" s="699" t="s">
        <v>14</v>
      </c>
      <c r="W44" s="700">
        <f t="shared" si="14"/>
        <v>100</v>
      </c>
      <c r="X44" s="701"/>
      <c r="Y44" s="3754"/>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752"/>
      <c r="Q45" s="1350">
        <f t="shared" si="11"/>
        <v>111</v>
      </c>
      <c r="R45" s="703" t="s">
        <v>14</v>
      </c>
      <c r="S45" s="704">
        <f t="shared" si="12"/>
        <v>100</v>
      </c>
      <c r="T45" s="703" t="s">
        <v>14</v>
      </c>
      <c r="U45" s="704">
        <f t="shared" si="13"/>
        <v>100</v>
      </c>
      <c r="V45" s="703" t="s">
        <v>14</v>
      </c>
      <c r="W45" s="704">
        <f t="shared" si="14"/>
        <v>100</v>
      </c>
      <c r="X45" s="1353"/>
      <c r="Y45" s="3754"/>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753"/>
      <c r="Q46" s="1350">
        <f t="shared" si="11"/>
        <v>111</v>
      </c>
      <c r="R46" s="703" t="s">
        <v>14</v>
      </c>
      <c r="S46" s="704">
        <f t="shared" si="12"/>
        <v>100</v>
      </c>
      <c r="T46" s="703" t="s">
        <v>14</v>
      </c>
      <c r="U46" s="704">
        <f t="shared" si="13"/>
        <v>100</v>
      </c>
      <c r="V46" s="703" t="s">
        <v>14</v>
      </c>
      <c r="W46" s="704">
        <f t="shared" si="14"/>
        <v>100</v>
      </c>
      <c r="X46" s="1353"/>
      <c r="Y46" s="3755"/>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1"/>
      <c r="M47" s="2722"/>
      <c r="N47" s="2713"/>
      <c r="O47" s="2722"/>
      <c r="P47" s="3747" t="str">
        <f>A47</f>
        <v>成交单价（元/平方米）</v>
      </c>
      <c r="Q47" s="3747"/>
      <c r="R47" s="3742">
        <f>E47</f>
        <v>0</v>
      </c>
      <c r="S47" s="3742"/>
      <c r="T47" s="3742">
        <f>G47</f>
        <v>0</v>
      </c>
      <c r="U47" s="3742"/>
      <c r="V47" s="3742">
        <f>I47</f>
        <v>0</v>
      </c>
      <c r="W47" s="3742"/>
      <c r="X47" s="688"/>
      <c r="Y47" s="710"/>
      <c r="Z47" s="688"/>
      <c r="AA47" s="688"/>
      <c r="AB47" s="688"/>
      <c r="AC47" s="688"/>
    </row>
    <row r="48" spans="1:29" ht="15.75" thickBot="1">
      <c r="A48" s="435" t="s">
        <v>1793</v>
      </c>
      <c r="B48" s="436"/>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1"/>
      <c r="M49" s="2722"/>
      <c r="N49" s="2713"/>
      <c r="O49" s="272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5" customFormat="1" ht="15">
      <c r="A58" s="452" t="s">
        <v>1679</v>
      </c>
      <c r="B58" s="453"/>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7"/>
      <c r="Q58" s="2738"/>
      <c r="R58" s="2738"/>
      <c r="S58" s="2738"/>
      <c r="T58" s="2738"/>
      <c r="U58" s="2738"/>
      <c r="V58" s="2738"/>
      <c r="W58" s="2738"/>
      <c r="X58" s="2738"/>
      <c r="Y58" s="2738"/>
      <c r="Z58" s="2738"/>
      <c r="AA58" s="2738"/>
      <c r="AB58" s="2738"/>
      <c r="AC58" s="2738"/>
    </row>
    <row r="59" spans="1:29" s="107" customFormat="1" ht="15">
      <c r="A59" s="456"/>
      <c r="B59" s="457"/>
      <c r="C59" s="1181">
        <v>100</v>
      </c>
      <c r="D59" s="459"/>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7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5">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5.75"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c r="A63" s="474" t="s">
        <v>1719</v>
      </c>
      <c r="B63" s="475" t="s">
        <v>1685</v>
      </c>
      <c r="C63" s="476">
        <f>C9</f>
        <v>0</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5.75"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7.75" thickTop="1">
      <c r="A65" s="481"/>
      <c r="B65" s="485" t="s">
        <v>1688</v>
      </c>
      <c r="C65" s="530"/>
      <c r="D65" s="530"/>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5.75" thickBot="1">
      <c r="A66" s="481"/>
      <c r="B66" s="490"/>
      <c r="C66" s="483"/>
      <c r="D66" s="483"/>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1"/>
      <c r="B68" s="495"/>
      <c r="C68" s="496"/>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5.75"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5.75"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5.75"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5.75"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5.75"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5.75"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7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7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75" thickTop="1">
      <c r="A82" s="481"/>
      <c r="B82" s="493" t="s">
        <v>1779</v>
      </c>
      <c r="C82" s="606" t="s">
        <v>1799</v>
      </c>
      <c r="D82" s="606" t="s">
        <v>1800</v>
      </c>
      <c r="E82" s="606" t="s">
        <v>1801</v>
      </c>
      <c r="F82" s="606" t="s">
        <v>1802</v>
      </c>
      <c r="G82" s="606" t="s">
        <v>1803</v>
      </c>
      <c r="H82" s="486"/>
      <c r="I82" s="486"/>
      <c r="J82" s="486"/>
      <c r="K82" s="486"/>
      <c r="L82" s="486"/>
      <c r="M82" s="1127"/>
      <c r="N82" s="2751"/>
      <c r="O82" s="2751"/>
      <c r="P82" s="2741"/>
      <c r="Q82" s="2736"/>
      <c r="R82" s="2722"/>
      <c r="S82" s="2722"/>
      <c r="T82" s="2722"/>
      <c r="U82" s="2722"/>
      <c r="V82" s="2722"/>
      <c r="W82" s="2722"/>
      <c r="X82" s="2722"/>
      <c r="Y82" s="2722"/>
      <c r="Z82" s="2722"/>
      <c r="AA82" s="2722"/>
      <c r="AB82" s="2722"/>
      <c r="AC82" s="2722"/>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7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7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6"/>
      <c r="B88" s="485" t="str">
        <f>B26</f>
        <v>平面位置/可视性</v>
      </c>
      <c r="C88" s="501"/>
      <c r="D88" s="501"/>
      <c r="E88" s="501"/>
      <c r="F88" s="1925"/>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5.75"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5.75"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5.75"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5.75"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5.75"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5.75"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5.75"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5.75" thickBot="1">
      <c r="A99" s="1926"/>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c r="D103" s="542"/>
      <c r="E103" s="542"/>
      <c r="F103" s="542"/>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5.75" thickBot="1">
      <c r="A104" s="500"/>
      <c r="B104" s="490"/>
      <c r="C104" s="507"/>
      <c r="D104" s="483"/>
      <c r="E104" s="483"/>
      <c r="F104" s="483"/>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5.75"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5"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5.75"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5"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5.75"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5"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119963.53</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3" t="s">
        <v>1769</v>
      </c>
      <c r="B4" s="354"/>
      <c r="C4" s="3730" t="s">
        <v>1770</v>
      </c>
      <c r="D4" s="3731"/>
      <c r="E4" s="3732" t="s">
        <v>1771</v>
      </c>
      <c r="F4" s="3733"/>
      <c r="G4" s="3730" t="s">
        <v>1772</v>
      </c>
      <c r="H4" s="3731"/>
      <c r="I4" s="3730" t="s">
        <v>1773</v>
      </c>
      <c r="J4" s="3731"/>
      <c r="K4" s="557" t="s">
        <v>1774</v>
      </c>
      <c r="L4" s="2712"/>
      <c r="M4" s="2713"/>
      <c r="N4" s="2713"/>
      <c r="O4" s="2713"/>
      <c r="P4" s="3764" t="s">
        <v>1775</v>
      </c>
      <c r="Q4" s="3765"/>
      <c r="R4" s="3759" t="s">
        <v>1771</v>
      </c>
      <c r="S4" s="3760"/>
      <c r="T4" s="3759" t="s">
        <v>1772</v>
      </c>
      <c r="U4" s="3760"/>
      <c r="V4" s="3768" t="s">
        <v>1773</v>
      </c>
      <c r="W4" s="3768"/>
      <c r="X4" s="1956"/>
      <c r="Y4" s="3759" t="s">
        <v>1775</v>
      </c>
      <c r="Z4" s="3760"/>
      <c r="AA4" s="3758" t="s">
        <v>1771</v>
      </c>
      <c r="AB4" s="3758" t="s">
        <v>1772</v>
      </c>
      <c r="AC4" s="3761" t="s">
        <v>1773</v>
      </c>
    </row>
    <row r="5" spans="1:29" ht="15">
      <c r="A5" s="356"/>
      <c r="B5" s="357"/>
      <c r="C5" s="3723" t="s">
        <v>1673</v>
      </c>
      <c r="D5" s="3724"/>
      <c r="E5" s="3721" t="s">
        <v>1674</v>
      </c>
      <c r="F5" s="3722"/>
      <c r="G5" s="3723" t="s">
        <v>1675</v>
      </c>
      <c r="H5" s="3724"/>
      <c r="I5" s="3723" t="s">
        <v>1676</v>
      </c>
      <c r="J5" s="3724"/>
      <c r="K5" s="557"/>
      <c r="L5" s="2712"/>
      <c r="M5" s="2713"/>
      <c r="N5" s="2713"/>
      <c r="O5" s="2713"/>
      <c r="P5" s="3766"/>
      <c r="Q5" s="3737"/>
      <c r="R5" s="3719"/>
      <c r="S5" s="3720"/>
      <c r="T5" s="3719"/>
      <c r="U5" s="3720"/>
      <c r="V5" s="3742"/>
      <c r="W5" s="3742"/>
      <c r="X5" s="1353"/>
      <c r="Y5" s="3719"/>
      <c r="Z5" s="3720"/>
      <c r="AA5" s="3713"/>
      <c r="AB5" s="3713"/>
      <c r="AC5" s="3762"/>
    </row>
    <row r="6" spans="1:29" ht="15.75" thickBot="1">
      <c r="A6" s="358"/>
      <c r="B6" s="359"/>
      <c r="C6" s="3725" t="s">
        <v>1677</v>
      </c>
      <c r="D6" s="3726"/>
      <c r="E6" s="3727" t="s">
        <v>1677</v>
      </c>
      <c r="F6" s="3728"/>
      <c r="G6" s="3725" t="s">
        <v>1677</v>
      </c>
      <c r="H6" s="3726"/>
      <c r="I6" s="3725" t="s">
        <v>1677</v>
      </c>
      <c r="J6" s="3726"/>
      <c r="K6" s="557" t="s">
        <v>1678</v>
      </c>
      <c r="L6" s="2712"/>
      <c r="M6" s="2713"/>
      <c r="N6" s="2713"/>
      <c r="O6" s="2713"/>
      <c r="P6" s="3767"/>
      <c r="Q6" s="3739"/>
      <c r="R6" s="3719"/>
      <c r="S6" s="3720"/>
      <c r="T6" s="3740"/>
      <c r="U6" s="3741"/>
      <c r="V6" s="3742"/>
      <c r="W6" s="3742"/>
      <c r="X6" s="1353"/>
      <c r="Y6" s="3740"/>
      <c r="Z6" s="3741"/>
      <c r="AA6" s="3714"/>
      <c r="AB6" s="3714"/>
      <c r="AC6" s="3763"/>
    </row>
    <row r="7" spans="1:29" s="107" customFormat="1" ht="15.75" thickBot="1">
      <c r="A7" s="360" t="s">
        <v>1679</v>
      </c>
      <c r="B7" s="361"/>
      <c r="C7" s="362">
        <f>'数据-取费表'!B2</f>
        <v>45317</v>
      </c>
      <c r="D7" s="363">
        <v>100</v>
      </c>
      <c r="E7" s="364"/>
      <c r="F7" s="365">
        <f>SUMIF(59:59,YEAR(E7)&amp;"-"&amp;MONTH(E7),60:60)</f>
        <v>0</v>
      </c>
      <c r="G7" s="364"/>
      <c r="H7" s="363">
        <f>SUMIF(59:59,YEAR(G7)&amp;"-"&amp;MONTH(G7),60:60)</f>
        <v>0</v>
      </c>
      <c r="I7" s="364"/>
      <c r="J7" s="363">
        <f>SUMIF(59:59,YEAR(I7)&amp;"-"&amp;MONTH(I7),60:60)</f>
        <v>0</v>
      </c>
      <c r="K7" s="558"/>
      <c r="L7" s="2714"/>
      <c r="M7" s="2715"/>
      <c r="N7" s="2715"/>
      <c r="O7" s="2715"/>
      <c r="P7" s="3769" t="s">
        <v>1680</v>
      </c>
      <c r="Q7" s="3743"/>
      <c r="R7" s="699" t="s">
        <v>14</v>
      </c>
      <c r="S7" s="700">
        <f t="shared" ref="S7:S15" si="0">F7</f>
        <v>0</v>
      </c>
      <c r="T7" s="699" t="s">
        <v>14</v>
      </c>
      <c r="U7" s="700">
        <f t="shared" ref="U7:U15" si="1">H7</f>
        <v>0</v>
      </c>
      <c r="V7" s="699" t="s">
        <v>14</v>
      </c>
      <c r="W7" s="700">
        <f t="shared" ref="W7:W15" si="2">J7</f>
        <v>0</v>
      </c>
      <c r="X7" s="701"/>
      <c r="Y7" s="3715" t="s">
        <v>1680</v>
      </c>
      <c r="Z7" s="3716"/>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4"/>
      <c r="M8" s="2715"/>
      <c r="N8" s="2715"/>
      <c r="O8" s="2715"/>
      <c r="P8" s="3769" t="s">
        <v>1683</v>
      </c>
      <c r="Q8" s="3716"/>
      <c r="R8" s="699" t="s">
        <v>14</v>
      </c>
      <c r="S8" s="700">
        <f t="shared" si="0"/>
        <v>100</v>
      </c>
      <c r="T8" s="699" t="s">
        <v>14</v>
      </c>
      <c r="U8" s="700">
        <f t="shared" si="1"/>
        <v>100</v>
      </c>
      <c r="V8" s="699" t="s">
        <v>14</v>
      </c>
      <c r="W8" s="700">
        <f t="shared" si="2"/>
        <v>100</v>
      </c>
      <c r="X8" s="701"/>
      <c r="Y8" s="3715" t="s">
        <v>1683</v>
      </c>
      <c r="Z8" s="3716"/>
      <c r="AA8" s="702">
        <f t="shared" ref="AA8:AA47" si="3">D8/F8</f>
        <v>1</v>
      </c>
      <c r="AB8" s="702">
        <f t="shared" ref="AB8:AB47" si="4">D8/H8</f>
        <v>1</v>
      </c>
      <c r="AC8" s="1957">
        <f t="shared" ref="AC8:AC47" si="5">D8/J8</f>
        <v>1</v>
      </c>
    </row>
    <row r="9" spans="1:29" s="107" customFormat="1">
      <c r="A9" s="367" t="s">
        <v>1684</v>
      </c>
      <c r="B9" s="63" t="s">
        <v>1685</v>
      </c>
      <c r="C9" s="368"/>
      <c r="D9" s="125">
        <v>100</v>
      </c>
      <c r="E9" s="371"/>
      <c r="F9" s="125">
        <f>SUMIF(64:64,E9,65:65)-SUMIF(64:64,C9,65:65)+100</f>
        <v>100</v>
      </c>
      <c r="G9" s="369"/>
      <c r="H9" s="125">
        <f>SUMIF(64:64,G9,65:65)-SUMIF(64:64,C9,65:65)+100</f>
        <v>100</v>
      </c>
      <c r="I9" s="369"/>
      <c r="J9" s="125">
        <f>SUMIF(64:64,I9,65:65)-SUMIF(64:64,C9,65:65)+100</f>
        <v>100</v>
      </c>
      <c r="K9" s="558"/>
      <c r="L9" s="2714"/>
      <c r="M9" s="2715"/>
      <c r="N9" s="2715"/>
      <c r="O9" s="2715"/>
      <c r="P9" s="3729" t="s">
        <v>1686</v>
      </c>
      <c r="Q9" s="1341"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1957">
        <f t="shared" si="5"/>
        <v>1</v>
      </c>
    </row>
    <row r="10" spans="1:29" s="376" customFormat="1" ht="27">
      <c r="A10" s="372"/>
      <c r="B10" s="373" t="s">
        <v>1688</v>
      </c>
      <c r="C10" s="3431"/>
      <c r="D10" s="126">
        <v>100</v>
      </c>
      <c r="E10" s="3431"/>
      <c r="F10" s="126">
        <f>SUMIF(66:66,E10,67:67)-SUMIF(66:66,C10,67:67)+100</f>
        <v>100</v>
      </c>
      <c r="G10" s="3432"/>
      <c r="H10" s="126">
        <f>SUMIF(66:66,G10,67:67)-SUMIF(66:66,C10,67:67)+100</f>
        <v>100</v>
      </c>
      <c r="I10" s="3431"/>
      <c r="J10" s="126">
        <f>SUMIF(66:66,I10,67:67)-SUMIF(66:66,C10,67:67)+100</f>
        <v>100</v>
      </c>
      <c r="K10" s="558"/>
      <c r="L10" s="2716"/>
      <c r="M10" s="2717"/>
      <c r="N10" s="2717"/>
      <c r="O10" s="2717"/>
      <c r="P10" s="3729"/>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1957">
        <f t="shared" si="5"/>
        <v>1</v>
      </c>
    </row>
    <row r="11" spans="1:29" ht="15">
      <c r="A11" s="377"/>
      <c r="B11" s="373" t="s">
        <v>1689</v>
      </c>
      <c r="C11" s="378"/>
      <c r="D11" s="126">
        <v>100</v>
      </c>
      <c r="E11" s="378"/>
      <c r="F11" s="126">
        <f>LOOKUP(E11,69:69,70:70)-LOOKUP(C11,69:69,70:70)+100</f>
        <v>100</v>
      </c>
      <c r="G11" s="379"/>
      <c r="H11" s="126">
        <f>LOOKUP(G11,69:69,70:70)-LOOKUP(C11,69:69,70:70)+100</f>
        <v>100</v>
      </c>
      <c r="I11" s="378"/>
      <c r="J11" s="126">
        <f>LOOKUP(I11,69:69,70:70)-LOOKUP(C11,69:69,70:70)+100</f>
        <v>100</v>
      </c>
      <c r="K11" s="559"/>
      <c r="L11" s="2718"/>
      <c r="M11" s="2713"/>
      <c r="N11" s="2713"/>
      <c r="O11" s="2713"/>
      <c r="P11" s="3729"/>
      <c r="Q11" s="1341"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1957">
        <f t="shared" si="5"/>
        <v>1</v>
      </c>
    </row>
    <row r="12" spans="1:29" s="107" customFormat="1" ht="15">
      <c r="A12" s="380"/>
      <c r="B12" s="1891">
        <v>111</v>
      </c>
      <c r="C12" s="381"/>
      <c r="D12" s="382">
        <v>100</v>
      </c>
      <c r="E12" s="381"/>
      <c r="F12" s="126">
        <f>SUMIF(71:71,E12,72:72)-SUMIF(71:71,C12,72:72)+100</f>
        <v>100</v>
      </c>
      <c r="G12" s="1958"/>
      <c r="H12" s="126">
        <f>SUMIF(71:71,G12,72:72)-SUMIF(71:71,C12,72:72)+100</f>
        <v>100</v>
      </c>
      <c r="I12" s="381"/>
      <c r="J12" s="126">
        <f>SUMIF(71:71,I12,72:72)-SUMIF(71:71,C12,72:72)+100</f>
        <v>100</v>
      </c>
      <c r="K12" s="560"/>
      <c r="L12" s="2714"/>
      <c r="M12" s="2715"/>
      <c r="N12" s="2715"/>
      <c r="O12" s="2715"/>
      <c r="P12" s="3729"/>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1957">
        <f>D12/J12</f>
        <v>1</v>
      </c>
    </row>
    <row r="13" spans="1:29" ht="15">
      <c r="A13" s="377"/>
      <c r="B13" s="1891">
        <v>111</v>
      </c>
      <c r="C13" s="383"/>
      <c r="D13" s="384">
        <v>100</v>
      </c>
      <c r="E13" s="381"/>
      <c r="F13" s="126">
        <f>SUMIF(73:73,E13,74:74)-SUMIF(73:73,C13,74:74)+100</f>
        <v>100</v>
      </c>
      <c r="G13" s="1958"/>
      <c r="H13" s="384">
        <f>SUMIF(73:73,G13,74:74)-SUMIF(73:73,C13,74:74)+100</f>
        <v>100</v>
      </c>
      <c r="I13" s="381"/>
      <c r="J13" s="384">
        <f>SUMIF(73:73,I13,74:74)-SUMIF(73:73,C13,74:74)+100</f>
        <v>100</v>
      </c>
      <c r="K13" s="560"/>
      <c r="L13" s="2719"/>
      <c r="M13" s="2713"/>
      <c r="N13" s="2713"/>
      <c r="O13" s="2713"/>
      <c r="P13" s="3729"/>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9"/>
      <c r="M14" s="2713"/>
      <c r="N14" s="2713"/>
      <c r="O14" s="2713"/>
      <c r="P14" s="3729"/>
      <c r="Q14" s="1341">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1957">
        <f t="shared" si="5"/>
        <v>1</v>
      </c>
    </row>
    <row r="15" spans="1:29" ht="15">
      <c r="A15" s="389" t="s">
        <v>1690</v>
      </c>
      <c r="B15" s="575" t="s">
        <v>1811</v>
      </c>
      <c r="C15" s="1959">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9"/>
      <c r="M15" s="2713"/>
      <c r="N15" s="2713"/>
      <c r="O15" s="2713"/>
      <c r="P15" s="3756" t="s">
        <v>1691</v>
      </c>
      <c r="Q15" s="1350" t="str">
        <f t="shared" si="6"/>
        <v>办公集聚程度</v>
      </c>
      <c r="R15" s="703" t="s">
        <v>14</v>
      </c>
      <c r="S15" s="704">
        <f t="shared" si="0"/>
        <v>100</v>
      </c>
      <c r="T15" s="703" t="s">
        <v>14</v>
      </c>
      <c r="U15" s="704">
        <f t="shared" si="1"/>
        <v>100</v>
      </c>
      <c r="V15" s="703" t="s">
        <v>14</v>
      </c>
      <c r="W15" s="704">
        <f t="shared" si="2"/>
        <v>100</v>
      </c>
      <c r="X15" s="1353"/>
      <c r="Y15" s="3749"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9"/>
      <c r="M16" s="2713"/>
      <c r="N16" s="2713"/>
      <c r="O16" s="2713"/>
      <c r="P16" s="3757"/>
      <c r="Q16" s="1350"/>
      <c r="R16" s="703"/>
      <c r="S16" s="704"/>
      <c r="T16" s="703"/>
      <c r="U16" s="704"/>
      <c r="V16" s="703"/>
      <c r="W16" s="704"/>
      <c r="X16" s="1353"/>
      <c r="Y16" s="3750"/>
      <c r="Z16" s="1354"/>
      <c r="AA16" s="1351">
        <v>1</v>
      </c>
      <c r="AB16" s="1351">
        <v>1</v>
      </c>
      <c r="AC16" s="1960">
        <v>1</v>
      </c>
    </row>
    <row r="17" spans="1:29" ht="15">
      <c r="A17" s="377"/>
      <c r="B17" s="577" t="s">
        <v>1259</v>
      </c>
      <c r="C17" s="1961">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9"/>
      <c r="M17" s="2713"/>
      <c r="N17" s="2713"/>
      <c r="O17" s="2713"/>
      <c r="P17" s="3757"/>
      <c r="Q17" s="1350" t="str">
        <f>B17</f>
        <v>交通便捷度</v>
      </c>
      <c r="R17" s="703" t="s">
        <v>14</v>
      </c>
      <c r="S17" s="704">
        <f>F17</f>
        <v>100</v>
      </c>
      <c r="T17" s="703" t="s">
        <v>14</v>
      </c>
      <c r="U17" s="704">
        <f>H17</f>
        <v>100</v>
      </c>
      <c r="V17" s="703" t="s">
        <v>14</v>
      </c>
      <c r="W17" s="704">
        <f>J17</f>
        <v>100</v>
      </c>
      <c r="X17" s="1353"/>
      <c r="Y17" s="3750"/>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9"/>
      <c r="M18" s="2713"/>
      <c r="N18" s="2713"/>
      <c r="O18" s="2713"/>
      <c r="P18" s="3757"/>
      <c r="Q18" s="1350"/>
      <c r="R18" s="703"/>
      <c r="S18" s="704"/>
      <c r="T18" s="703"/>
      <c r="U18" s="704"/>
      <c r="V18" s="703"/>
      <c r="W18" s="704"/>
      <c r="X18" s="1353"/>
      <c r="Y18" s="3750"/>
      <c r="Z18" s="1354"/>
      <c r="AA18" s="1351">
        <v>1</v>
      </c>
      <c r="AB18" s="1351">
        <v>1</v>
      </c>
      <c r="AC18" s="1960">
        <v>1</v>
      </c>
    </row>
    <row r="19" spans="1:29" ht="15">
      <c r="A19" s="377"/>
      <c r="B19" s="577" t="s">
        <v>1812</v>
      </c>
      <c r="C19" s="1961">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9"/>
      <c r="M19" s="2713"/>
      <c r="N19" s="2713"/>
      <c r="O19" s="2713"/>
      <c r="P19" s="3757"/>
      <c r="Q19" s="1350" t="str">
        <f>B19</f>
        <v>公共配套设施</v>
      </c>
      <c r="R19" s="703" t="s">
        <v>14</v>
      </c>
      <c r="S19" s="704">
        <f>F19</f>
        <v>100</v>
      </c>
      <c r="T19" s="703" t="s">
        <v>14</v>
      </c>
      <c r="U19" s="704">
        <f>H19</f>
        <v>100</v>
      </c>
      <c r="V19" s="703" t="s">
        <v>14</v>
      </c>
      <c r="W19" s="704">
        <f>J19</f>
        <v>100</v>
      </c>
      <c r="X19" s="1353"/>
      <c r="Y19" s="3750"/>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9"/>
      <c r="M20" s="2713"/>
      <c r="N20" s="2713"/>
      <c r="O20" s="2713"/>
      <c r="P20" s="3757"/>
      <c r="Q20" s="1350"/>
      <c r="R20" s="703"/>
      <c r="S20" s="704"/>
      <c r="T20" s="703"/>
      <c r="U20" s="704"/>
      <c r="V20" s="703"/>
      <c r="W20" s="704"/>
      <c r="X20" s="1353"/>
      <c r="Y20" s="3750"/>
      <c r="Z20" s="1354"/>
      <c r="AA20" s="1351">
        <v>1</v>
      </c>
      <c r="AB20" s="1351">
        <v>1</v>
      </c>
      <c r="AC20" s="1960">
        <v>1</v>
      </c>
    </row>
    <row r="21" spans="1:29" ht="15">
      <c r="A21" s="377"/>
      <c r="B21" s="579" t="s">
        <v>1813</v>
      </c>
      <c r="C21" s="1961">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9"/>
      <c r="M21" s="2713"/>
      <c r="N21" s="2713"/>
      <c r="O21" s="2713"/>
      <c r="P21" s="3757"/>
      <c r="Q21" s="1350" t="str">
        <f>B21</f>
        <v>基础设施水平</v>
      </c>
      <c r="R21" s="703" t="s">
        <v>14</v>
      </c>
      <c r="S21" s="704">
        <f>F21</f>
        <v>100</v>
      </c>
      <c r="T21" s="703" t="s">
        <v>14</v>
      </c>
      <c r="U21" s="704">
        <f>H21</f>
        <v>100</v>
      </c>
      <c r="V21" s="703" t="s">
        <v>14</v>
      </c>
      <c r="W21" s="704">
        <f>J21</f>
        <v>100</v>
      </c>
      <c r="X21" s="1353"/>
      <c r="Y21" s="3750"/>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9"/>
      <c r="M22" s="2713"/>
      <c r="N22" s="2713"/>
      <c r="O22" s="2713"/>
      <c r="P22" s="3757"/>
      <c r="Q22" s="1350"/>
      <c r="R22" s="703"/>
      <c r="S22" s="704"/>
      <c r="T22" s="703"/>
      <c r="U22" s="704"/>
      <c r="V22" s="703"/>
      <c r="W22" s="704"/>
      <c r="X22" s="1353"/>
      <c r="Y22" s="3750"/>
      <c r="Z22" s="1354"/>
      <c r="AA22" s="1351">
        <v>1</v>
      </c>
      <c r="AB22" s="1351">
        <v>1</v>
      </c>
      <c r="AC22" s="1960">
        <v>1</v>
      </c>
    </row>
    <row r="23" spans="1:29" ht="15">
      <c r="A23" s="377"/>
      <c r="B23" s="577" t="s">
        <v>1814</v>
      </c>
      <c r="C23" s="1961">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9"/>
      <c r="M23" s="2713"/>
      <c r="N23" s="2713"/>
      <c r="O23" s="2713"/>
      <c r="P23" s="3757"/>
      <c r="Q23" s="1350" t="str">
        <f>B23</f>
        <v>环境质量</v>
      </c>
      <c r="R23" s="703" t="s">
        <v>14</v>
      </c>
      <c r="S23" s="704">
        <f>F23</f>
        <v>100</v>
      </c>
      <c r="T23" s="703" t="s">
        <v>14</v>
      </c>
      <c r="U23" s="704">
        <f>H23</f>
        <v>100</v>
      </c>
      <c r="V23" s="703" t="s">
        <v>14</v>
      </c>
      <c r="W23" s="704">
        <f>J23</f>
        <v>100</v>
      </c>
      <c r="X23" s="1353"/>
      <c r="Y23" s="3750"/>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9"/>
      <c r="M24" s="2713"/>
      <c r="N24" s="2713"/>
      <c r="O24" s="2713"/>
      <c r="P24" s="3757"/>
      <c r="Q24" s="1350"/>
      <c r="R24" s="703"/>
      <c r="S24" s="704"/>
      <c r="T24" s="703"/>
      <c r="U24" s="704"/>
      <c r="V24" s="703"/>
      <c r="W24" s="704"/>
      <c r="X24" s="1353"/>
      <c r="Y24" s="3750"/>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9"/>
      <c r="M25" s="2713"/>
      <c r="N25" s="2713"/>
      <c r="O25" s="2713"/>
      <c r="P25" s="3757"/>
      <c r="Q25" s="1350" t="str">
        <f>B25</f>
        <v>毗邻道路的类型与等级</v>
      </c>
      <c r="R25" s="703" t="s">
        <v>14</v>
      </c>
      <c r="S25" s="704">
        <f>F25</f>
        <v>100</v>
      </c>
      <c r="T25" s="703" t="s">
        <v>14</v>
      </c>
      <c r="U25" s="704">
        <f>H25</f>
        <v>100</v>
      </c>
      <c r="V25" s="703" t="s">
        <v>14</v>
      </c>
      <c r="W25" s="704">
        <f>J25</f>
        <v>100</v>
      </c>
      <c r="X25" s="1353"/>
      <c r="Y25" s="3750"/>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9"/>
      <c r="M26" s="2713"/>
      <c r="N26" s="2713"/>
      <c r="O26" s="2713"/>
      <c r="P26" s="3757"/>
      <c r="Q26" s="1350"/>
      <c r="R26" s="703"/>
      <c r="S26" s="704"/>
      <c r="T26" s="703"/>
      <c r="U26" s="704"/>
      <c r="V26" s="703"/>
      <c r="W26" s="704"/>
      <c r="X26" s="1353"/>
      <c r="Y26" s="3750"/>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757"/>
      <c r="Q27" s="1350" t="str">
        <f t="shared" ref="Q27:Q47" si="11">B27</f>
        <v>楼层</v>
      </c>
      <c r="R27" s="703" t="s">
        <v>14</v>
      </c>
      <c r="S27" s="704">
        <f>F27</f>
        <v>100</v>
      </c>
      <c r="T27" s="703" t="s">
        <v>14</v>
      </c>
      <c r="U27" s="704">
        <f>H27</f>
        <v>100</v>
      </c>
      <c r="V27" s="703" t="s">
        <v>14</v>
      </c>
      <c r="W27" s="704">
        <f>J27</f>
        <v>100</v>
      </c>
      <c r="X27" s="1353"/>
      <c r="Y27" s="3750"/>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4"/>
      <c r="M28" s="2715"/>
      <c r="N28" s="2715"/>
      <c r="O28" s="2715"/>
      <c r="P28" s="3757"/>
      <c r="Q28" s="1341" t="str">
        <f t="shared" si="11"/>
        <v>朝向</v>
      </c>
      <c r="R28" s="699" t="s">
        <v>14</v>
      </c>
      <c r="S28" s="700">
        <f>F28</f>
        <v>100</v>
      </c>
      <c r="T28" s="699" t="s">
        <v>14</v>
      </c>
      <c r="U28" s="700">
        <f>H28</f>
        <v>100</v>
      </c>
      <c r="V28" s="699" t="s">
        <v>14</v>
      </c>
      <c r="W28" s="700">
        <f>J28</f>
        <v>100</v>
      </c>
      <c r="X28" s="701"/>
      <c r="Y28" s="3750"/>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9"/>
      <c r="M29" s="2713"/>
      <c r="N29" s="2713"/>
      <c r="O29" s="2713"/>
      <c r="P29" s="3757"/>
      <c r="Q29" s="1350">
        <f t="shared" si="11"/>
        <v>111</v>
      </c>
      <c r="R29" s="703" t="s">
        <v>14</v>
      </c>
      <c r="S29" s="704">
        <f t="shared" ref="S29:S47" si="12">F29</f>
        <v>100</v>
      </c>
      <c r="T29" s="703" t="s">
        <v>14</v>
      </c>
      <c r="U29" s="704">
        <f t="shared" ref="U29:U47" si="13">H29</f>
        <v>100</v>
      </c>
      <c r="V29" s="703" t="s">
        <v>14</v>
      </c>
      <c r="W29" s="704">
        <f t="shared" ref="W29:W47" si="14">J29</f>
        <v>100</v>
      </c>
      <c r="X29" s="1353"/>
      <c r="Y29" s="3750"/>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9"/>
      <c r="M30" s="2713"/>
      <c r="N30" s="2713"/>
      <c r="O30" s="2713"/>
      <c r="P30" s="3757"/>
      <c r="Q30" s="1350">
        <f t="shared" si="11"/>
        <v>111</v>
      </c>
      <c r="R30" s="703" t="s">
        <v>14</v>
      </c>
      <c r="S30" s="704">
        <f t="shared" si="12"/>
        <v>100</v>
      </c>
      <c r="T30" s="703" t="s">
        <v>14</v>
      </c>
      <c r="U30" s="704">
        <f t="shared" si="13"/>
        <v>100</v>
      </c>
      <c r="V30" s="703" t="s">
        <v>14</v>
      </c>
      <c r="W30" s="704">
        <f t="shared" si="14"/>
        <v>100</v>
      </c>
      <c r="X30" s="1353"/>
      <c r="Y30" s="3750"/>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9"/>
      <c r="M31" s="2713"/>
      <c r="N31" s="2713"/>
      <c r="O31" s="2713"/>
      <c r="P31" s="3757"/>
      <c r="Q31" s="1350">
        <f t="shared" si="11"/>
        <v>111</v>
      </c>
      <c r="R31" s="703" t="s">
        <v>14</v>
      </c>
      <c r="S31" s="704">
        <f t="shared" si="12"/>
        <v>100</v>
      </c>
      <c r="T31" s="703" t="s">
        <v>14</v>
      </c>
      <c r="U31" s="704">
        <f t="shared" si="13"/>
        <v>100</v>
      </c>
      <c r="V31" s="703" t="s">
        <v>14</v>
      </c>
      <c r="W31" s="704">
        <f t="shared" si="14"/>
        <v>100</v>
      </c>
      <c r="X31" s="1353"/>
      <c r="Y31" s="3750"/>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9"/>
      <c r="M32" s="2713"/>
      <c r="N32" s="2713"/>
      <c r="O32" s="2713"/>
      <c r="P32" s="3757"/>
      <c r="Q32" s="1350">
        <f t="shared" si="11"/>
        <v>111</v>
      </c>
      <c r="R32" s="703" t="s">
        <v>14</v>
      </c>
      <c r="S32" s="704">
        <f t="shared" si="12"/>
        <v>100</v>
      </c>
      <c r="T32" s="703" t="s">
        <v>14</v>
      </c>
      <c r="U32" s="704">
        <f t="shared" si="13"/>
        <v>100</v>
      </c>
      <c r="V32" s="703" t="s">
        <v>14</v>
      </c>
      <c r="W32" s="704">
        <f t="shared" si="14"/>
        <v>100</v>
      </c>
      <c r="X32" s="1353"/>
      <c r="Y32" s="3750"/>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9"/>
      <c r="M33" s="2713"/>
      <c r="N33" s="2713"/>
      <c r="O33" s="2713"/>
      <c r="P33" s="3751" t="s">
        <v>1696</v>
      </c>
      <c r="Q33" s="1350" t="str">
        <f t="shared" si="11"/>
        <v>建筑类型</v>
      </c>
      <c r="R33" s="703" t="s">
        <v>14</v>
      </c>
      <c r="S33" s="704">
        <f t="shared" si="12"/>
        <v>100</v>
      </c>
      <c r="T33" s="703" t="s">
        <v>14</v>
      </c>
      <c r="U33" s="704">
        <f t="shared" si="13"/>
        <v>100</v>
      </c>
      <c r="V33" s="703" t="s">
        <v>14</v>
      </c>
      <c r="W33" s="704">
        <f t="shared" si="14"/>
        <v>100</v>
      </c>
      <c r="X33" s="1353"/>
      <c r="Y33" s="3754" t="s">
        <v>1696</v>
      </c>
      <c r="Z33" s="1354" t="str">
        <f t="shared" si="15"/>
        <v>建筑类型</v>
      </c>
      <c r="AA33" s="1351">
        <f t="shared" si="3"/>
        <v>1</v>
      </c>
      <c r="AB33" s="1351">
        <f t="shared" si="4"/>
        <v>1</v>
      </c>
      <c r="AC33" s="1960">
        <f t="shared" si="5"/>
        <v>1</v>
      </c>
    </row>
    <row r="34" spans="1:29" s="420" customFormat="1" ht="15">
      <c r="A34" s="417"/>
      <c r="B34" s="373" t="s">
        <v>1697</v>
      </c>
      <c r="C34" s="418"/>
      <c r="D34" s="126">
        <v>100</v>
      </c>
      <c r="E34" s="379"/>
      <c r="F34" s="374" t="e">
        <f>LOOKUP(E34,104:104,105:105)-LOOKUP(C34,104:104,105:105)+100</f>
        <v>#N/A</v>
      </c>
      <c r="G34" s="378"/>
      <c r="H34" s="126" t="e">
        <f>LOOKUP(G34,104:104,105:105)-LOOKUP(C34,104:104,105:105)+100</f>
        <v>#N/A</v>
      </c>
      <c r="I34" s="378"/>
      <c r="J34" s="126" t="e">
        <f>LOOKUP(I34,104:104,105:105)-LOOKUP(C34,104:104,105:105)+100</f>
        <v>#N/A</v>
      </c>
      <c r="K34" s="560"/>
      <c r="L34" s="2718"/>
      <c r="M34" s="2720"/>
      <c r="N34" s="2720"/>
      <c r="O34" s="2720"/>
      <c r="P34" s="3752"/>
      <c r="Q34" s="705" t="str">
        <f t="shared" si="11"/>
        <v>项目建筑规模</v>
      </c>
      <c r="R34" s="706" t="s">
        <v>14</v>
      </c>
      <c r="S34" s="707" t="e">
        <f t="shared" si="12"/>
        <v>#N/A</v>
      </c>
      <c r="T34" s="706" t="s">
        <v>14</v>
      </c>
      <c r="U34" s="707" t="e">
        <f t="shared" si="13"/>
        <v>#N/A</v>
      </c>
      <c r="V34" s="706" t="s">
        <v>14</v>
      </c>
      <c r="W34" s="707" t="e">
        <f t="shared" si="14"/>
        <v>#N/A</v>
      </c>
      <c r="X34" s="708"/>
      <c r="Y34" s="3754"/>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9"/>
      <c r="M35" s="2713"/>
      <c r="N35" s="2713"/>
      <c r="O35" s="2713"/>
      <c r="P35" s="3752"/>
      <c r="Q35" s="1350" t="str">
        <f t="shared" si="11"/>
        <v>建筑结构</v>
      </c>
      <c r="R35" s="703" t="s">
        <v>14</v>
      </c>
      <c r="S35" s="704">
        <f t="shared" si="12"/>
        <v>100</v>
      </c>
      <c r="T35" s="703" t="s">
        <v>14</v>
      </c>
      <c r="U35" s="704">
        <f t="shared" si="13"/>
        <v>100</v>
      </c>
      <c r="V35" s="703" t="s">
        <v>14</v>
      </c>
      <c r="W35" s="704">
        <f t="shared" si="14"/>
        <v>100</v>
      </c>
      <c r="X35" s="1353"/>
      <c r="Y35" s="3754"/>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9"/>
      <c r="M36" s="2713"/>
      <c r="N36" s="2713"/>
      <c r="O36" s="2713"/>
      <c r="P36" s="3752"/>
      <c r="Q36" s="1350" t="str">
        <f t="shared" si="11"/>
        <v>公共部分装修</v>
      </c>
      <c r="R36" s="703" t="s">
        <v>14</v>
      </c>
      <c r="S36" s="704">
        <f t="shared" si="12"/>
        <v>100</v>
      </c>
      <c r="T36" s="703" t="s">
        <v>14</v>
      </c>
      <c r="U36" s="704">
        <f t="shared" si="13"/>
        <v>100</v>
      </c>
      <c r="V36" s="703" t="s">
        <v>14</v>
      </c>
      <c r="W36" s="704">
        <f t="shared" si="14"/>
        <v>100</v>
      </c>
      <c r="X36" s="1353"/>
      <c r="Y36" s="3754"/>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9"/>
      <c r="M37" s="2713"/>
      <c r="N37" s="2713"/>
      <c r="O37" s="2713"/>
      <c r="P37" s="3752"/>
      <c r="Q37" s="1350" t="str">
        <f t="shared" si="11"/>
        <v>成新度</v>
      </c>
      <c r="R37" s="703" t="s">
        <v>14</v>
      </c>
      <c r="S37" s="704" t="e">
        <f t="shared" si="12"/>
        <v>#N/A</v>
      </c>
      <c r="T37" s="703" t="s">
        <v>14</v>
      </c>
      <c r="U37" s="704" t="e">
        <f t="shared" si="13"/>
        <v>#N/A</v>
      </c>
      <c r="V37" s="703" t="s">
        <v>14</v>
      </c>
      <c r="W37" s="704" t="e">
        <f t="shared" si="14"/>
        <v>#N/A</v>
      </c>
      <c r="X37" s="1353"/>
      <c r="Y37" s="3754"/>
      <c r="Z37" s="1354" t="str">
        <f t="shared" si="15"/>
        <v>成新度</v>
      </c>
      <c r="AA37" s="1351" t="e">
        <f t="shared" si="3"/>
        <v>#N/A</v>
      </c>
      <c r="AB37" s="1351" t="e">
        <f t="shared" si="4"/>
        <v>#N/A</v>
      </c>
      <c r="AC37" s="1960" t="e">
        <f t="shared" si="5"/>
        <v>#N/A</v>
      </c>
    </row>
    <row r="38" spans="1:29" s="107" customFormat="1" ht="15">
      <c r="A38" s="422"/>
      <c r="B38" s="373" t="s">
        <v>1818</v>
      </c>
      <c r="C38" s="409"/>
      <c r="D38" s="126">
        <v>100</v>
      </c>
      <c r="E38" s="409"/>
      <c r="F38" s="410">
        <f>SUMIF(113:113,E38,114:114)-SUMIF(113:113,C38,114:114)+100</f>
        <v>100</v>
      </c>
      <c r="G38" s="409"/>
      <c r="H38" s="384">
        <f>SUMIF(113:113,G38,114:114)-SUMIF(113:113,C38,114:114)+100</f>
        <v>100</v>
      </c>
      <c r="I38" s="409"/>
      <c r="J38" s="384">
        <f>SUMIF(113:113,I38,114:114)-SUMIF(113:113,C38,114:114)+100</f>
        <v>100</v>
      </c>
      <c r="K38" s="559"/>
      <c r="L38" s="2714"/>
      <c r="M38" s="2715"/>
      <c r="N38" s="2715"/>
      <c r="O38" s="2715"/>
      <c r="P38" s="3752"/>
      <c r="Q38" s="1341" t="str">
        <f t="shared" si="11"/>
        <v>写字楼等级</v>
      </c>
      <c r="R38" s="699" t="s">
        <v>14</v>
      </c>
      <c r="S38" s="700">
        <f t="shared" si="12"/>
        <v>100</v>
      </c>
      <c r="T38" s="699" t="s">
        <v>14</v>
      </c>
      <c r="U38" s="700">
        <f t="shared" si="13"/>
        <v>100</v>
      </c>
      <c r="V38" s="699" t="s">
        <v>14</v>
      </c>
      <c r="W38" s="700">
        <f t="shared" si="14"/>
        <v>100</v>
      </c>
      <c r="X38" s="701"/>
      <c r="Y38" s="3754"/>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9"/>
      <c r="M39" s="2713"/>
      <c r="N39" s="2713"/>
      <c r="O39" s="2713"/>
      <c r="P39" s="3752" t="s">
        <v>1696</v>
      </c>
      <c r="Q39" s="1350" t="str">
        <f t="shared" si="11"/>
        <v>物业管理</v>
      </c>
      <c r="R39" s="703" t="s">
        <v>14</v>
      </c>
      <c r="S39" s="704">
        <f t="shared" si="12"/>
        <v>100</v>
      </c>
      <c r="T39" s="703" t="s">
        <v>14</v>
      </c>
      <c r="U39" s="704">
        <f t="shared" si="13"/>
        <v>100</v>
      </c>
      <c r="V39" s="703" t="s">
        <v>14</v>
      </c>
      <c r="W39" s="704">
        <f t="shared" si="14"/>
        <v>100</v>
      </c>
      <c r="X39" s="1353"/>
      <c r="Y39" s="3754"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9"/>
      <c r="M40" s="2713"/>
      <c r="N40" s="2713"/>
      <c r="O40" s="2713"/>
      <c r="P40" s="3752"/>
      <c r="Q40" s="1350" t="str">
        <f t="shared" si="11"/>
        <v>市政基础设施</v>
      </c>
      <c r="R40" s="703" t="s">
        <v>14</v>
      </c>
      <c r="S40" s="704">
        <f t="shared" si="12"/>
        <v>100</v>
      </c>
      <c r="T40" s="703" t="s">
        <v>14</v>
      </c>
      <c r="U40" s="704">
        <f t="shared" si="13"/>
        <v>100</v>
      </c>
      <c r="V40" s="703" t="s">
        <v>14</v>
      </c>
      <c r="W40" s="704">
        <f t="shared" si="14"/>
        <v>100</v>
      </c>
      <c r="X40" s="1353"/>
      <c r="Y40" s="3754"/>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9"/>
      <c r="M41" s="2713"/>
      <c r="N41" s="2713"/>
      <c r="O41" s="2713"/>
      <c r="P41" s="3752"/>
      <c r="Q41" s="1350" t="str">
        <f t="shared" si="11"/>
        <v>层高</v>
      </c>
      <c r="R41" s="703" t="s">
        <v>14</v>
      </c>
      <c r="S41" s="704">
        <f t="shared" si="12"/>
        <v>100</v>
      </c>
      <c r="T41" s="703" t="s">
        <v>14</v>
      </c>
      <c r="U41" s="704">
        <f t="shared" si="13"/>
        <v>100</v>
      </c>
      <c r="V41" s="703" t="s">
        <v>14</v>
      </c>
      <c r="W41" s="704">
        <f t="shared" si="14"/>
        <v>100</v>
      </c>
      <c r="X41" s="1353"/>
      <c r="Y41" s="3754"/>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752"/>
      <c r="Q42" s="705" t="str">
        <f t="shared" si="11"/>
        <v>单套建筑面积</v>
      </c>
      <c r="R42" s="706" t="s">
        <v>14</v>
      </c>
      <c r="S42" s="707">
        <f t="shared" si="12"/>
        <v>100</v>
      </c>
      <c r="T42" s="706" t="s">
        <v>14</v>
      </c>
      <c r="U42" s="707">
        <f t="shared" si="13"/>
        <v>100</v>
      </c>
      <c r="V42" s="706" t="s">
        <v>14</v>
      </c>
      <c r="W42" s="707">
        <f t="shared" si="14"/>
        <v>100</v>
      </c>
      <c r="X42" s="708"/>
      <c r="Y42" s="3754"/>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9"/>
      <c r="M43" s="2713"/>
      <c r="N43" s="2713"/>
      <c r="O43" s="2713"/>
      <c r="P43" s="3752"/>
      <c r="Q43" s="1350" t="str">
        <f t="shared" si="11"/>
        <v>内部装修</v>
      </c>
      <c r="R43" s="703" t="s">
        <v>14</v>
      </c>
      <c r="S43" s="704">
        <f t="shared" si="12"/>
        <v>100</v>
      </c>
      <c r="T43" s="703" t="s">
        <v>14</v>
      </c>
      <c r="U43" s="704">
        <f t="shared" si="13"/>
        <v>100</v>
      </c>
      <c r="V43" s="703" t="s">
        <v>14</v>
      </c>
      <c r="W43" s="704">
        <f t="shared" si="14"/>
        <v>100</v>
      </c>
      <c r="X43" s="1353"/>
      <c r="Y43" s="3754"/>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9"/>
      <c r="M44" s="2713"/>
      <c r="N44" s="2713"/>
      <c r="O44" s="2713"/>
      <c r="P44" s="3752"/>
      <c r="Q44" s="1350" t="str">
        <f t="shared" si="11"/>
        <v>内部装修维护情况</v>
      </c>
      <c r="R44" s="703" t="s">
        <v>14</v>
      </c>
      <c r="S44" s="704">
        <f t="shared" si="12"/>
        <v>100</v>
      </c>
      <c r="T44" s="703" t="s">
        <v>14</v>
      </c>
      <c r="U44" s="704">
        <f t="shared" si="13"/>
        <v>100</v>
      </c>
      <c r="V44" s="703" t="s">
        <v>14</v>
      </c>
      <c r="W44" s="704">
        <f t="shared" si="14"/>
        <v>100</v>
      </c>
      <c r="X44" s="1353"/>
      <c r="Y44" s="3754"/>
      <c r="Z44" s="1354" t="str">
        <f t="shared" si="15"/>
        <v>内部装修维护情况</v>
      </c>
      <c r="AA44" s="1351">
        <f t="shared" si="3"/>
        <v>1</v>
      </c>
      <c r="AB44" s="1351">
        <f t="shared" si="4"/>
        <v>1</v>
      </c>
      <c r="AC44" s="1960">
        <f t="shared" si="5"/>
        <v>1</v>
      </c>
    </row>
    <row r="45" spans="1:29" s="107" customFormat="1" ht="15">
      <c r="A45" s="422"/>
      <c r="B45" s="1131">
        <v>111</v>
      </c>
      <c r="C45" s="418"/>
      <c r="D45" s="126">
        <v>100</v>
      </c>
      <c r="E45" s="381"/>
      <c r="F45" s="374">
        <f>SUMIF(127:127,E45,128:128)-SUMIF(127:127,C45,128:128)+100</f>
        <v>100</v>
      </c>
      <c r="G45" s="381"/>
      <c r="H45" s="126">
        <f>SUMIF(127:127,G45,128:128)-SUMIF(127:127,C45,128:128)+100</f>
        <v>100</v>
      </c>
      <c r="I45" s="381"/>
      <c r="J45" s="126">
        <f>SUMIF(127:127,I45,128:128)-SUMIF(127:127,C45,128:128)+100</f>
        <v>100</v>
      </c>
      <c r="K45" s="560"/>
      <c r="L45" s="2714"/>
      <c r="M45" s="2715"/>
      <c r="N45" s="2715"/>
      <c r="O45" s="2715"/>
      <c r="P45" s="3752"/>
      <c r="Q45" s="1341">
        <f t="shared" si="11"/>
        <v>111</v>
      </c>
      <c r="R45" s="699" t="s">
        <v>14</v>
      </c>
      <c r="S45" s="700">
        <f t="shared" si="12"/>
        <v>100</v>
      </c>
      <c r="T45" s="699" t="s">
        <v>14</v>
      </c>
      <c r="U45" s="700">
        <f t="shared" si="13"/>
        <v>100</v>
      </c>
      <c r="V45" s="699" t="s">
        <v>14</v>
      </c>
      <c r="W45" s="700">
        <f t="shared" si="14"/>
        <v>100</v>
      </c>
      <c r="X45" s="701"/>
      <c r="Y45" s="3754"/>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9"/>
      <c r="M46" s="2713"/>
      <c r="N46" s="2713"/>
      <c r="O46" s="2713"/>
      <c r="P46" s="3752"/>
      <c r="Q46" s="1350">
        <f t="shared" si="11"/>
        <v>111</v>
      </c>
      <c r="R46" s="703" t="s">
        <v>14</v>
      </c>
      <c r="S46" s="704">
        <f t="shared" si="12"/>
        <v>100</v>
      </c>
      <c r="T46" s="703" t="s">
        <v>14</v>
      </c>
      <c r="U46" s="704">
        <f t="shared" si="13"/>
        <v>100</v>
      </c>
      <c r="V46" s="703" t="s">
        <v>14</v>
      </c>
      <c r="W46" s="704">
        <f t="shared" si="14"/>
        <v>100</v>
      </c>
      <c r="X46" s="1353"/>
      <c r="Y46" s="3754"/>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753"/>
      <c r="Q47" s="1350">
        <f t="shared" si="11"/>
        <v>111</v>
      </c>
      <c r="R47" s="703" t="s">
        <v>14</v>
      </c>
      <c r="S47" s="704">
        <f t="shared" si="12"/>
        <v>100</v>
      </c>
      <c r="T47" s="703" t="s">
        <v>14</v>
      </c>
      <c r="U47" s="704">
        <f t="shared" si="13"/>
        <v>100</v>
      </c>
      <c r="V47" s="703" t="s">
        <v>14</v>
      </c>
      <c r="W47" s="704">
        <f t="shared" si="14"/>
        <v>100</v>
      </c>
      <c r="X47" s="1353"/>
      <c r="Y47" s="3755"/>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1"/>
      <c r="M48" s="2713"/>
      <c r="N48" s="2713"/>
      <c r="O48" s="2713"/>
      <c r="P48" s="3729" t="str">
        <f>A48</f>
        <v>成交单价（元/平方米）</v>
      </c>
      <c r="Q48" s="3747"/>
      <c r="R48" s="3748">
        <f>E48</f>
        <v>0</v>
      </c>
      <c r="S48" s="3748"/>
      <c r="T48" s="3748">
        <f>G48</f>
        <v>0</v>
      </c>
      <c r="U48" s="3748"/>
      <c r="V48" s="3748">
        <f>I48</f>
        <v>0</v>
      </c>
      <c r="W48" s="3748"/>
      <c r="X48" s="395"/>
      <c r="Y48" s="710"/>
      <c r="Z48" s="395"/>
      <c r="AA48" s="395"/>
      <c r="AB48" s="395"/>
      <c r="AC48" s="576"/>
    </row>
    <row r="49" spans="1:29" ht="15.75" thickBot="1">
      <c r="A49" s="435" t="s">
        <v>1793</v>
      </c>
      <c r="B49" s="436"/>
      <c r="C49" s="1158" t="e">
        <f>R50</f>
        <v>#DIV/0!</v>
      </c>
      <c r="D49" s="2315" t="s">
        <v>2137</v>
      </c>
      <c r="E49" s="1159" t="e">
        <f>R49</f>
        <v>#DIV/0!</v>
      </c>
      <c r="F49" s="2316"/>
      <c r="G49" s="1158" t="e">
        <f>T49</f>
        <v>#DIV/0!</v>
      </c>
      <c r="H49" s="2316"/>
      <c r="I49" s="1159" t="e">
        <f>V49</f>
        <v>#DIV/0!</v>
      </c>
      <c r="J49" s="2316"/>
      <c r="K49" s="2318">
        <f>F49+H49+J49</f>
        <v>0</v>
      </c>
      <c r="L49" s="2721"/>
      <c r="M49" s="2713"/>
      <c r="N49" s="2713"/>
      <c r="O49" s="2713"/>
      <c r="P49" s="3729" t="str">
        <f>A49</f>
        <v>比较价值（元/平方米）</v>
      </c>
      <c r="Q49" s="3747"/>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1"/>
      <c r="M50" s="2713"/>
      <c r="N50" s="2713"/>
      <c r="O50" s="2713"/>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5" customFormat="1" ht="15">
      <c r="A59" s="452" t="s">
        <v>1679</v>
      </c>
      <c r="B59" s="453"/>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6"/>
      <c r="Q59" s="2738"/>
      <c r="R59" s="2738"/>
      <c r="S59" s="2738"/>
      <c r="T59" s="2738"/>
      <c r="U59" s="2738"/>
      <c r="V59" s="2738"/>
      <c r="W59" s="2738"/>
      <c r="X59" s="2738"/>
      <c r="Y59" s="2738"/>
      <c r="Z59" s="2738"/>
      <c r="AA59" s="2738"/>
      <c r="AB59" s="2738"/>
      <c r="AC59" s="2738"/>
    </row>
    <row r="60" spans="1:29" s="107" customFormat="1" ht="15">
      <c r="A60" s="456"/>
      <c r="B60" s="457"/>
      <c r="C60" s="1181">
        <v>100</v>
      </c>
      <c r="D60" s="459"/>
      <c r="E60" s="459"/>
      <c r="F60" s="459"/>
      <c r="G60" s="459"/>
      <c r="H60" s="459"/>
      <c r="I60" s="459"/>
      <c r="J60" s="459"/>
      <c r="K60" s="459"/>
      <c r="L60" s="459"/>
      <c r="M60" s="460"/>
      <c r="N60" s="459"/>
      <c r="O60" s="460"/>
      <c r="P60" s="2757"/>
      <c r="Q60" s="2658"/>
      <c r="R60" s="2658"/>
      <c r="S60" s="2658"/>
      <c r="T60" s="2658"/>
      <c r="U60" s="2658"/>
      <c r="V60" s="2658"/>
      <c r="W60" s="2658"/>
      <c r="X60" s="2658"/>
      <c r="Y60" s="2658"/>
      <c r="Z60" s="2658"/>
      <c r="AA60" s="2658"/>
      <c r="AB60" s="2658"/>
      <c r="AC60" s="2658"/>
    </row>
    <row r="61" spans="1:29" s="107" customFormat="1" ht="15.75" thickBot="1">
      <c r="A61" s="462" t="s">
        <v>1716</v>
      </c>
      <c r="B61" s="463"/>
      <c r="C61" s="464"/>
      <c r="D61" s="465"/>
      <c r="E61" s="465"/>
      <c r="F61" s="465"/>
      <c r="G61" s="465"/>
      <c r="H61" s="465"/>
      <c r="I61" s="465"/>
      <c r="J61" s="465"/>
      <c r="K61" s="465"/>
      <c r="L61" s="465"/>
      <c r="M61" s="466"/>
      <c r="N61" s="465"/>
      <c r="O61" s="466"/>
      <c r="P61" s="2757"/>
      <c r="Q61" s="2736"/>
      <c r="R61" s="2658"/>
      <c r="S61" s="2658"/>
      <c r="T61" s="2658"/>
      <c r="U61" s="2658"/>
      <c r="V61" s="2658"/>
      <c r="W61" s="2658"/>
      <c r="X61" s="2658"/>
      <c r="Y61" s="2658"/>
      <c r="Z61" s="2658"/>
      <c r="AA61" s="2658"/>
      <c r="AB61" s="2658"/>
      <c r="AC61" s="2658"/>
    </row>
    <row r="62" spans="1:29" s="107" customFormat="1" ht="15">
      <c r="A62" s="468" t="s">
        <v>1681</v>
      </c>
      <c r="B62" s="457"/>
      <c r="C62" s="469" t="s">
        <v>1776</v>
      </c>
      <c r="D62" s="470"/>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5.75" thickBot="1">
      <c r="A63" s="468"/>
      <c r="B63" s="457"/>
      <c r="C63" s="458">
        <v>100</v>
      </c>
      <c r="D63" s="459"/>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c r="A64" s="474" t="s">
        <v>1719</v>
      </c>
      <c r="B64" s="475" t="s">
        <v>1685</v>
      </c>
      <c r="C64" s="476">
        <f>C9</f>
        <v>0</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5.75"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7.75" thickTop="1">
      <c r="A66" s="481"/>
      <c r="B66" s="485" t="s">
        <v>1688</v>
      </c>
      <c r="C66" s="530"/>
      <c r="D66" s="530"/>
      <c r="E66" s="530"/>
      <c r="F66" s="530"/>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5.75" thickBot="1">
      <c r="A67" s="481"/>
      <c r="B67" s="490"/>
      <c r="C67" s="483"/>
      <c r="D67" s="483"/>
      <c r="E67" s="483"/>
      <c r="F67" s="483"/>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1"/>
      <c r="B69" s="495"/>
      <c r="C69" s="496">
        <v>0</v>
      </c>
      <c r="D69" s="496">
        <v>3</v>
      </c>
      <c r="E69" s="496"/>
      <c r="F69" s="496"/>
      <c r="G69" s="496"/>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1"/>
      <c r="O70" s="2751"/>
      <c r="P70" s="2759"/>
      <c r="Q70" s="2736"/>
      <c r="R70" s="2722"/>
      <c r="S70" s="2722"/>
      <c r="T70" s="2722"/>
      <c r="U70" s="2722"/>
      <c r="V70" s="2722"/>
      <c r="W70" s="2722"/>
      <c r="X70" s="2722"/>
      <c r="Y70" s="2722"/>
      <c r="Z70" s="2722"/>
      <c r="AA70" s="2722"/>
      <c r="AB70" s="2722"/>
      <c r="AC70" s="2722"/>
    </row>
    <row r="71" spans="1:29" s="420" customFormat="1" ht="15.75" thickTop="1">
      <c r="A71" s="500"/>
      <c r="B71" s="485">
        <f>B12</f>
        <v>111</v>
      </c>
      <c r="C71" s="501"/>
      <c r="D71" s="501"/>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5.75" thickBot="1">
      <c r="A72" s="500"/>
      <c r="B72" s="490"/>
      <c r="C72" s="507"/>
      <c r="D72" s="483"/>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5.75"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5.75"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5.75"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5.75"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7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7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75" thickTop="1">
      <c r="A83" s="481"/>
      <c r="B83" s="493" t="s">
        <v>1813</v>
      </c>
      <c r="C83" s="606" t="s">
        <v>1799</v>
      </c>
      <c r="D83" s="606" t="s">
        <v>1800</v>
      </c>
      <c r="E83" s="606" t="s">
        <v>1801</v>
      </c>
      <c r="F83" s="606" t="s">
        <v>1802</v>
      </c>
      <c r="G83" s="606" t="s">
        <v>1803</v>
      </c>
      <c r="H83" s="486"/>
      <c r="I83" s="486"/>
      <c r="J83" s="486"/>
      <c r="K83" s="486"/>
      <c r="L83" s="486"/>
      <c r="M83" s="1127"/>
      <c r="N83" s="2751"/>
      <c r="O83" s="2751"/>
      <c r="P83" s="2759"/>
      <c r="Q83" s="2736"/>
      <c r="R83" s="2722"/>
      <c r="S83" s="2722"/>
      <c r="T83" s="2722"/>
      <c r="U83" s="2722"/>
      <c r="V83" s="2722"/>
      <c r="W83" s="2722"/>
      <c r="X83" s="2722"/>
      <c r="Y83" s="2722"/>
      <c r="Z83" s="2722"/>
      <c r="AA83" s="2722"/>
      <c r="AB83" s="2722"/>
      <c r="AC83" s="2722"/>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7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7.75"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6"/>
      <c r="B89" s="485" t="str">
        <f>B27</f>
        <v>楼层</v>
      </c>
      <c r="C89" s="501"/>
      <c r="D89" s="501"/>
      <c r="E89" s="501"/>
      <c r="F89" s="1925"/>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1"/>
      <c r="O90" s="2751"/>
      <c r="P90" s="2759"/>
      <c r="Q90" s="2736"/>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5.75"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5.75"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5.75"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5.75"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5.75" thickBot="1">
      <c r="A100" s="1926"/>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c r="A101" s="474" t="s">
        <v>1694</v>
      </c>
      <c r="B101" s="475" t="s">
        <v>1736</v>
      </c>
      <c r="C101" s="477"/>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542"/>
      <c r="D104" s="542"/>
      <c r="E104" s="542"/>
      <c r="F104" s="542"/>
      <c r="G104" s="542"/>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5.75" thickBot="1">
      <c r="A105" s="500"/>
      <c r="B105" s="490"/>
      <c r="C105" s="507"/>
      <c r="D105" s="483"/>
      <c r="E105" s="483"/>
      <c r="F105" s="483"/>
      <c r="G105" s="483"/>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501"/>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501"/>
      <c r="D108" s="501"/>
      <c r="E108" s="501"/>
      <c r="F108" s="530"/>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501"/>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501"/>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501"/>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530"/>
      <c r="D119" s="530"/>
      <c r="E119" s="530"/>
      <c r="F119" s="530"/>
      <c r="G119" s="530"/>
      <c r="H119" s="530"/>
      <c r="I119" s="530"/>
      <c r="J119" s="530"/>
      <c r="K119" s="530"/>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5.75"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501"/>
      <c r="D123" s="501"/>
      <c r="E123" s="501"/>
      <c r="F123" s="530"/>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5" thickTop="1">
      <c r="A127" s="540"/>
      <c r="B127" s="485">
        <f>B45</f>
        <v>111</v>
      </c>
      <c r="C127" s="501"/>
      <c r="D127" s="501"/>
      <c r="E127" s="501"/>
      <c r="F127" s="501"/>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5.75" thickBot="1">
      <c r="A128" s="500"/>
      <c r="B128" s="490"/>
      <c r="C128" s="507"/>
      <c r="D128" s="483"/>
      <c r="E128" s="483"/>
      <c r="F128" s="483"/>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5"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5.75"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5"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119963.53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30" t="s">
        <v>1770</v>
      </c>
      <c r="D4" s="3731"/>
      <c r="E4" s="3732" t="s">
        <v>1771</v>
      </c>
      <c r="F4" s="3733"/>
      <c r="G4" s="3730" t="s">
        <v>1772</v>
      </c>
      <c r="H4" s="3731"/>
      <c r="I4" s="3730" t="s">
        <v>1773</v>
      </c>
      <c r="J4" s="3731"/>
      <c r="K4" s="557" t="s">
        <v>1774</v>
      </c>
      <c r="L4" s="911"/>
      <c r="M4" s="912"/>
      <c r="N4" s="912"/>
      <c r="O4" s="912"/>
      <c r="P4" s="3734" t="s">
        <v>1775</v>
      </c>
      <c r="Q4" s="3735"/>
      <c r="R4" s="3717" t="s">
        <v>1771</v>
      </c>
      <c r="S4" s="3718"/>
      <c r="T4" s="3717" t="s">
        <v>1772</v>
      </c>
      <c r="U4" s="3718"/>
      <c r="V4" s="3742" t="s">
        <v>1773</v>
      </c>
      <c r="W4" s="3742"/>
      <c r="X4" s="1353"/>
      <c r="Y4" s="3717" t="s">
        <v>1775</v>
      </c>
      <c r="Z4" s="3718"/>
      <c r="AA4" s="3712" t="s">
        <v>1771</v>
      </c>
      <c r="AB4" s="3713" t="s">
        <v>1772</v>
      </c>
      <c r="AC4" s="3712" t="s">
        <v>1773</v>
      </c>
    </row>
    <row r="5" spans="1:29" ht="15">
      <c r="A5" s="356"/>
      <c r="B5" s="357"/>
      <c r="C5" s="3723" t="s">
        <v>1673</v>
      </c>
      <c r="D5" s="3724"/>
      <c r="E5" s="3721" t="s">
        <v>1674</v>
      </c>
      <c r="F5" s="3722"/>
      <c r="G5" s="3723" t="s">
        <v>1675</v>
      </c>
      <c r="H5" s="3724"/>
      <c r="I5" s="3723" t="s">
        <v>1676</v>
      </c>
      <c r="J5" s="3724"/>
      <c r="K5" s="557"/>
      <c r="L5" s="911"/>
      <c r="M5" s="912"/>
      <c r="N5" s="912"/>
      <c r="O5" s="912"/>
      <c r="P5" s="3736"/>
      <c r="Q5" s="3737"/>
      <c r="R5" s="3719"/>
      <c r="S5" s="3720"/>
      <c r="T5" s="3719"/>
      <c r="U5" s="3720"/>
      <c r="V5" s="3742"/>
      <c r="W5" s="3742"/>
      <c r="X5" s="1353"/>
      <c r="Y5" s="3719"/>
      <c r="Z5" s="3720"/>
      <c r="AA5" s="3713"/>
      <c r="AB5" s="3713"/>
      <c r="AC5" s="3713"/>
    </row>
    <row r="6" spans="1:29" ht="15.75" thickBot="1">
      <c r="A6" s="358"/>
      <c r="B6" s="359"/>
      <c r="C6" s="3725" t="s">
        <v>1677</v>
      </c>
      <c r="D6" s="3726"/>
      <c r="E6" s="3727" t="s">
        <v>1677</v>
      </c>
      <c r="F6" s="3728"/>
      <c r="G6" s="3725" t="s">
        <v>1677</v>
      </c>
      <c r="H6" s="3726"/>
      <c r="I6" s="3725" t="s">
        <v>1677</v>
      </c>
      <c r="J6" s="3726"/>
      <c r="K6" s="557" t="s">
        <v>1678</v>
      </c>
      <c r="L6" s="911"/>
      <c r="M6" s="912"/>
      <c r="N6" s="912"/>
      <c r="O6" s="912"/>
      <c r="P6" s="3738"/>
      <c r="Q6" s="3739"/>
      <c r="R6" s="3719"/>
      <c r="S6" s="3720"/>
      <c r="T6" s="3740"/>
      <c r="U6" s="3741"/>
      <c r="V6" s="3742"/>
      <c r="W6" s="3742"/>
      <c r="X6" s="1353"/>
      <c r="Y6" s="3740"/>
      <c r="Z6" s="3741"/>
      <c r="AA6" s="3714"/>
      <c r="AB6" s="3714"/>
      <c r="AC6" s="3714"/>
    </row>
    <row r="7" spans="1:29" s="107" customFormat="1" ht="15.75" thickBot="1">
      <c r="A7" s="360" t="s">
        <v>1679</v>
      </c>
      <c r="B7" s="361"/>
      <c r="C7" s="362">
        <f>'数据-取费表'!B2</f>
        <v>45317</v>
      </c>
      <c r="D7" s="363">
        <v>100</v>
      </c>
      <c r="E7" s="364"/>
      <c r="F7" s="365">
        <f>SUMIF(52:52,YEAR(E7)&amp;"-"&amp;MONTH(E7),53:53)</f>
        <v>0</v>
      </c>
      <c r="G7" s="364"/>
      <c r="H7" s="363">
        <f>SUMIF(52:52,YEAR(G7)&amp;"-"&amp;MONTH(G7),53:53)</f>
        <v>0</v>
      </c>
      <c r="I7" s="364"/>
      <c r="J7" s="363">
        <f>SUMIF(52:52,YEAR(I7)&amp;"-"&amp;MONTH(I7),53:53)</f>
        <v>0</v>
      </c>
      <c r="K7" s="558"/>
      <c r="L7" s="913"/>
      <c r="M7" s="914"/>
      <c r="N7" s="914"/>
      <c r="O7" s="914"/>
      <c r="P7" s="3715" t="s">
        <v>1680</v>
      </c>
      <c r="Q7" s="3743"/>
      <c r="R7" s="699" t="s">
        <v>14</v>
      </c>
      <c r="S7" s="700">
        <f t="shared" ref="S7:S15" si="0">F7</f>
        <v>0</v>
      </c>
      <c r="T7" s="699" t="s">
        <v>14</v>
      </c>
      <c r="U7" s="700">
        <f t="shared" ref="U7:U15" si="1">H7</f>
        <v>0</v>
      </c>
      <c r="V7" s="699" t="s">
        <v>14</v>
      </c>
      <c r="W7" s="700">
        <f t="shared" ref="W7:W15" si="2">J7</f>
        <v>0</v>
      </c>
      <c r="X7" s="701"/>
      <c r="Y7" s="3715" t="s">
        <v>1680</v>
      </c>
      <c r="Z7" s="3716"/>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15" t="s">
        <v>1683</v>
      </c>
      <c r="Q8" s="3716"/>
      <c r="R8" s="699" t="s">
        <v>14</v>
      </c>
      <c r="S8" s="700">
        <f t="shared" si="0"/>
        <v>100</v>
      </c>
      <c r="T8" s="699" t="s">
        <v>14</v>
      </c>
      <c r="U8" s="700">
        <f t="shared" si="1"/>
        <v>100</v>
      </c>
      <c r="V8" s="699" t="s">
        <v>14</v>
      </c>
      <c r="W8" s="700">
        <f t="shared" si="2"/>
        <v>100</v>
      </c>
      <c r="X8" s="701"/>
      <c r="Y8" s="3715" t="s">
        <v>1683</v>
      </c>
      <c r="Z8" s="3716"/>
      <c r="AA8" s="702">
        <f t="shared" ref="AA8:AA40" si="3">D8/F8</f>
        <v>1</v>
      </c>
      <c r="AB8" s="702">
        <f t="shared" ref="AB8:AB40" si="4">D8/H8</f>
        <v>1</v>
      </c>
      <c r="AC8" s="702">
        <f t="shared" ref="AC8:AC40" si="5">D8/J8</f>
        <v>1</v>
      </c>
    </row>
    <row r="9" spans="1:29" s="107" customFormat="1">
      <c r="A9" s="367" t="s">
        <v>1684</v>
      </c>
      <c r="B9" s="63" t="s">
        <v>1685</v>
      </c>
      <c r="C9" s="368"/>
      <c r="D9" s="125">
        <v>100</v>
      </c>
      <c r="E9" s="371"/>
      <c r="F9" s="125">
        <f>SUMIF(57:57,E9,58:58)-SUMIF(57:57,C9,58:58)+100</f>
        <v>100</v>
      </c>
      <c r="G9" s="369"/>
      <c r="H9" s="125">
        <f>SUMIF(57:57,G9,58:58)-SUMIF(57:57,C9,58:58)+100</f>
        <v>100</v>
      </c>
      <c r="I9" s="369"/>
      <c r="J9" s="125">
        <f>SUMIF(57:57,I9,58:58)-SUMIF(57:57,C9,58:58)+100</f>
        <v>100</v>
      </c>
      <c r="K9" s="558"/>
      <c r="L9" s="913"/>
      <c r="M9" s="914"/>
      <c r="N9" s="914"/>
      <c r="O9" s="915"/>
      <c r="P9" s="3747" t="s">
        <v>1686</v>
      </c>
      <c r="Q9" s="1341"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1"/>
      <c r="F10" s="126">
        <f>SUMIF(59:59,E10,60:60)-SUMIF(59:59,C10,60:60)+100</f>
        <v>100</v>
      </c>
      <c r="G10" s="3432"/>
      <c r="H10" s="126">
        <f>SUMIF(59:59,G10,60:60)-SUMIF(59:59,C10,60:60)+100</f>
        <v>100</v>
      </c>
      <c r="I10" s="3431"/>
      <c r="J10" s="126">
        <f>SUMIF(59:59,I10,60:60)-SUMIF(59:59,C10,60:60)+100</f>
        <v>100</v>
      </c>
      <c r="K10" s="558"/>
      <c r="L10" s="916"/>
      <c r="M10" s="917"/>
      <c r="N10" s="917"/>
      <c r="O10" s="918"/>
      <c r="P10" s="3747"/>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7"/>
      <c r="B11" s="373" t="s">
        <v>1689</v>
      </c>
      <c r="C11" s="378"/>
      <c r="D11" s="126">
        <v>100</v>
      </c>
      <c r="E11" s="378"/>
      <c r="F11" s="126">
        <f>LOOKUP(E11,62:62,63:63)-LOOKUP(C11,62:62,63:63)+100</f>
        <v>100</v>
      </c>
      <c r="G11" s="379"/>
      <c r="H11" s="126">
        <f>LOOKUP(G11,62:62,63:63)-LOOKUP(C11,62:62,63:63)+100</f>
        <v>100</v>
      </c>
      <c r="I11" s="378"/>
      <c r="J11" s="126">
        <f>LOOKUP(I11,62:62,63:63)-LOOKUP(C11,62:62,63:63)+100</f>
        <v>100</v>
      </c>
      <c r="K11" s="559"/>
      <c r="L11" s="919"/>
      <c r="M11" s="912"/>
      <c r="N11" s="912"/>
      <c r="O11" s="920"/>
      <c r="P11" s="3747"/>
      <c r="Q11" s="1341" t="str">
        <f t="shared" si="6"/>
        <v>容积率</v>
      </c>
      <c r="R11" s="699" t="s">
        <v>14</v>
      </c>
      <c r="S11" s="700">
        <f t="shared" si="0"/>
        <v>100</v>
      </c>
      <c r="T11" s="699" t="s">
        <v>14</v>
      </c>
      <c r="U11" s="700">
        <f t="shared" si="1"/>
        <v>100</v>
      </c>
      <c r="V11" s="699" t="s">
        <v>14</v>
      </c>
      <c r="W11" s="700">
        <f t="shared" si="2"/>
        <v>100</v>
      </c>
      <c r="X11" s="701"/>
      <c r="Y11" s="3659"/>
      <c r="Z11" s="52" t="str">
        <f t="shared" si="7"/>
        <v>容积率</v>
      </c>
      <c r="AA11" s="702">
        <f t="shared" si="3"/>
        <v>1</v>
      </c>
      <c r="AB11" s="702">
        <f t="shared" si="4"/>
        <v>1</v>
      </c>
      <c r="AC11" s="702">
        <f t="shared" si="5"/>
        <v>1</v>
      </c>
    </row>
    <row r="12" spans="1:29" s="107" customFormat="1" ht="15">
      <c r="A12" s="380"/>
      <c r="B12" s="1891">
        <v>111</v>
      </c>
      <c r="C12" s="381"/>
      <c r="D12" s="382">
        <v>100</v>
      </c>
      <c r="E12" s="383"/>
      <c r="F12" s="126">
        <f>SUMIF(64:64,E12,65:65)-SUMIF(64:64,C12,65:65)+100</f>
        <v>100</v>
      </c>
      <c r="G12" s="1968"/>
      <c r="H12" s="126">
        <f>SUMIF(64:64,G12,65:65)-SUMIF(64:64,C12,65:65)+100</f>
        <v>100</v>
      </c>
      <c r="I12" s="418"/>
      <c r="J12" s="126">
        <f>SUMIF(64:64,I12,65:65)-SUMIF(64:64,C12,65:65)+100</f>
        <v>100</v>
      </c>
      <c r="K12" s="560"/>
      <c r="L12" s="913"/>
      <c r="M12" s="914"/>
      <c r="N12" s="914"/>
      <c r="O12" s="915"/>
      <c r="P12" s="3747"/>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7"/>
      <c r="B13" s="1891">
        <v>111</v>
      </c>
      <c r="C13" s="383"/>
      <c r="D13" s="384">
        <v>100</v>
      </c>
      <c r="E13" s="383"/>
      <c r="F13" s="126">
        <f>SUMIF(66:66,E13,67:67)-SUMIF(66:66,C13,67:67)+100</f>
        <v>100</v>
      </c>
      <c r="G13" s="1968"/>
      <c r="H13" s="384">
        <f>SUMIF(66:66,G13,67:67)-SUMIF(66:66,C13,67:67)+100</f>
        <v>100</v>
      </c>
      <c r="I13" s="418"/>
      <c r="J13" s="384">
        <f>SUMIF(66:66,I13,67:67)-SUMIF(66:66,C13,67:67)+100</f>
        <v>100</v>
      </c>
      <c r="K13" s="560"/>
      <c r="L13" s="921"/>
      <c r="M13" s="912"/>
      <c r="N13" s="912"/>
      <c r="O13" s="920"/>
      <c r="P13" s="3747"/>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47"/>
      <c r="Q14" s="1341">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49" t="s">
        <v>1691</v>
      </c>
      <c r="Q15" s="1350" t="str">
        <f t="shared" si="6"/>
        <v>产业集聚程度</v>
      </c>
      <c r="R15" s="703" t="s">
        <v>14</v>
      </c>
      <c r="S15" s="704">
        <f t="shared" si="0"/>
        <v>100</v>
      </c>
      <c r="T15" s="703" t="s">
        <v>14</v>
      </c>
      <c r="U15" s="704">
        <f t="shared" si="1"/>
        <v>100</v>
      </c>
      <c r="V15" s="703" t="s">
        <v>14</v>
      </c>
      <c r="W15" s="704">
        <f t="shared" si="2"/>
        <v>100</v>
      </c>
      <c r="X15" s="1353"/>
      <c r="Y15" s="3749"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50"/>
      <c r="Q16" s="1350"/>
      <c r="R16" s="703"/>
      <c r="S16" s="704"/>
      <c r="T16" s="703"/>
      <c r="U16" s="704"/>
      <c r="V16" s="703"/>
      <c r="W16" s="704"/>
      <c r="X16" s="1353"/>
      <c r="Y16" s="3750"/>
      <c r="Z16" s="1354"/>
      <c r="AA16" s="1351">
        <v>1</v>
      </c>
      <c r="AB16" s="1351">
        <v>1</v>
      </c>
      <c r="AC16" s="1351">
        <v>1</v>
      </c>
    </row>
    <row r="17" spans="1:29" ht="15">
      <c r="A17" s="377"/>
      <c r="B17" s="400" t="s">
        <v>1259</v>
      </c>
      <c r="C17" s="1898">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50"/>
      <c r="Q17" s="1350" t="str">
        <f>B17</f>
        <v>交通便捷度</v>
      </c>
      <c r="R17" s="703" t="s">
        <v>14</v>
      </c>
      <c r="S17" s="704">
        <f>F17</f>
        <v>100</v>
      </c>
      <c r="T17" s="703" t="s">
        <v>14</v>
      </c>
      <c r="U17" s="704">
        <f>H17</f>
        <v>100</v>
      </c>
      <c r="V17" s="703" t="s">
        <v>14</v>
      </c>
      <c r="W17" s="704">
        <f>J17</f>
        <v>100</v>
      </c>
      <c r="X17" s="1353"/>
      <c r="Y17" s="3750"/>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50"/>
      <c r="Q18" s="1350"/>
      <c r="R18" s="703"/>
      <c r="S18" s="704"/>
      <c r="T18" s="703"/>
      <c r="U18" s="704"/>
      <c r="V18" s="703"/>
      <c r="W18" s="704"/>
      <c r="X18" s="1353"/>
      <c r="Y18" s="3750"/>
      <c r="Z18" s="1354"/>
      <c r="AA18" s="1351">
        <v>1</v>
      </c>
      <c r="AB18" s="1351">
        <v>1</v>
      </c>
      <c r="AC18" s="1351">
        <v>1</v>
      </c>
    </row>
    <row r="19" spans="1:29" ht="15">
      <c r="A19" s="377"/>
      <c r="B19" s="400" t="s">
        <v>1812</v>
      </c>
      <c r="C19" s="1898">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50"/>
      <c r="Q19" s="1350" t="str">
        <f>B19</f>
        <v>公共配套设施</v>
      </c>
      <c r="R19" s="703" t="s">
        <v>14</v>
      </c>
      <c r="S19" s="704">
        <f>F19</f>
        <v>100</v>
      </c>
      <c r="T19" s="703" t="s">
        <v>14</v>
      </c>
      <c r="U19" s="704">
        <f>H19</f>
        <v>100</v>
      </c>
      <c r="V19" s="703" t="s">
        <v>14</v>
      </c>
      <c r="W19" s="704">
        <f>J19</f>
        <v>100</v>
      </c>
      <c r="X19" s="1353"/>
      <c r="Y19" s="3750"/>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50"/>
      <c r="Q20" s="1350"/>
      <c r="R20" s="703"/>
      <c r="S20" s="704"/>
      <c r="T20" s="703"/>
      <c r="U20" s="704"/>
      <c r="V20" s="703"/>
      <c r="W20" s="704"/>
      <c r="X20" s="1353"/>
      <c r="Y20" s="3750"/>
      <c r="Z20" s="1354"/>
      <c r="AA20" s="1351">
        <v>1</v>
      </c>
      <c r="AB20" s="1351">
        <v>1</v>
      </c>
      <c r="AC20" s="1351">
        <v>1</v>
      </c>
    </row>
    <row r="21" spans="1:29" ht="15">
      <c r="A21" s="377"/>
      <c r="B21" s="1129" t="s">
        <v>1813</v>
      </c>
      <c r="C21" s="1898">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50"/>
      <c r="Q21" s="1350" t="str">
        <f>B21</f>
        <v>基础设施水平</v>
      </c>
      <c r="R21" s="703" t="s">
        <v>14</v>
      </c>
      <c r="S21" s="704">
        <f>F21</f>
        <v>100</v>
      </c>
      <c r="T21" s="703" t="s">
        <v>14</v>
      </c>
      <c r="U21" s="704">
        <f>H21</f>
        <v>100</v>
      </c>
      <c r="V21" s="703" t="s">
        <v>14</v>
      </c>
      <c r="W21" s="704">
        <f>J21</f>
        <v>100</v>
      </c>
      <c r="X21" s="1353"/>
      <c r="Y21" s="3750"/>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50"/>
      <c r="Q22" s="1350"/>
      <c r="R22" s="703"/>
      <c r="S22" s="704"/>
      <c r="T22" s="703"/>
      <c r="U22" s="704"/>
      <c r="V22" s="703"/>
      <c r="W22" s="704"/>
      <c r="X22" s="1353"/>
      <c r="Y22" s="3750"/>
      <c r="Z22" s="1354"/>
      <c r="AA22" s="1351">
        <v>1</v>
      </c>
      <c r="AB22" s="1351">
        <v>1</v>
      </c>
      <c r="AC22" s="1351">
        <v>1</v>
      </c>
    </row>
    <row r="23" spans="1:29" ht="15">
      <c r="A23" s="377"/>
      <c r="B23" s="400" t="s">
        <v>1814</v>
      </c>
      <c r="C23" s="1898">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50"/>
      <c r="Q23" s="1350" t="str">
        <f>B23</f>
        <v>环境质量</v>
      </c>
      <c r="R23" s="703" t="s">
        <v>14</v>
      </c>
      <c r="S23" s="704">
        <f>F23</f>
        <v>100</v>
      </c>
      <c r="T23" s="703" t="s">
        <v>14</v>
      </c>
      <c r="U23" s="704">
        <f>H23</f>
        <v>100</v>
      </c>
      <c r="V23" s="703" t="s">
        <v>14</v>
      </c>
      <c r="W23" s="704">
        <f>J23</f>
        <v>100</v>
      </c>
      <c r="X23" s="1353"/>
      <c r="Y23" s="3750"/>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50"/>
      <c r="Q24" s="1350"/>
      <c r="R24" s="703"/>
      <c r="S24" s="704"/>
      <c r="T24" s="703"/>
      <c r="U24" s="704"/>
      <c r="V24" s="703"/>
      <c r="W24" s="704"/>
      <c r="X24" s="1353"/>
      <c r="Y24" s="3750"/>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50"/>
      <c r="Q25" s="1350">
        <f>B25</f>
        <v>111</v>
      </c>
      <c r="R25" s="703" t="s">
        <v>14</v>
      </c>
      <c r="S25" s="704">
        <f>F25</f>
        <v>100</v>
      </c>
      <c r="T25" s="703" t="s">
        <v>14</v>
      </c>
      <c r="U25" s="704">
        <f>H25</f>
        <v>100</v>
      </c>
      <c r="V25" s="703" t="s">
        <v>14</v>
      </c>
      <c r="W25" s="704">
        <f>J25</f>
        <v>100</v>
      </c>
      <c r="X25" s="1353"/>
      <c r="Y25" s="3750"/>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50"/>
      <c r="Q26" s="1350">
        <f t="shared" ref="Q26:Q40" si="11">B26</f>
        <v>111</v>
      </c>
      <c r="R26" s="703" t="s">
        <v>14</v>
      </c>
      <c r="S26" s="704">
        <f>F26</f>
        <v>100</v>
      </c>
      <c r="T26" s="703" t="s">
        <v>14</v>
      </c>
      <c r="U26" s="704">
        <f>H26</f>
        <v>100</v>
      </c>
      <c r="V26" s="703" t="s">
        <v>14</v>
      </c>
      <c r="W26" s="704">
        <f>J26</f>
        <v>100</v>
      </c>
      <c r="X26" s="1353"/>
      <c r="Y26" s="3750"/>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50"/>
      <c r="Q27" s="1341">
        <f t="shared" si="11"/>
        <v>111</v>
      </c>
      <c r="R27" s="699" t="s">
        <v>14</v>
      </c>
      <c r="S27" s="700">
        <f>F27</f>
        <v>100</v>
      </c>
      <c r="T27" s="699" t="s">
        <v>14</v>
      </c>
      <c r="U27" s="700">
        <f>H27</f>
        <v>100</v>
      </c>
      <c r="V27" s="699" t="s">
        <v>14</v>
      </c>
      <c r="W27" s="700">
        <f>J27</f>
        <v>100</v>
      </c>
      <c r="X27" s="701"/>
      <c r="Y27" s="3750"/>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50"/>
      <c r="Q28" s="1350">
        <f t="shared" si="11"/>
        <v>111</v>
      </c>
      <c r="R28" s="703" t="s">
        <v>14</v>
      </c>
      <c r="S28" s="704">
        <f t="shared" ref="S28:S40" si="12">F28</f>
        <v>100</v>
      </c>
      <c r="T28" s="703" t="s">
        <v>14</v>
      </c>
      <c r="U28" s="704">
        <f t="shared" ref="U28:U40" si="13">H28</f>
        <v>100</v>
      </c>
      <c r="V28" s="703" t="s">
        <v>14</v>
      </c>
      <c r="W28" s="704">
        <f t="shared" ref="W28:W40" si="14">J28</f>
        <v>100</v>
      </c>
      <c r="X28" s="1353"/>
      <c r="Y28" s="3750"/>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73" t="s">
        <v>1696</v>
      </c>
      <c r="Q29" s="1350" t="str">
        <f t="shared" si="11"/>
        <v>建筑类型</v>
      </c>
      <c r="R29" s="703" t="s">
        <v>14</v>
      </c>
      <c r="S29" s="704">
        <f t="shared" si="12"/>
        <v>100</v>
      </c>
      <c r="T29" s="703" t="s">
        <v>14</v>
      </c>
      <c r="U29" s="704">
        <f t="shared" si="13"/>
        <v>100</v>
      </c>
      <c r="V29" s="703" t="s">
        <v>14</v>
      </c>
      <c r="W29" s="704">
        <f t="shared" si="14"/>
        <v>100</v>
      </c>
      <c r="X29" s="1353"/>
      <c r="Y29" s="3754" t="s">
        <v>1696</v>
      </c>
      <c r="Z29" s="1354" t="str">
        <f t="shared" si="15"/>
        <v>建筑类型</v>
      </c>
      <c r="AA29" s="1351">
        <f t="shared" si="3"/>
        <v>1</v>
      </c>
      <c r="AB29" s="1351">
        <f t="shared" si="4"/>
        <v>1</v>
      </c>
      <c r="AC29" s="1351">
        <f t="shared" si="5"/>
        <v>1</v>
      </c>
    </row>
    <row r="30" spans="1:29" s="420" customFormat="1" ht="15">
      <c r="A30" s="417"/>
      <c r="B30" s="373" t="s">
        <v>1697</v>
      </c>
      <c r="C30" s="418"/>
      <c r="D30" s="126">
        <v>100</v>
      </c>
      <c r="E30" s="379"/>
      <c r="F30" s="374" t="e">
        <f>LOOKUP(E30,91:91,92:92)-LOOKUP(C30,91:91,92:92)+100</f>
        <v>#N/A</v>
      </c>
      <c r="G30" s="378"/>
      <c r="H30" s="126" t="e">
        <f>LOOKUP(G30,91:91,92:92)-LOOKUP(C30,91:91,92:92)+100</f>
        <v>#N/A</v>
      </c>
      <c r="I30" s="378"/>
      <c r="J30" s="126" t="e">
        <f>LOOKUP(I30,91:91,92:92)-LOOKUP(C30,91:91,92:92)+100</f>
        <v>#N/A</v>
      </c>
      <c r="K30" s="560"/>
      <c r="L30" s="919"/>
      <c r="M30" s="922"/>
      <c r="N30" s="922"/>
      <c r="O30" s="923"/>
      <c r="P30" s="3754"/>
      <c r="Q30" s="705" t="str">
        <f t="shared" si="11"/>
        <v>项目建筑规模</v>
      </c>
      <c r="R30" s="706" t="s">
        <v>14</v>
      </c>
      <c r="S30" s="707" t="e">
        <f t="shared" si="12"/>
        <v>#N/A</v>
      </c>
      <c r="T30" s="706" t="s">
        <v>14</v>
      </c>
      <c r="U30" s="707" t="e">
        <f t="shared" si="13"/>
        <v>#N/A</v>
      </c>
      <c r="V30" s="706" t="s">
        <v>14</v>
      </c>
      <c r="W30" s="707" t="e">
        <f t="shared" si="14"/>
        <v>#N/A</v>
      </c>
      <c r="X30" s="708"/>
      <c r="Y30" s="3754"/>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54"/>
      <c r="Q31" s="1350" t="str">
        <f t="shared" si="11"/>
        <v>建筑结构</v>
      </c>
      <c r="R31" s="703" t="s">
        <v>14</v>
      </c>
      <c r="S31" s="704">
        <f t="shared" si="12"/>
        <v>100</v>
      </c>
      <c r="T31" s="703" t="s">
        <v>14</v>
      </c>
      <c r="U31" s="704">
        <f t="shared" si="13"/>
        <v>100</v>
      </c>
      <c r="V31" s="703" t="s">
        <v>14</v>
      </c>
      <c r="W31" s="704">
        <f t="shared" si="14"/>
        <v>100</v>
      </c>
      <c r="X31" s="1353"/>
      <c r="Y31" s="3754"/>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54"/>
      <c r="Q32" s="1350" t="str">
        <f t="shared" si="11"/>
        <v>公共部分装修</v>
      </c>
      <c r="R32" s="703" t="s">
        <v>14</v>
      </c>
      <c r="S32" s="704">
        <f t="shared" si="12"/>
        <v>100</v>
      </c>
      <c r="T32" s="703" t="s">
        <v>14</v>
      </c>
      <c r="U32" s="704">
        <f t="shared" si="13"/>
        <v>100</v>
      </c>
      <c r="V32" s="703" t="s">
        <v>14</v>
      </c>
      <c r="W32" s="704">
        <f t="shared" si="14"/>
        <v>100</v>
      </c>
      <c r="X32" s="1353"/>
      <c r="Y32" s="3754"/>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54"/>
      <c r="Q33" s="1350" t="str">
        <f t="shared" si="11"/>
        <v>成新度</v>
      </c>
      <c r="R33" s="703" t="s">
        <v>14</v>
      </c>
      <c r="S33" s="704" t="e">
        <f t="shared" si="12"/>
        <v>#N/A</v>
      </c>
      <c r="T33" s="703" t="s">
        <v>14</v>
      </c>
      <c r="U33" s="704" t="e">
        <f t="shared" si="13"/>
        <v>#N/A</v>
      </c>
      <c r="V33" s="703" t="s">
        <v>14</v>
      </c>
      <c r="W33" s="704" t="e">
        <f t="shared" si="14"/>
        <v>#N/A</v>
      </c>
      <c r="X33" s="1353"/>
      <c r="Y33" s="3754"/>
      <c r="Z33" s="1354" t="str">
        <f t="shared" si="15"/>
        <v>成新度</v>
      </c>
      <c r="AA33" s="1351" t="e">
        <f t="shared" si="3"/>
        <v>#N/A</v>
      </c>
      <c r="AB33" s="1351" t="e">
        <f t="shared" si="4"/>
        <v>#N/A</v>
      </c>
      <c r="AC33" s="1351" t="e">
        <f t="shared" si="5"/>
        <v>#N/A</v>
      </c>
    </row>
    <row r="34" spans="1:29" s="107" customFormat="1" ht="15">
      <c r="A34" s="422"/>
      <c r="B34" s="373" t="s">
        <v>1819</v>
      </c>
      <c r="C34" s="409"/>
      <c r="D34" s="126">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54"/>
      <c r="Q34" s="1341" t="str">
        <f t="shared" si="11"/>
        <v>物业管理</v>
      </c>
      <c r="R34" s="699" t="s">
        <v>14</v>
      </c>
      <c r="S34" s="700">
        <f t="shared" si="12"/>
        <v>100</v>
      </c>
      <c r="T34" s="699" t="s">
        <v>14</v>
      </c>
      <c r="U34" s="700">
        <f t="shared" si="13"/>
        <v>100</v>
      </c>
      <c r="V34" s="699" t="s">
        <v>14</v>
      </c>
      <c r="W34" s="700">
        <f t="shared" si="14"/>
        <v>100</v>
      </c>
      <c r="X34" s="701"/>
      <c r="Y34" s="3754"/>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54" t="s">
        <v>1696</v>
      </c>
      <c r="Q35" s="1350" t="str">
        <f t="shared" si="11"/>
        <v>市政基础设施</v>
      </c>
      <c r="R35" s="703" t="s">
        <v>14</v>
      </c>
      <c r="S35" s="704">
        <f t="shared" si="12"/>
        <v>100</v>
      </c>
      <c r="T35" s="703" t="s">
        <v>14</v>
      </c>
      <c r="U35" s="704">
        <f t="shared" si="13"/>
        <v>100</v>
      </c>
      <c r="V35" s="703" t="s">
        <v>14</v>
      </c>
      <c r="W35" s="704">
        <f t="shared" si="14"/>
        <v>100</v>
      </c>
      <c r="X35" s="1353"/>
      <c r="Y35" s="3754"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54"/>
      <c r="Q36" s="1350" t="str">
        <f t="shared" si="11"/>
        <v>内部装修</v>
      </c>
      <c r="R36" s="703" t="s">
        <v>14</v>
      </c>
      <c r="S36" s="704">
        <f t="shared" si="12"/>
        <v>100</v>
      </c>
      <c r="T36" s="703" t="s">
        <v>14</v>
      </c>
      <c r="U36" s="704">
        <f t="shared" si="13"/>
        <v>100</v>
      </c>
      <c r="V36" s="703" t="s">
        <v>14</v>
      </c>
      <c r="W36" s="704">
        <f t="shared" si="14"/>
        <v>100</v>
      </c>
      <c r="X36" s="1353"/>
      <c r="Y36" s="3754"/>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54"/>
      <c r="Q37" s="1350" t="str">
        <f t="shared" si="11"/>
        <v>内部装修状况</v>
      </c>
      <c r="R37" s="703" t="s">
        <v>14</v>
      </c>
      <c r="S37" s="704">
        <f t="shared" si="12"/>
        <v>100</v>
      </c>
      <c r="T37" s="703" t="s">
        <v>14</v>
      </c>
      <c r="U37" s="704">
        <f t="shared" si="13"/>
        <v>100</v>
      </c>
      <c r="V37" s="703" t="s">
        <v>14</v>
      </c>
      <c r="W37" s="704">
        <f t="shared" si="14"/>
        <v>100</v>
      </c>
      <c r="X37" s="1353"/>
      <c r="Y37" s="3754"/>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54"/>
      <c r="Q38" s="705">
        <f t="shared" si="11"/>
        <v>111</v>
      </c>
      <c r="R38" s="706" t="s">
        <v>14</v>
      </c>
      <c r="S38" s="707">
        <f t="shared" si="12"/>
        <v>100</v>
      </c>
      <c r="T38" s="706" t="s">
        <v>14</v>
      </c>
      <c r="U38" s="707">
        <f t="shared" si="13"/>
        <v>100</v>
      </c>
      <c r="V38" s="706" t="s">
        <v>14</v>
      </c>
      <c r="W38" s="707">
        <f t="shared" si="14"/>
        <v>100</v>
      </c>
      <c r="X38" s="708"/>
      <c r="Y38" s="3754"/>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54"/>
      <c r="Q39" s="1350">
        <f t="shared" si="11"/>
        <v>111</v>
      </c>
      <c r="R39" s="703" t="s">
        <v>14</v>
      </c>
      <c r="S39" s="704">
        <f t="shared" si="12"/>
        <v>100</v>
      </c>
      <c r="T39" s="703" t="s">
        <v>14</v>
      </c>
      <c r="U39" s="704">
        <f t="shared" si="13"/>
        <v>100</v>
      </c>
      <c r="V39" s="703" t="s">
        <v>14</v>
      </c>
      <c r="W39" s="704">
        <f t="shared" si="14"/>
        <v>100</v>
      </c>
      <c r="X39" s="1353"/>
      <c r="Y39" s="3754"/>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55"/>
      <c r="Q40" s="1350">
        <f t="shared" si="11"/>
        <v>111</v>
      </c>
      <c r="R40" s="703" t="s">
        <v>14</v>
      </c>
      <c r="S40" s="704">
        <f t="shared" si="12"/>
        <v>100</v>
      </c>
      <c r="T40" s="703" t="s">
        <v>14</v>
      </c>
      <c r="U40" s="704">
        <f t="shared" si="13"/>
        <v>100</v>
      </c>
      <c r="V40" s="703" t="s">
        <v>14</v>
      </c>
      <c r="W40" s="704">
        <f t="shared" si="14"/>
        <v>100</v>
      </c>
      <c r="X40" s="1353"/>
      <c r="Y40" s="3755"/>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47" t="str">
        <f>A41</f>
        <v>成交单价（元/平方米）</v>
      </c>
      <c r="Q41" s="3747"/>
      <c r="R41" s="3748">
        <f>E41</f>
        <v>0</v>
      </c>
      <c r="S41" s="3748"/>
      <c r="T41" s="3748">
        <f>G41</f>
        <v>0</v>
      </c>
      <c r="U41" s="3748"/>
      <c r="V41" s="3748">
        <f>I41</f>
        <v>0</v>
      </c>
      <c r="W41" s="3748"/>
      <c r="X41" s="688"/>
      <c r="Y41" s="710"/>
      <c r="Z41" s="688"/>
      <c r="AA41" s="688"/>
      <c r="AB41" s="688"/>
      <c r="AC41" s="688"/>
    </row>
    <row r="42" spans="1:29" ht="15.75" thickBot="1">
      <c r="A42" s="435" t="s">
        <v>1793</v>
      </c>
      <c r="B42" s="436"/>
      <c r="C42" s="1158" t="e">
        <f>R43</f>
        <v>#DIV/0!</v>
      </c>
      <c r="D42" s="2315" t="s">
        <v>2137</v>
      </c>
      <c r="E42" s="1159" t="e">
        <f>R42</f>
        <v>#DIV/0!</v>
      </c>
      <c r="F42" s="2316"/>
      <c r="G42" s="1158" t="e">
        <f>T42</f>
        <v>#DIV/0!</v>
      </c>
      <c r="H42" s="2316"/>
      <c r="I42" s="1159" t="e">
        <f>V42</f>
        <v>#DIV/0!</v>
      </c>
      <c r="J42" s="2316"/>
      <c r="K42" s="2318">
        <f>F42+H42+J42</f>
        <v>0</v>
      </c>
      <c r="L42" s="924"/>
      <c r="M42" s="925"/>
      <c r="N42" s="912"/>
      <c r="O42" s="925"/>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7"/>
      <c r="M46" s="925"/>
      <c r="N46" s="925"/>
      <c r="O46" s="925"/>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7"/>
      <c r="M47" s="925"/>
      <c r="N47" s="925"/>
      <c r="O47" s="925"/>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8"/>
      <c r="M48" s="926"/>
      <c r="N48" s="926"/>
      <c r="O48" s="926"/>
    </row>
    <row r="49" spans="1:17" s="449"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7"/>
      <c r="O54" s="2768"/>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3327</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3" t="s">
        <v>1769</v>
      </c>
      <c r="B4" s="354"/>
      <c r="C4" s="3730" t="s">
        <v>1770</v>
      </c>
      <c r="D4" s="3731"/>
      <c r="E4" s="3732" t="s">
        <v>1771</v>
      </c>
      <c r="F4" s="3733"/>
      <c r="G4" s="3730" t="s">
        <v>1772</v>
      </c>
      <c r="H4" s="3731"/>
      <c r="I4" s="3730" t="s">
        <v>1773</v>
      </c>
      <c r="J4" s="3731"/>
      <c r="K4" s="557" t="s">
        <v>1774</v>
      </c>
      <c r="L4" s="2712"/>
      <c r="M4" s="2713"/>
      <c r="N4" s="2713"/>
      <c r="O4" s="2713"/>
      <c r="P4" s="3734" t="s">
        <v>1775</v>
      </c>
      <c r="Q4" s="3735"/>
      <c r="R4" s="3717" t="s">
        <v>1771</v>
      </c>
      <c r="S4" s="3718"/>
      <c r="T4" s="3717" t="s">
        <v>1772</v>
      </c>
      <c r="U4" s="3718"/>
      <c r="V4" s="3742" t="s">
        <v>1773</v>
      </c>
      <c r="W4" s="3742"/>
      <c r="X4" s="1353"/>
      <c r="Y4" s="3717" t="s">
        <v>1775</v>
      </c>
      <c r="Z4" s="3718"/>
      <c r="AA4" s="3712" t="s">
        <v>1771</v>
      </c>
      <c r="AB4" s="3713" t="s">
        <v>1772</v>
      </c>
      <c r="AC4" s="3712" t="s">
        <v>1773</v>
      </c>
    </row>
    <row r="5" spans="1:29" ht="15">
      <c r="A5" s="356"/>
      <c r="B5" s="357"/>
      <c r="C5" s="3723" t="s">
        <v>1673</v>
      </c>
      <c r="D5" s="3724"/>
      <c r="E5" s="3721" t="s">
        <v>1674</v>
      </c>
      <c r="F5" s="3722"/>
      <c r="G5" s="3723" t="s">
        <v>1675</v>
      </c>
      <c r="H5" s="3724"/>
      <c r="I5" s="3723" t="s">
        <v>1676</v>
      </c>
      <c r="J5" s="3724"/>
      <c r="K5" s="557"/>
      <c r="L5" s="2712"/>
      <c r="M5" s="2713"/>
      <c r="N5" s="2713"/>
      <c r="O5" s="2713"/>
      <c r="P5" s="3736"/>
      <c r="Q5" s="3737"/>
      <c r="R5" s="3719"/>
      <c r="S5" s="3720"/>
      <c r="T5" s="3719"/>
      <c r="U5" s="3720"/>
      <c r="V5" s="3742"/>
      <c r="W5" s="3742"/>
      <c r="X5" s="1353"/>
      <c r="Y5" s="3719"/>
      <c r="Z5" s="3720"/>
      <c r="AA5" s="3713"/>
      <c r="AB5" s="3713"/>
      <c r="AC5" s="3713"/>
    </row>
    <row r="6" spans="1:29" ht="15.75" thickBot="1">
      <c r="A6" s="358"/>
      <c r="B6" s="359"/>
      <c r="C6" s="3725" t="s">
        <v>1677</v>
      </c>
      <c r="D6" s="3726"/>
      <c r="E6" s="3727" t="s">
        <v>1677</v>
      </c>
      <c r="F6" s="3728"/>
      <c r="G6" s="3725" t="s">
        <v>1677</v>
      </c>
      <c r="H6" s="3726"/>
      <c r="I6" s="3725" t="s">
        <v>1677</v>
      </c>
      <c r="J6" s="3726"/>
      <c r="K6" s="557" t="s">
        <v>1678</v>
      </c>
      <c r="L6" s="2712"/>
      <c r="M6" s="2713"/>
      <c r="N6" s="2713"/>
      <c r="O6" s="2713"/>
      <c r="P6" s="3738"/>
      <c r="Q6" s="3739"/>
      <c r="R6" s="3719"/>
      <c r="S6" s="3720"/>
      <c r="T6" s="3740"/>
      <c r="U6" s="3741"/>
      <c r="V6" s="3742"/>
      <c r="W6" s="3742"/>
      <c r="X6" s="1353"/>
      <c r="Y6" s="3740"/>
      <c r="Z6" s="3741"/>
      <c r="AA6" s="3714"/>
      <c r="AB6" s="3714"/>
      <c r="AC6" s="3714"/>
    </row>
    <row r="7" spans="1:29" s="107" customFormat="1" ht="15.75" thickBot="1">
      <c r="A7" s="360" t="s">
        <v>1679</v>
      </c>
      <c r="B7" s="361"/>
      <c r="C7" s="362">
        <f>'数据-取费表'!B2</f>
        <v>45317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715" t="s">
        <v>1680</v>
      </c>
      <c r="Q7" s="3743"/>
      <c r="R7" s="699" t="s">
        <v>14</v>
      </c>
      <c r="S7" s="700">
        <f t="shared" ref="S7:S14" si="0">F7</f>
        <v>0</v>
      </c>
      <c r="T7" s="699" t="s">
        <v>14</v>
      </c>
      <c r="U7" s="700">
        <f t="shared" ref="U7:U14" si="1">H7</f>
        <v>0</v>
      </c>
      <c r="V7" s="699" t="s">
        <v>14</v>
      </c>
      <c r="W7" s="700">
        <f t="shared" ref="W7:W14" si="2">J7</f>
        <v>0</v>
      </c>
      <c r="X7" s="701"/>
      <c r="Y7" s="3715" t="s">
        <v>1680</v>
      </c>
      <c r="Z7" s="3716"/>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715" t="s">
        <v>1683</v>
      </c>
      <c r="Q8" s="3716"/>
      <c r="R8" s="699" t="s">
        <v>14</v>
      </c>
      <c r="S8" s="700">
        <f t="shared" si="0"/>
        <v>100</v>
      </c>
      <c r="T8" s="699" t="s">
        <v>14</v>
      </c>
      <c r="U8" s="700">
        <f t="shared" si="1"/>
        <v>100</v>
      </c>
      <c r="V8" s="699" t="s">
        <v>14</v>
      </c>
      <c r="W8" s="700">
        <f t="shared" si="2"/>
        <v>100</v>
      </c>
      <c r="X8" s="701"/>
      <c r="Y8" s="3715" t="s">
        <v>1683</v>
      </c>
      <c r="Z8" s="3716"/>
      <c r="AA8" s="702">
        <f t="shared" ref="AA8:AA36" si="3">D8/F8</f>
        <v>1</v>
      </c>
      <c r="AB8" s="702">
        <f t="shared" ref="AB8:AB36" si="4">D8/H8</f>
        <v>1</v>
      </c>
      <c r="AC8" s="702">
        <f t="shared" ref="AC8:AC36" si="5">D8/J8</f>
        <v>1</v>
      </c>
    </row>
    <row r="9" spans="1:29" s="107" customFormat="1">
      <c r="A9" s="60" t="s">
        <v>1684</v>
      </c>
      <c r="B9" s="586" t="s">
        <v>1685</v>
      </c>
      <c r="C9" s="368"/>
      <c r="D9" s="125">
        <v>100</v>
      </c>
      <c r="E9" s="371"/>
      <c r="F9" s="125">
        <f>SUMIF(53:53,E9,54:54)-SUMIF(53:53,C9,54:54)+100</f>
        <v>100</v>
      </c>
      <c r="G9" s="369"/>
      <c r="H9" s="125">
        <f>SUMIF(53:53,G9,54:54)-SUMIF(53:53,C9,54:54)+100</f>
        <v>100</v>
      </c>
      <c r="I9" s="369"/>
      <c r="J9" s="125">
        <f>SUMIF(53:53,I9,54:54)-SUMIF(53:53,C9,54:54)+100</f>
        <v>100</v>
      </c>
      <c r="K9" s="558"/>
      <c r="L9" s="2714"/>
      <c r="M9" s="2715"/>
      <c r="N9" s="2715"/>
      <c r="O9" s="2715"/>
      <c r="P9" s="3747" t="s">
        <v>1686</v>
      </c>
      <c r="Q9" s="1341"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6" customFormat="1" ht="27">
      <c r="A10" s="587"/>
      <c r="B10" s="588" t="s">
        <v>1688</v>
      </c>
      <c r="C10" s="3431"/>
      <c r="D10" s="126">
        <v>100</v>
      </c>
      <c r="E10" s="3431"/>
      <c r="F10" s="126">
        <f>SUMIF(55:55,E10,56:56)-SUMIF(55:55,C10,56:56)+100</f>
        <v>100</v>
      </c>
      <c r="G10" s="3432"/>
      <c r="H10" s="126">
        <f>SUMIF(55:55,G10,56:56)-SUMIF(55:55,C10,56:56)+100</f>
        <v>100</v>
      </c>
      <c r="I10" s="3431"/>
      <c r="J10" s="126">
        <f>SUMIF(55:55,I10,56:56)-SUMIF(55:55,C10,56:56)+100</f>
        <v>100</v>
      </c>
      <c r="K10" s="558"/>
      <c r="L10" s="2716"/>
      <c r="M10" s="2717"/>
      <c r="N10" s="2717"/>
      <c r="O10" s="2717"/>
      <c r="P10" s="3747"/>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589"/>
      <c r="B11" s="590">
        <v>111</v>
      </c>
      <c r="C11" s="381"/>
      <c r="D11" s="126">
        <v>100</v>
      </c>
      <c r="E11" s="381"/>
      <c r="F11" s="126">
        <f>SUMIF(57:57,E11,58:58)-SUMIF(57:57,C11,58:58)+100</f>
        <v>100</v>
      </c>
      <c r="G11" s="381"/>
      <c r="H11" s="126">
        <f>SUMIF(57:57,G11,58:58)-SUMIF(57:57,C11,58:58)+100</f>
        <v>100</v>
      </c>
      <c r="I11" s="381"/>
      <c r="J11" s="126">
        <f>SUMIF(57:57,I11,58:58)-SUMIF(57:57,C11,58:58)+100</f>
        <v>100</v>
      </c>
      <c r="K11" s="560"/>
      <c r="L11" s="2718"/>
      <c r="M11" s="2713"/>
      <c r="N11" s="2713"/>
      <c r="O11" s="2713"/>
      <c r="P11" s="3747"/>
      <c r="Q11" s="1341">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7" customFormat="1" ht="15">
      <c r="A12" s="591"/>
      <c r="B12" s="590">
        <v>111</v>
      </c>
      <c r="C12" s="381"/>
      <c r="D12" s="382">
        <v>100</v>
      </c>
      <c r="E12" s="381"/>
      <c r="F12" s="126">
        <f>SUMIF(59:59,E12,60:60)-SUMIF(59:59,C12,60:60)+100</f>
        <v>100</v>
      </c>
      <c r="G12" s="381"/>
      <c r="H12" s="126">
        <f>SUMIF(59:59,G12,60:60)-SUMIF(59:59,C12,60:60)+100</f>
        <v>100</v>
      </c>
      <c r="I12" s="381"/>
      <c r="J12" s="126">
        <f>SUMIF(59:59,I12,60:60)-SUMIF(59:59,C12,60:60)+100</f>
        <v>100</v>
      </c>
      <c r="K12" s="560"/>
      <c r="L12" s="2714"/>
      <c r="M12" s="2715"/>
      <c r="N12" s="2715"/>
      <c r="O12" s="2715"/>
      <c r="P12" s="3747"/>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592"/>
      <c r="B13" s="590">
        <v>111</v>
      </c>
      <c r="C13" s="383"/>
      <c r="D13" s="384">
        <v>100</v>
      </c>
      <c r="E13" s="381"/>
      <c r="F13" s="126">
        <f>SUMIF(61:61,E13,62:62)-SUMIF(61:61,C13,62:62)+100</f>
        <v>100</v>
      </c>
      <c r="G13" s="381"/>
      <c r="H13" s="384">
        <f>SUMIF(61:61,G13,62:62)-SUMIF(61:61,C13,62:62)+100</f>
        <v>100</v>
      </c>
      <c r="I13" s="381"/>
      <c r="J13" s="384">
        <f>SUMIF(61:61,I13,62:62)-SUMIF(61:61,C13,62:62)+100</f>
        <v>100</v>
      </c>
      <c r="K13" s="560"/>
      <c r="L13" s="2719"/>
      <c r="M13" s="2713"/>
      <c r="N13" s="2713"/>
      <c r="O13" s="2713"/>
      <c r="P13" s="3747"/>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
      <c r="A14" s="353" t="s">
        <v>1690</v>
      </c>
      <c r="B14" s="575" t="s">
        <v>1833</v>
      </c>
      <c r="C14" s="1969">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749" t="s">
        <v>1691</v>
      </c>
      <c r="Q14" s="1350" t="str">
        <f t="shared" si="6"/>
        <v>交通便捷度</v>
      </c>
      <c r="R14" s="703" t="s">
        <v>14</v>
      </c>
      <c r="S14" s="704">
        <f t="shared" si="0"/>
        <v>100</v>
      </c>
      <c r="T14" s="703" t="s">
        <v>14</v>
      </c>
      <c r="U14" s="704">
        <f t="shared" si="1"/>
        <v>100</v>
      </c>
      <c r="V14" s="703" t="s">
        <v>14</v>
      </c>
      <c r="W14" s="704">
        <f t="shared" si="2"/>
        <v>100</v>
      </c>
      <c r="X14" s="1353"/>
      <c r="Y14" s="3749"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9"/>
      <c r="M15" s="2713"/>
      <c r="N15" s="2713"/>
      <c r="O15" s="2713"/>
      <c r="P15" s="3750"/>
      <c r="Q15" s="1350"/>
      <c r="R15" s="703"/>
      <c r="S15" s="704"/>
      <c r="T15" s="703"/>
      <c r="U15" s="704"/>
      <c r="V15" s="703"/>
      <c r="W15" s="704"/>
      <c r="X15" s="1353"/>
      <c r="Y15" s="3750"/>
      <c r="Z15" s="1354"/>
      <c r="AA15" s="1351">
        <v>1</v>
      </c>
      <c r="AB15" s="1351">
        <v>1</v>
      </c>
      <c r="AC15" s="1351">
        <v>1</v>
      </c>
    </row>
    <row r="16" spans="1:29" ht="15">
      <c r="A16" s="356"/>
      <c r="B16" s="577" t="s">
        <v>1812</v>
      </c>
      <c r="C16" s="1898">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750"/>
      <c r="Q16" s="1350" t="str">
        <f>B16</f>
        <v>公共配套设施</v>
      </c>
      <c r="R16" s="703" t="s">
        <v>14</v>
      </c>
      <c r="S16" s="704">
        <f>F16</f>
        <v>100</v>
      </c>
      <c r="T16" s="703" t="s">
        <v>14</v>
      </c>
      <c r="U16" s="704">
        <f>H16</f>
        <v>100</v>
      </c>
      <c r="V16" s="703" t="s">
        <v>14</v>
      </c>
      <c r="W16" s="704">
        <f>J16</f>
        <v>100</v>
      </c>
      <c r="X16" s="1353"/>
      <c r="Y16" s="3750"/>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9"/>
      <c r="M17" s="2713"/>
      <c r="N17" s="2713"/>
      <c r="O17" s="2713"/>
      <c r="P17" s="3750"/>
      <c r="Q17" s="1350"/>
      <c r="R17" s="703"/>
      <c r="S17" s="704"/>
      <c r="T17" s="703"/>
      <c r="U17" s="704"/>
      <c r="V17" s="703"/>
      <c r="W17" s="704"/>
      <c r="X17" s="1353"/>
      <c r="Y17" s="3750"/>
      <c r="Z17" s="1354"/>
      <c r="AA17" s="1351">
        <v>1</v>
      </c>
      <c r="AB17" s="1351">
        <v>1</v>
      </c>
      <c r="AC17" s="1351">
        <v>1</v>
      </c>
    </row>
    <row r="18" spans="1:29" ht="15">
      <c r="A18" s="356"/>
      <c r="B18" s="579" t="s">
        <v>1813</v>
      </c>
      <c r="C18" s="1898">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750"/>
      <c r="Q18" s="1350" t="str">
        <f>B18</f>
        <v>基础设施水平</v>
      </c>
      <c r="R18" s="703" t="s">
        <v>14</v>
      </c>
      <c r="S18" s="704">
        <f>F18</f>
        <v>100</v>
      </c>
      <c r="T18" s="703" t="s">
        <v>14</v>
      </c>
      <c r="U18" s="704">
        <f>H18</f>
        <v>100</v>
      </c>
      <c r="V18" s="703" t="s">
        <v>14</v>
      </c>
      <c r="W18" s="704">
        <f>J18</f>
        <v>100</v>
      </c>
      <c r="X18" s="1353"/>
      <c r="Y18" s="3750"/>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9"/>
      <c r="M19" s="2713"/>
      <c r="N19" s="2713"/>
      <c r="O19" s="2713"/>
      <c r="P19" s="3750"/>
      <c r="Q19" s="1350"/>
      <c r="R19" s="703"/>
      <c r="S19" s="704"/>
      <c r="T19" s="703"/>
      <c r="U19" s="704"/>
      <c r="V19" s="703"/>
      <c r="W19" s="704"/>
      <c r="X19" s="1353"/>
      <c r="Y19" s="3750"/>
      <c r="Z19" s="1354"/>
      <c r="AA19" s="1351">
        <v>1</v>
      </c>
      <c r="AB19" s="1351">
        <v>1</v>
      </c>
      <c r="AC19" s="1351">
        <v>1</v>
      </c>
    </row>
    <row r="20" spans="1:29" ht="15">
      <c r="A20" s="356"/>
      <c r="B20" s="577" t="s">
        <v>1834</v>
      </c>
      <c r="C20" s="1898">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750"/>
      <c r="Q20" s="1350" t="str">
        <f>B20</f>
        <v>自然及人文环境</v>
      </c>
      <c r="R20" s="703" t="s">
        <v>14</v>
      </c>
      <c r="S20" s="704">
        <f>F20</f>
        <v>100</v>
      </c>
      <c r="T20" s="703" t="s">
        <v>14</v>
      </c>
      <c r="U20" s="704">
        <f>H20</f>
        <v>100</v>
      </c>
      <c r="V20" s="703" t="s">
        <v>14</v>
      </c>
      <c r="W20" s="704">
        <f>J20</f>
        <v>100</v>
      </c>
      <c r="X20" s="1353"/>
      <c r="Y20" s="3750"/>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9"/>
      <c r="M21" s="2713"/>
      <c r="N21" s="2713"/>
      <c r="O21" s="2713"/>
      <c r="P21" s="3750"/>
      <c r="Q21" s="1350"/>
      <c r="R21" s="703"/>
      <c r="S21" s="704"/>
      <c r="T21" s="703"/>
      <c r="U21" s="704"/>
      <c r="V21" s="703"/>
      <c r="W21" s="704"/>
      <c r="X21" s="1353"/>
      <c r="Y21" s="3750"/>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750"/>
      <c r="Q22" s="1350" t="str">
        <f>B22</f>
        <v>楼层</v>
      </c>
      <c r="R22" s="703" t="s">
        <v>14</v>
      </c>
      <c r="S22" s="704">
        <f>F22</f>
        <v>100</v>
      </c>
      <c r="T22" s="703" t="s">
        <v>14</v>
      </c>
      <c r="U22" s="704">
        <f>H22</f>
        <v>100</v>
      </c>
      <c r="V22" s="703" t="s">
        <v>14</v>
      </c>
      <c r="W22" s="704">
        <f>J22</f>
        <v>100</v>
      </c>
      <c r="X22" s="1353"/>
      <c r="Y22" s="3750"/>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750"/>
      <c r="Q23" s="1350">
        <f>B23</f>
        <v>111</v>
      </c>
      <c r="R23" s="703" t="s">
        <v>14</v>
      </c>
      <c r="S23" s="704">
        <f>F23</f>
        <v>100</v>
      </c>
      <c r="T23" s="703" t="s">
        <v>14</v>
      </c>
      <c r="U23" s="704">
        <f>H23</f>
        <v>100</v>
      </c>
      <c r="V23" s="703" t="s">
        <v>14</v>
      </c>
      <c r="W23" s="704">
        <f>J23</f>
        <v>100</v>
      </c>
      <c r="X23" s="1353"/>
      <c r="Y23" s="3750"/>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750"/>
      <c r="Q24" s="1350">
        <f t="shared" ref="Q24:Q36" si="11">B24</f>
        <v>111</v>
      </c>
      <c r="R24" s="703" t="s">
        <v>14</v>
      </c>
      <c r="S24" s="704">
        <f>F24</f>
        <v>100</v>
      </c>
      <c r="T24" s="703" t="s">
        <v>14</v>
      </c>
      <c r="U24" s="704">
        <f>H24</f>
        <v>100</v>
      </c>
      <c r="V24" s="703" t="s">
        <v>14</v>
      </c>
      <c r="W24" s="704">
        <f>J24</f>
        <v>100</v>
      </c>
      <c r="X24" s="1353"/>
      <c r="Y24" s="3750"/>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750"/>
      <c r="Q25" s="1341">
        <f t="shared" si="11"/>
        <v>111</v>
      </c>
      <c r="R25" s="699" t="s">
        <v>14</v>
      </c>
      <c r="S25" s="700">
        <f>F25</f>
        <v>100</v>
      </c>
      <c r="T25" s="699" t="s">
        <v>14</v>
      </c>
      <c r="U25" s="700">
        <f>H25</f>
        <v>100</v>
      </c>
      <c r="V25" s="699" t="s">
        <v>14</v>
      </c>
      <c r="W25" s="700">
        <f>J25</f>
        <v>100</v>
      </c>
      <c r="X25" s="701"/>
      <c r="Y25" s="3750"/>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77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54"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6">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754"/>
      <c r="Q27" s="705" t="str">
        <f t="shared" si="11"/>
        <v>项目停车位配比</v>
      </c>
      <c r="R27" s="706" t="s">
        <v>14</v>
      </c>
      <c r="S27" s="707">
        <f t="shared" si="12"/>
        <v>100</v>
      </c>
      <c r="T27" s="706" t="s">
        <v>14</v>
      </c>
      <c r="U27" s="707">
        <f t="shared" si="13"/>
        <v>100</v>
      </c>
      <c r="V27" s="706" t="s">
        <v>14</v>
      </c>
      <c r="W27" s="707">
        <f t="shared" si="14"/>
        <v>100</v>
      </c>
      <c r="X27" s="708"/>
      <c r="Y27" s="3754"/>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754"/>
      <c r="Q28" s="1350" t="str">
        <f t="shared" si="11"/>
        <v>公共部分装修</v>
      </c>
      <c r="R28" s="703" t="s">
        <v>14</v>
      </c>
      <c r="S28" s="704">
        <f t="shared" si="12"/>
        <v>100</v>
      </c>
      <c r="T28" s="703" t="s">
        <v>14</v>
      </c>
      <c r="U28" s="704">
        <f t="shared" si="13"/>
        <v>100</v>
      </c>
      <c r="V28" s="703" t="s">
        <v>14</v>
      </c>
      <c r="W28" s="704">
        <f t="shared" si="14"/>
        <v>100</v>
      </c>
      <c r="X28" s="1353"/>
      <c r="Y28" s="3754"/>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754"/>
      <c r="Q29" s="1350" t="str">
        <f t="shared" si="11"/>
        <v>成新率</v>
      </c>
      <c r="R29" s="703" t="s">
        <v>14</v>
      </c>
      <c r="S29" s="704" t="e">
        <f t="shared" si="12"/>
        <v>#N/A</v>
      </c>
      <c r="T29" s="703" t="s">
        <v>14</v>
      </c>
      <c r="U29" s="704" t="e">
        <f t="shared" si="13"/>
        <v>#N/A</v>
      </c>
      <c r="V29" s="703" t="s">
        <v>14</v>
      </c>
      <c r="W29" s="704" t="e">
        <f t="shared" si="14"/>
        <v>#N/A</v>
      </c>
      <c r="X29" s="1353"/>
      <c r="Y29" s="3754"/>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754"/>
      <c r="Q30" s="1350" t="str">
        <f t="shared" si="11"/>
        <v>物业等级</v>
      </c>
      <c r="R30" s="703" t="s">
        <v>14</v>
      </c>
      <c r="S30" s="704">
        <f t="shared" si="12"/>
        <v>100</v>
      </c>
      <c r="T30" s="703" t="s">
        <v>14</v>
      </c>
      <c r="U30" s="704">
        <f t="shared" si="13"/>
        <v>100</v>
      </c>
      <c r="V30" s="703" t="s">
        <v>14</v>
      </c>
      <c r="W30" s="704">
        <f t="shared" si="14"/>
        <v>100</v>
      </c>
      <c r="X30" s="1353"/>
      <c r="Y30" s="3754"/>
      <c r="Z30" s="1354" t="str">
        <f t="shared" si="15"/>
        <v>物业等级</v>
      </c>
      <c r="AA30" s="1351">
        <f t="shared" si="3"/>
        <v>1</v>
      </c>
      <c r="AB30" s="1351">
        <f t="shared" si="4"/>
        <v>1</v>
      </c>
      <c r="AC30" s="1351">
        <f t="shared" si="5"/>
        <v>1</v>
      </c>
    </row>
    <row r="31" spans="1:29" s="107" customFormat="1" ht="15">
      <c r="A31" s="604"/>
      <c r="B31" s="600" t="s">
        <v>1841</v>
      </c>
      <c r="C31" s="418"/>
      <c r="D31" s="126">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754"/>
      <c r="Q31" s="1341" t="str">
        <f t="shared" si="11"/>
        <v>停车位面积</v>
      </c>
      <c r="R31" s="699" t="s">
        <v>14</v>
      </c>
      <c r="S31" s="700" t="e">
        <f t="shared" si="12"/>
        <v>#N/A</v>
      </c>
      <c r="T31" s="699" t="s">
        <v>14</v>
      </c>
      <c r="U31" s="700" t="e">
        <f t="shared" si="13"/>
        <v>#N/A</v>
      </c>
      <c r="V31" s="699" t="s">
        <v>14</v>
      </c>
      <c r="W31" s="700" t="e">
        <f t="shared" si="14"/>
        <v>#N/A</v>
      </c>
      <c r="X31" s="701"/>
      <c r="Y31" s="3754"/>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754" t="s">
        <v>1696</v>
      </c>
      <c r="Q32" s="1350" t="str">
        <f t="shared" si="11"/>
        <v>车位类型</v>
      </c>
      <c r="R32" s="703" t="s">
        <v>14</v>
      </c>
      <c r="S32" s="704">
        <f t="shared" si="12"/>
        <v>100</v>
      </c>
      <c r="T32" s="703" t="s">
        <v>14</v>
      </c>
      <c r="U32" s="704">
        <f t="shared" si="13"/>
        <v>100</v>
      </c>
      <c r="V32" s="703" t="s">
        <v>14</v>
      </c>
      <c r="W32" s="704">
        <f t="shared" si="14"/>
        <v>100</v>
      </c>
      <c r="X32" s="1353"/>
      <c r="Y32" s="3754"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754"/>
      <c r="Q33" s="1350" t="str">
        <f t="shared" si="11"/>
        <v>是否直接入户</v>
      </c>
      <c r="R33" s="703" t="s">
        <v>14</v>
      </c>
      <c r="S33" s="704">
        <f t="shared" si="12"/>
        <v>100</v>
      </c>
      <c r="T33" s="703" t="s">
        <v>14</v>
      </c>
      <c r="U33" s="704">
        <f t="shared" si="13"/>
        <v>100</v>
      </c>
      <c r="V33" s="703" t="s">
        <v>14</v>
      </c>
      <c r="W33" s="704">
        <f t="shared" si="14"/>
        <v>100</v>
      </c>
      <c r="X33" s="1353"/>
      <c r="Y33" s="3754"/>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754"/>
      <c r="Q34" s="1350">
        <f t="shared" si="11"/>
        <v>111</v>
      </c>
      <c r="R34" s="703" t="s">
        <v>14</v>
      </c>
      <c r="S34" s="704">
        <f t="shared" si="12"/>
        <v>100</v>
      </c>
      <c r="T34" s="703" t="s">
        <v>14</v>
      </c>
      <c r="U34" s="704">
        <f t="shared" si="13"/>
        <v>100</v>
      </c>
      <c r="V34" s="703" t="s">
        <v>14</v>
      </c>
      <c r="W34" s="704">
        <f t="shared" si="14"/>
        <v>100</v>
      </c>
      <c r="X34" s="1353"/>
      <c r="Y34" s="3754"/>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754"/>
      <c r="Q35" s="705">
        <f t="shared" si="11"/>
        <v>111</v>
      </c>
      <c r="R35" s="706" t="s">
        <v>14</v>
      </c>
      <c r="S35" s="707">
        <f t="shared" si="12"/>
        <v>100</v>
      </c>
      <c r="T35" s="706" t="s">
        <v>14</v>
      </c>
      <c r="U35" s="707">
        <f t="shared" si="13"/>
        <v>100</v>
      </c>
      <c r="V35" s="706" t="s">
        <v>14</v>
      </c>
      <c r="W35" s="707">
        <f t="shared" si="14"/>
        <v>100</v>
      </c>
      <c r="X35" s="708"/>
      <c r="Y35" s="3754"/>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754"/>
      <c r="Q36" s="1350">
        <f t="shared" si="11"/>
        <v>111</v>
      </c>
      <c r="R36" s="703" t="s">
        <v>14</v>
      </c>
      <c r="S36" s="704">
        <f t="shared" si="12"/>
        <v>100</v>
      </c>
      <c r="T36" s="703" t="s">
        <v>14</v>
      </c>
      <c r="U36" s="704">
        <f t="shared" si="13"/>
        <v>100</v>
      </c>
      <c r="V36" s="703" t="s">
        <v>14</v>
      </c>
      <c r="W36" s="704">
        <f t="shared" si="14"/>
        <v>100</v>
      </c>
      <c r="X36" s="1353"/>
      <c r="Y36" s="3754"/>
      <c r="Z36" s="1354">
        <f t="shared" si="15"/>
        <v>111</v>
      </c>
      <c r="AA36" s="1351">
        <f t="shared" si="3"/>
        <v>1</v>
      </c>
      <c r="AB36" s="1351">
        <f t="shared" si="4"/>
        <v>1</v>
      </c>
      <c r="AC36" s="1351">
        <f t="shared" si="5"/>
        <v>1</v>
      </c>
    </row>
    <row r="37" spans="1:29" ht="15">
      <c r="A37" s="428" t="s">
        <v>1844</v>
      </c>
      <c r="B37" s="1971" t="s">
        <v>3348</v>
      </c>
      <c r="C37" s="1152" t="s">
        <v>0</v>
      </c>
      <c r="D37" s="1153"/>
      <c r="E37" s="1154"/>
      <c r="F37" s="1155"/>
      <c r="G37" s="1156"/>
      <c r="H37" s="1157"/>
      <c r="I37" s="1154"/>
      <c r="J37" s="1157"/>
      <c r="K37" s="566"/>
      <c r="L37" s="2721"/>
      <c r="M37" s="2722"/>
      <c r="N37" s="2713"/>
      <c r="O37" s="2722"/>
      <c r="P37" s="3747" t="str">
        <f>A37</f>
        <v>成交单价</v>
      </c>
      <c r="Q37" s="3747"/>
      <c r="R37" s="3748">
        <f>E37</f>
        <v>0</v>
      </c>
      <c r="S37" s="3748"/>
      <c r="T37" s="3748">
        <f>G37</f>
        <v>0</v>
      </c>
      <c r="U37" s="3748"/>
      <c r="V37" s="3748">
        <f>I37</f>
        <v>0</v>
      </c>
      <c r="W37" s="3748"/>
      <c r="X37" s="688"/>
      <c r="Y37" s="710"/>
      <c r="Z37" s="688"/>
      <c r="AA37" s="688"/>
      <c r="AB37" s="688"/>
      <c r="AC37" s="688"/>
    </row>
    <row r="38" spans="1:29" ht="15.75" thickBot="1">
      <c r="A38" s="435" t="s">
        <v>1845</v>
      </c>
      <c r="B38" s="436"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1"/>
      <c r="M39" s="2722"/>
      <c r="N39" s="2722"/>
      <c r="O39" s="2722"/>
      <c r="P39" s="3744" t="str">
        <f>A39</f>
        <v>估价对象XX用房的比较价值（楼面单价，元/平方米）</v>
      </c>
      <c r="Q39" s="3745"/>
      <c r="R39" s="3774" t="e">
        <f>IF(F1="售价",ROUND(IF(D38="简单平均",AVERAGE(R38:W38),R38*F38+T38*H38+V38*J38),0),ROUND(IF(D38="简单平均",AVERAGE(R38:V38),R38*F38+T38*H38+V38*J38),1))</f>
        <v>#DIV/0!</v>
      </c>
      <c r="S39" s="3774"/>
      <c r="T39" s="3774"/>
      <c r="U39" s="3774"/>
      <c r="V39" s="3774"/>
      <c r="W39" s="3774"/>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5" customFormat="1" ht="15">
      <c r="A48" s="452" t="s">
        <v>1851</v>
      </c>
      <c r="B48" s="453"/>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6"/>
      <c r="Q48" s="2738"/>
      <c r="R48" s="2738"/>
      <c r="S48" s="2738"/>
      <c r="T48" s="2738"/>
      <c r="U48" s="2738"/>
      <c r="V48" s="2738"/>
      <c r="W48" s="2738"/>
      <c r="X48" s="2738"/>
      <c r="Y48" s="2738"/>
      <c r="Z48" s="2738"/>
      <c r="AA48" s="2738"/>
      <c r="AB48" s="2738"/>
      <c r="AC48" s="2738"/>
    </row>
    <row r="49" spans="1:29" s="107" customFormat="1" ht="15">
      <c r="A49" s="456"/>
      <c r="B49" s="457"/>
      <c r="C49" s="1175">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7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5">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5.75"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5.75"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7.75"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5.75"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5.75"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5.75"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5.75"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5.75"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5.75"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5.75"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7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75" thickTop="1">
      <c r="A67" s="481"/>
      <c r="B67" s="493" t="s">
        <v>1813</v>
      </c>
      <c r="C67" s="606" t="s">
        <v>1799</v>
      </c>
      <c r="D67" s="606" t="s">
        <v>1800</v>
      </c>
      <c r="E67" s="606" t="s">
        <v>1801</v>
      </c>
      <c r="F67" s="606" t="s">
        <v>1802</v>
      </c>
      <c r="G67" s="606" t="s">
        <v>1803</v>
      </c>
      <c r="H67" s="486"/>
      <c r="I67" s="486"/>
      <c r="J67" s="486"/>
      <c r="K67" s="486"/>
      <c r="L67" s="486"/>
      <c r="M67" s="1127"/>
      <c r="N67" s="2751"/>
      <c r="O67" s="2751"/>
      <c r="P67" s="2759"/>
      <c r="Q67" s="2736"/>
      <c r="R67" s="2722"/>
      <c r="S67" s="2722"/>
      <c r="T67" s="2722"/>
      <c r="U67" s="2722"/>
      <c r="V67" s="2722"/>
      <c r="W67" s="2722"/>
      <c r="X67" s="2722"/>
      <c r="Y67" s="2722"/>
      <c r="Z67" s="2722"/>
      <c r="AA67" s="2722"/>
      <c r="AB67" s="2722"/>
      <c r="AC67" s="2722"/>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7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7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5.75"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5.75"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5.75"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5.75"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5.75"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7.75"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5.75"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5"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5.75"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5"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5.75"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5"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3328</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0" t="s">
        <v>1770</v>
      </c>
      <c r="D4" s="3731"/>
      <c r="E4" s="3732" t="s">
        <v>1771</v>
      </c>
      <c r="F4" s="3733"/>
      <c r="G4" s="3730" t="s">
        <v>1772</v>
      </c>
      <c r="H4" s="3731"/>
      <c r="I4" s="3730" t="s">
        <v>1773</v>
      </c>
      <c r="J4" s="3731"/>
      <c r="K4" s="557" t="s">
        <v>1774</v>
      </c>
      <c r="L4" s="2712"/>
      <c r="M4" s="2713"/>
      <c r="N4" s="2713"/>
      <c r="O4" s="2713"/>
      <c r="P4" s="3734" t="s">
        <v>1775</v>
      </c>
      <c r="Q4" s="3735"/>
      <c r="R4" s="3717" t="s">
        <v>1771</v>
      </c>
      <c r="S4" s="3718"/>
      <c r="T4" s="3717" t="s">
        <v>1772</v>
      </c>
      <c r="U4" s="3718"/>
      <c r="V4" s="3742" t="s">
        <v>1773</v>
      </c>
      <c r="W4" s="3742"/>
      <c r="X4" s="1353"/>
      <c r="Y4" s="3717" t="s">
        <v>1775</v>
      </c>
      <c r="Z4" s="3718"/>
      <c r="AA4" s="3712" t="s">
        <v>1771</v>
      </c>
      <c r="AB4" s="3713" t="s">
        <v>1772</v>
      </c>
      <c r="AC4" s="3712" t="s">
        <v>1773</v>
      </c>
    </row>
    <row r="5" spans="1:29" ht="15">
      <c r="A5" s="356"/>
      <c r="B5" s="357"/>
      <c r="C5" s="3723" t="s">
        <v>1673</v>
      </c>
      <c r="D5" s="3724"/>
      <c r="E5" s="3721" t="s">
        <v>1674</v>
      </c>
      <c r="F5" s="3722"/>
      <c r="G5" s="3723" t="s">
        <v>1675</v>
      </c>
      <c r="H5" s="3724"/>
      <c r="I5" s="3723" t="s">
        <v>1676</v>
      </c>
      <c r="J5" s="3724"/>
      <c r="K5" s="557"/>
      <c r="L5" s="2712"/>
      <c r="M5" s="2713"/>
      <c r="N5" s="2713"/>
      <c r="O5" s="2713"/>
      <c r="P5" s="3736"/>
      <c r="Q5" s="3737"/>
      <c r="R5" s="3719"/>
      <c r="S5" s="3720"/>
      <c r="T5" s="3719"/>
      <c r="U5" s="3720"/>
      <c r="V5" s="3742"/>
      <c r="W5" s="3742"/>
      <c r="X5" s="1353"/>
      <c r="Y5" s="3719"/>
      <c r="Z5" s="3720"/>
      <c r="AA5" s="3713"/>
      <c r="AB5" s="3713"/>
      <c r="AC5" s="3713"/>
    </row>
    <row r="6" spans="1:29" ht="15.75" thickBot="1">
      <c r="A6" s="358"/>
      <c r="B6" s="359"/>
      <c r="C6" s="3725" t="s">
        <v>1677</v>
      </c>
      <c r="D6" s="3726"/>
      <c r="E6" s="3727" t="s">
        <v>1677</v>
      </c>
      <c r="F6" s="3728"/>
      <c r="G6" s="3725" t="s">
        <v>1677</v>
      </c>
      <c r="H6" s="3726"/>
      <c r="I6" s="3725" t="s">
        <v>1677</v>
      </c>
      <c r="J6" s="3726"/>
      <c r="K6" s="557" t="s">
        <v>1678</v>
      </c>
      <c r="L6" s="2712"/>
      <c r="M6" s="2713"/>
      <c r="N6" s="2713"/>
      <c r="O6" s="2713"/>
      <c r="P6" s="3738"/>
      <c r="Q6" s="3739"/>
      <c r="R6" s="3719"/>
      <c r="S6" s="3720"/>
      <c r="T6" s="3740"/>
      <c r="U6" s="3741"/>
      <c r="V6" s="3742"/>
      <c r="W6" s="3742"/>
      <c r="X6" s="1353"/>
      <c r="Y6" s="3740"/>
      <c r="Z6" s="3741"/>
      <c r="AA6" s="3714"/>
      <c r="AB6" s="3714"/>
      <c r="AC6" s="3714"/>
    </row>
    <row r="7" spans="1:29" s="107" customFormat="1" ht="15.75" thickBot="1">
      <c r="A7" s="360" t="s">
        <v>1679</v>
      </c>
      <c r="B7" s="361"/>
      <c r="C7" s="362">
        <f>'数据-取费表'!B2</f>
        <v>45317</v>
      </c>
      <c r="D7" s="363">
        <v>100</v>
      </c>
      <c r="E7" s="364"/>
      <c r="F7" s="365">
        <f>SUMIF(46:46,YEAR(E7)&amp;"-"&amp;MONTH(E7),47:47)</f>
        <v>0</v>
      </c>
      <c r="G7" s="1972"/>
      <c r="H7" s="363">
        <f>SUMIF(46:46,YEAR(G7)&amp;"-"&amp;MONTH(G7),47:47)</f>
        <v>0</v>
      </c>
      <c r="I7" s="364"/>
      <c r="J7" s="363">
        <f>SUMIF(46:46,YEAR(I7)&amp;"-"&amp;MONTH(I7),47:47)</f>
        <v>0</v>
      </c>
      <c r="K7" s="558"/>
      <c r="L7" s="2714"/>
      <c r="M7" s="2715"/>
      <c r="N7" s="2715"/>
      <c r="O7" s="2715"/>
      <c r="P7" s="3715" t="s">
        <v>1680</v>
      </c>
      <c r="Q7" s="3743"/>
      <c r="R7" s="699" t="s">
        <v>14</v>
      </c>
      <c r="S7" s="700">
        <f t="shared" ref="S7:S14" si="0">F7</f>
        <v>0</v>
      </c>
      <c r="T7" s="699" t="s">
        <v>14</v>
      </c>
      <c r="U7" s="700">
        <f t="shared" ref="U7:U14" si="1">H7</f>
        <v>0</v>
      </c>
      <c r="V7" s="699" t="s">
        <v>14</v>
      </c>
      <c r="W7" s="700">
        <f t="shared" ref="W7:W14" si="2">J7</f>
        <v>0</v>
      </c>
      <c r="X7" s="701"/>
      <c r="Y7" s="3715" t="s">
        <v>1680</v>
      </c>
      <c r="Z7" s="3716"/>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715" t="s">
        <v>1683</v>
      </c>
      <c r="Q8" s="3716"/>
      <c r="R8" s="699" t="s">
        <v>14</v>
      </c>
      <c r="S8" s="700">
        <f t="shared" si="0"/>
        <v>100</v>
      </c>
      <c r="T8" s="699" t="s">
        <v>14</v>
      </c>
      <c r="U8" s="700">
        <f t="shared" si="1"/>
        <v>100</v>
      </c>
      <c r="V8" s="699" t="s">
        <v>14</v>
      </c>
      <c r="W8" s="700">
        <f t="shared" si="2"/>
        <v>100</v>
      </c>
      <c r="X8" s="701"/>
      <c r="Y8" s="3715" t="s">
        <v>1683</v>
      </c>
      <c r="Z8" s="3716"/>
      <c r="AA8" s="702">
        <f t="shared" ref="AA8:AA34" si="3">D8/F8</f>
        <v>1</v>
      </c>
      <c r="AB8" s="702">
        <f t="shared" ref="AB8:AB34" si="4">D8/H8</f>
        <v>1</v>
      </c>
      <c r="AC8" s="702">
        <f t="shared" ref="AC8:AC34" si="5">D8/J8</f>
        <v>1</v>
      </c>
    </row>
    <row r="9" spans="1:29" s="107" customFormat="1">
      <c r="A9" s="367" t="s">
        <v>1684</v>
      </c>
      <c r="B9" s="63" t="s">
        <v>1685</v>
      </c>
      <c r="C9" s="368"/>
      <c r="D9" s="125">
        <v>100</v>
      </c>
      <c r="E9" s="371"/>
      <c r="F9" s="370">
        <f>SUMIF(51:51,E9,52:52)-SUMIF(51:51,C9,52:52)+100</f>
        <v>100</v>
      </c>
      <c r="G9" s="371"/>
      <c r="H9" s="125">
        <f>SUMIF(51:51,G9,52:52)-SUMIF(51:51,C9,52:52)+100</f>
        <v>100</v>
      </c>
      <c r="I9" s="371"/>
      <c r="J9" s="125">
        <f>SUMIF(51:51,I9,52:52)-SUMIF(51:51,C9,52:52)+100</f>
        <v>100</v>
      </c>
      <c r="K9" s="558"/>
      <c r="L9" s="2714"/>
      <c r="M9" s="2715"/>
      <c r="N9" s="2715"/>
      <c r="O9" s="2769"/>
      <c r="P9" s="3747" t="s">
        <v>1686</v>
      </c>
      <c r="Q9" s="1341" t="str">
        <f t="shared" ref="Q9:Q14" si="6">B9</f>
        <v>用途</v>
      </c>
      <c r="R9" s="699" t="s">
        <v>14</v>
      </c>
      <c r="S9" s="700">
        <f t="shared" si="0"/>
        <v>100</v>
      </c>
      <c r="T9" s="699" t="s">
        <v>14</v>
      </c>
      <c r="U9" s="700">
        <f t="shared" si="1"/>
        <v>100</v>
      </c>
      <c r="V9" s="699" t="s">
        <v>14</v>
      </c>
      <c r="W9" s="700">
        <f t="shared" si="2"/>
        <v>100</v>
      </c>
      <c r="X9" s="701"/>
      <c r="Y9" s="3659" t="s">
        <v>1687</v>
      </c>
      <c r="Z9" s="52" t="str">
        <f t="shared" ref="Z9:Z14" si="7">Q9</f>
        <v>用途</v>
      </c>
      <c r="AA9" s="702">
        <f t="shared" si="3"/>
        <v>1</v>
      </c>
      <c r="AB9" s="702">
        <f t="shared" si="4"/>
        <v>1</v>
      </c>
      <c r="AC9" s="702">
        <f t="shared" si="5"/>
        <v>1</v>
      </c>
    </row>
    <row r="10" spans="1:29" s="376" customFormat="1" ht="27">
      <c r="A10" s="372"/>
      <c r="B10" s="373" t="s">
        <v>1688</v>
      </c>
      <c r="C10" s="3431"/>
      <c r="D10" s="126">
        <v>100</v>
      </c>
      <c r="E10" s="3431"/>
      <c r="F10" s="374">
        <f>SUMIF(53:53,E10,54:54)-SUMIF(53:53,C10,54:54)+100</f>
        <v>100</v>
      </c>
      <c r="G10" s="3431"/>
      <c r="H10" s="126">
        <f>SUMIF(53:53,G10,54:54)-SUMIF(53:53,C10,54:54)+100</f>
        <v>100</v>
      </c>
      <c r="I10" s="3431"/>
      <c r="J10" s="126">
        <f>SUMIF(53:53,I10,54:54)-SUMIF(53:53,C10,54:54)+100</f>
        <v>100</v>
      </c>
      <c r="K10" s="558"/>
      <c r="L10" s="2716"/>
      <c r="M10" s="2717"/>
      <c r="N10" s="2717"/>
      <c r="O10" s="2770"/>
      <c r="P10" s="3747"/>
      <c r="Q10" s="1341" t="str">
        <f t="shared" si="6"/>
        <v>土地使用年限（年）</v>
      </c>
      <c r="R10" s="699" t="s">
        <v>14</v>
      </c>
      <c r="S10" s="700">
        <f t="shared" si="0"/>
        <v>100</v>
      </c>
      <c r="T10" s="699" t="s">
        <v>14</v>
      </c>
      <c r="U10" s="700">
        <f t="shared" si="1"/>
        <v>100</v>
      </c>
      <c r="V10" s="699" t="s">
        <v>14</v>
      </c>
      <c r="W10" s="700">
        <f t="shared" si="2"/>
        <v>100</v>
      </c>
      <c r="X10" s="701"/>
      <c r="Y10" s="3659"/>
      <c r="Z10" s="52" t="str">
        <f t="shared" si="7"/>
        <v>土地使用年限（年）</v>
      </c>
      <c r="AA10" s="702">
        <f t="shared" si="3"/>
        <v>1</v>
      </c>
      <c r="AB10" s="702">
        <f t="shared" si="4"/>
        <v>1</v>
      </c>
      <c r="AC10" s="702">
        <f t="shared" si="5"/>
        <v>1</v>
      </c>
    </row>
    <row r="11" spans="1:29" ht="15">
      <c r="A11" s="377"/>
      <c r="B11" s="1891">
        <v>111</v>
      </c>
      <c r="C11" s="381"/>
      <c r="D11" s="126">
        <v>100</v>
      </c>
      <c r="E11" s="418"/>
      <c r="F11" s="374">
        <f>SUMIF(55:55,E11,56:56)-SUMIF(55:55,C11,56:56)+100</f>
        <v>100</v>
      </c>
      <c r="G11" s="418"/>
      <c r="H11" s="126">
        <f>SUMIF(55:55,G11,56:56)-SUMIF(55:55,C11,56:56)+100</f>
        <v>100</v>
      </c>
      <c r="I11" s="418"/>
      <c r="J11" s="126">
        <f>SUMIF(55:55,I11,56:56)-SUMIF(55:55,C11,56:56)+100</f>
        <v>100</v>
      </c>
      <c r="K11" s="560"/>
      <c r="L11" s="2718"/>
      <c r="M11" s="2713"/>
      <c r="N11" s="2713"/>
      <c r="O11" s="2771"/>
      <c r="P11" s="3747"/>
      <c r="Q11" s="1341">
        <f t="shared" si="6"/>
        <v>111</v>
      </c>
      <c r="R11" s="699" t="s">
        <v>14</v>
      </c>
      <c r="S11" s="700">
        <f t="shared" si="0"/>
        <v>100</v>
      </c>
      <c r="T11" s="699" t="s">
        <v>14</v>
      </c>
      <c r="U11" s="700">
        <f t="shared" si="1"/>
        <v>100</v>
      </c>
      <c r="V11" s="699" t="s">
        <v>14</v>
      </c>
      <c r="W11" s="700">
        <f t="shared" si="2"/>
        <v>100</v>
      </c>
      <c r="X11" s="701"/>
      <c r="Y11" s="3659"/>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6">
        <f>SUMIF(57:57,G12,58:58)-SUMIF(57:57,C12,58:58)+100</f>
        <v>100</v>
      </c>
      <c r="I12" s="418"/>
      <c r="J12" s="126">
        <f>SUMIF(57:57,I12,58:58)-SUMIF(57:57,C12,58:58)+100</f>
        <v>100</v>
      </c>
      <c r="K12" s="560"/>
      <c r="L12" s="2714"/>
      <c r="M12" s="2715"/>
      <c r="N12" s="2715"/>
      <c r="O12" s="2769"/>
      <c r="P12" s="3747"/>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9"/>
      <c r="M13" s="2713"/>
      <c r="N13" s="2713"/>
      <c r="O13" s="2771"/>
      <c r="P13" s="3747"/>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
      <c r="A14" s="389" t="s">
        <v>1690</v>
      </c>
      <c r="B14" s="61" t="s">
        <v>1833</v>
      </c>
      <c r="C14" s="1969">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749" t="s">
        <v>1691</v>
      </c>
      <c r="Q14" s="1350" t="str">
        <f t="shared" si="6"/>
        <v>交通便捷度</v>
      </c>
      <c r="R14" s="703" t="s">
        <v>14</v>
      </c>
      <c r="S14" s="704">
        <f t="shared" si="0"/>
        <v>100</v>
      </c>
      <c r="T14" s="703" t="s">
        <v>14</v>
      </c>
      <c r="U14" s="704">
        <f t="shared" si="1"/>
        <v>100</v>
      </c>
      <c r="V14" s="703" t="s">
        <v>14</v>
      </c>
      <c r="W14" s="704">
        <f t="shared" si="2"/>
        <v>100</v>
      </c>
      <c r="X14" s="1353"/>
      <c r="Y14" s="3749"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9"/>
      <c r="M15" s="2713"/>
      <c r="N15" s="2713"/>
      <c r="O15" s="2771"/>
      <c r="P15" s="3750"/>
      <c r="Q15" s="1350"/>
      <c r="R15" s="703"/>
      <c r="S15" s="704"/>
      <c r="T15" s="703"/>
      <c r="U15" s="704"/>
      <c r="V15" s="703"/>
      <c r="W15" s="704"/>
      <c r="X15" s="1353"/>
      <c r="Y15" s="3750"/>
      <c r="Z15" s="1354"/>
      <c r="AA15" s="1351">
        <v>1</v>
      </c>
      <c r="AB15" s="1351">
        <v>1</v>
      </c>
      <c r="AC15" s="1351">
        <v>1</v>
      </c>
    </row>
    <row r="16" spans="1:29" ht="15">
      <c r="A16" s="377"/>
      <c r="B16" s="400" t="s">
        <v>1812</v>
      </c>
      <c r="C16" s="1898">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750"/>
      <c r="Q16" s="1350" t="str">
        <f>B16</f>
        <v>公共配套设施</v>
      </c>
      <c r="R16" s="703" t="s">
        <v>14</v>
      </c>
      <c r="S16" s="704">
        <f>F16</f>
        <v>100</v>
      </c>
      <c r="T16" s="703" t="s">
        <v>14</v>
      </c>
      <c r="U16" s="704">
        <f>H16</f>
        <v>100</v>
      </c>
      <c r="V16" s="703" t="s">
        <v>14</v>
      </c>
      <c r="W16" s="704">
        <f>J16</f>
        <v>100</v>
      </c>
      <c r="X16" s="1353"/>
      <c r="Y16" s="3750"/>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9"/>
      <c r="M17" s="2713"/>
      <c r="N17" s="2713"/>
      <c r="O17" s="2771"/>
      <c r="P17" s="3750"/>
      <c r="Q17" s="1350"/>
      <c r="R17" s="703"/>
      <c r="S17" s="704"/>
      <c r="T17" s="703"/>
      <c r="U17" s="704"/>
      <c r="V17" s="703"/>
      <c r="W17" s="704"/>
      <c r="X17" s="1353"/>
      <c r="Y17" s="3750"/>
      <c r="Z17" s="1354"/>
      <c r="AA17" s="1351">
        <v>1</v>
      </c>
      <c r="AB17" s="1351">
        <v>1</v>
      </c>
      <c r="AC17" s="1351">
        <v>1</v>
      </c>
    </row>
    <row r="18" spans="1:29" ht="15">
      <c r="A18" s="377"/>
      <c r="B18" s="1129" t="s">
        <v>1813</v>
      </c>
      <c r="C18" s="1898">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750"/>
      <c r="Q18" s="1350" t="str">
        <f>B18</f>
        <v>基础设施水平</v>
      </c>
      <c r="R18" s="703" t="s">
        <v>14</v>
      </c>
      <c r="S18" s="704">
        <f>F18</f>
        <v>100</v>
      </c>
      <c r="T18" s="703" t="s">
        <v>14</v>
      </c>
      <c r="U18" s="704">
        <f>H18</f>
        <v>100</v>
      </c>
      <c r="V18" s="703" t="s">
        <v>14</v>
      </c>
      <c r="W18" s="704">
        <f>J18</f>
        <v>100</v>
      </c>
      <c r="X18" s="1353"/>
      <c r="Y18" s="3750"/>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9"/>
      <c r="M19" s="2713"/>
      <c r="N19" s="2713"/>
      <c r="O19" s="2771"/>
      <c r="P19" s="3750"/>
      <c r="Q19" s="1350"/>
      <c r="R19" s="703"/>
      <c r="S19" s="704"/>
      <c r="T19" s="703"/>
      <c r="U19" s="704"/>
      <c r="V19" s="703"/>
      <c r="W19" s="704"/>
      <c r="X19" s="1353"/>
      <c r="Y19" s="3750"/>
      <c r="Z19" s="1354"/>
      <c r="AA19" s="1351">
        <v>1</v>
      </c>
      <c r="AB19" s="1351">
        <v>1</v>
      </c>
      <c r="AC19" s="1351">
        <v>1</v>
      </c>
    </row>
    <row r="20" spans="1:29" ht="15">
      <c r="A20" s="377"/>
      <c r="B20" s="400" t="s">
        <v>1834</v>
      </c>
      <c r="C20" s="1898">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750"/>
      <c r="Q20" s="1350" t="str">
        <f>B20</f>
        <v>自然及人文环境</v>
      </c>
      <c r="R20" s="703" t="s">
        <v>14</v>
      </c>
      <c r="S20" s="704">
        <f>F20</f>
        <v>100</v>
      </c>
      <c r="T20" s="703" t="s">
        <v>14</v>
      </c>
      <c r="U20" s="704">
        <f>H20</f>
        <v>100</v>
      </c>
      <c r="V20" s="703" t="s">
        <v>14</v>
      </c>
      <c r="W20" s="704">
        <f>J20</f>
        <v>100</v>
      </c>
      <c r="X20" s="1353"/>
      <c r="Y20" s="3750"/>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9"/>
      <c r="M21" s="2713"/>
      <c r="N21" s="2713"/>
      <c r="O21" s="2771"/>
      <c r="P21" s="3750"/>
      <c r="Q21" s="1350"/>
      <c r="R21" s="703"/>
      <c r="S21" s="704"/>
      <c r="T21" s="703"/>
      <c r="U21" s="704"/>
      <c r="V21" s="703"/>
      <c r="W21" s="704"/>
      <c r="X21" s="1353"/>
      <c r="Y21" s="3750"/>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750"/>
      <c r="Q22" s="1350" t="str">
        <f>B22</f>
        <v>楼层</v>
      </c>
      <c r="R22" s="703" t="s">
        <v>14</v>
      </c>
      <c r="S22" s="704">
        <f>F22</f>
        <v>100</v>
      </c>
      <c r="T22" s="703" t="s">
        <v>14</v>
      </c>
      <c r="U22" s="704">
        <f>H22</f>
        <v>100</v>
      </c>
      <c r="V22" s="703" t="s">
        <v>14</v>
      </c>
      <c r="W22" s="704">
        <f>J22</f>
        <v>100</v>
      </c>
      <c r="X22" s="1353"/>
      <c r="Y22" s="3750"/>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750"/>
      <c r="Q23" s="1350">
        <f>B23</f>
        <v>111</v>
      </c>
      <c r="R23" s="703" t="s">
        <v>14</v>
      </c>
      <c r="S23" s="704">
        <f>F23</f>
        <v>100</v>
      </c>
      <c r="T23" s="703" t="s">
        <v>14</v>
      </c>
      <c r="U23" s="704">
        <f>H23</f>
        <v>100</v>
      </c>
      <c r="V23" s="703" t="s">
        <v>14</v>
      </c>
      <c r="W23" s="704">
        <f>J23</f>
        <v>100</v>
      </c>
      <c r="X23" s="1353"/>
      <c r="Y23" s="3750"/>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750"/>
      <c r="Q24" s="1350">
        <f t="shared" ref="Q24:Q34" si="11">B24</f>
        <v>111</v>
      </c>
      <c r="R24" s="703" t="s">
        <v>14</v>
      </c>
      <c r="S24" s="704">
        <f>F24</f>
        <v>100</v>
      </c>
      <c r="T24" s="703" t="s">
        <v>14</v>
      </c>
      <c r="U24" s="704">
        <f>H24</f>
        <v>100</v>
      </c>
      <c r="V24" s="703" t="s">
        <v>14</v>
      </c>
      <c r="W24" s="704">
        <f>J24</f>
        <v>100</v>
      </c>
      <c r="X24" s="1353"/>
      <c r="Y24" s="3750"/>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4"/>
      <c r="M25" s="2715"/>
      <c r="N25" s="2715"/>
      <c r="O25" s="2769"/>
      <c r="P25" s="3750"/>
      <c r="Q25" s="1341">
        <f t="shared" si="11"/>
        <v>111</v>
      </c>
      <c r="R25" s="699" t="s">
        <v>14</v>
      </c>
      <c r="S25" s="700">
        <f>F25</f>
        <v>100</v>
      </c>
      <c r="T25" s="699" t="s">
        <v>14</v>
      </c>
      <c r="U25" s="700">
        <f>H25</f>
        <v>100</v>
      </c>
      <c r="V25" s="699" t="s">
        <v>14</v>
      </c>
      <c r="W25" s="700">
        <f>J25</f>
        <v>100</v>
      </c>
      <c r="X25" s="701"/>
      <c r="Y25" s="3750"/>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9"/>
      <c r="M26" s="2713"/>
      <c r="N26" s="2713"/>
      <c r="O26" s="2771"/>
      <c r="P26" s="377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54"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6">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754"/>
      <c r="Q27" s="705" t="str">
        <f t="shared" si="11"/>
        <v>成新率</v>
      </c>
      <c r="R27" s="706" t="s">
        <v>14</v>
      </c>
      <c r="S27" s="707" t="e">
        <f t="shared" si="12"/>
        <v>#N/A</v>
      </c>
      <c r="T27" s="706" t="s">
        <v>14</v>
      </c>
      <c r="U27" s="707" t="e">
        <f t="shared" si="13"/>
        <v>#N/A</v>
      </c>
      <c r="V27" s="706" t="s">
        <v>14</v>
      </c>
      <c r="W27" s="707" t="e">
        <f t="shared" si="14"/>
        <v>#N/A</v>
      </c>
      <c r="X27" s="708"/>
      <c r="Y27" s="3754"/>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754"/>
      <c r="Q28" s="1350" t="str">
        <f t="shared" si="11"/>
        <v>物业等级</v>
      </c>
      <c r="R28" s="703" t="s">
        <v>14</v>
      </c>
      <c r="S28" s="704">
        <f t="shared" si="12"/>
        <v>100</v>
      </c>
      <c r="T28" s="703" t="s">
        <v>14</v>
      </c>
      <c r="U28" s="704">
        <f t="shared" si="13"/>
        <v>100</v>
      </c>
      <c r="V28" s="703" t="s">
        <v>14</v>
      </c>
      <c r="W28" s="704">
        <f t="shared" si="14"/>
        <v>100</v>
      </c>
      <c r="X28" s="1353"/>
      <c r="Y28" s="3754"/>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754"/>
      <c r="Q29" s="1350" t="str">
        <f t="shared" si="11"/>
        <v>有无电梯</v>
      </c>
      <c r="R29" s="703" t="s">
        <v>14</v>
      </c>
      <c r="S29" s="704">
        <f t="shared" si="12"/>
        <v>100</v>
      </c>
      <c r="T29" s="703" t="s">
        <v>14</v>
      </c>
      <c r="U29" s="704">
        <f t="shared" si="13"/>
        <v>100</v>
      </c>
      <c r="V29" s="703" t="s">
        <v>14</v>
      </c>
      <c r="W29" s="704">
        <f t="shared" si="14"/>
        <v>100</v>
      </c>
      <c r="X29" s="1353"/>
      <c r="Y29" s="3754"/>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754"/>
      <c r="Q30" s="1350" t="str">
        <f t="shared" si="11"/>
        <v>建筑面积</v>
      </c>
      <c r="R30" s="703" t="s">
        <v>14</v>
      </c>
      <c r="S30" s="704" t="e">
        <f t="shared" si="12"/>
        <v>#N/A</v>
      </c>
      <c r="T30" s="703" t="s">
        <v>14</v>
      </c>
      <c r="U30" s="704" t="e">
        <f t="shared" si="13"/>
        <v>#N/A</v>
      </c>
      <c r="V30" s="703" t="s">
        <v>14</v>
      </c>
      <c r="W30" s="704" t="e">
        <f t="shared" si="14"/>
        <v>#N/A</v>
      </c>
      <c r="X30" s="1353"/>
      <c r="Y30" s="3754"/>
      <c r="Z30" s="1354" t="str">
        <f t="shared" si="15"/>
        <v>建筑面积</v>
      </c>
      <c r="AA30" s="1351" t="e">
        <f t="shared" si="3"/>
        <v>#N/A</v>
      </c>
      <c r="AB30" s="1351" t="e">
        <f t="shared" si="4"/>
        <v>#N/A</v>
      </c>
      <c r="AC30" s="1351" t="e">
        <f t="shared" si="5"/>
        <v>#N/A</v>
      </c>
    </row>
    <row r="31" spans="1:29" s="107" customFormat="1" ht="15">
      <c r="A31" s="422"/>
      <c r="B31" s="373" t="s">
        <v>1862</v>
      </c>
      <c r="C31" s="603"/>
      <c r="D31" s="126">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754"/>
      <c r="Q31" s="1341" t="str">
        <f t="shared" si="11"/>
        <v>是否封闭</v>
      </c>
      <c r="R31" s="699" t="s">
        <v>14</v>
      </c>
      <c r="S31" s="700">
        <f t="shared" si="12"/>
        <v>100</v>
      </c>
      <c r="T31" s="699" t="s">
        <v>14</v>
      </c>
      <c r="U31" s="700">
        <f t="shared" si="13"/>
        <v>100</v>
      </c>
      <c r="V31" s="699" t="s">
        <v>14</v>
      </c>
      <c r="W31" s="700">
        <f t="shared" si="14"/>
        <v>100</v>
      </c>
      <c r="X31" s="701"/>
      <c r="Y31" s="3754"/>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754" t="s">
        <v>1696</v>
      </c>
      <c r="Q32" s="1350">
        <f t="shared" si="11"/>
        <v>111</v>
      </c>
      <c r="R32" s="703" t="s">
        <v>14</v>
      </c>
      <c r="S32" s="704">
        <f t="shared" si="12"/>
        <v>100</v>
      </c>
      <c r="T32" s="703" t="s">
        <v>14</v>
      </c>
      <c r="U32" s="704">
        <f t="shared" si="13"/>
        <v>100</v>
      </c>
      <c r="V32" s="703" t="s">
        <v>14</v>
      </c>
      <c r="W32" s="704">
        <f t="shared" si="14"/>
        <v>100</v>
      </c>
      <c r="X32" s="1353"/>
      <c r="Y32" s="3754"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754"/>
      <c r="Q33" s="1350">
        <f t="shared" si="11"/>
        <v>111</v>
      </c>
      <c r="R33" s="703" t="s">
        <v>14</v>
      </c>
      <c r="S33" s="704">
        <f t="shared" si="12"/>
        <v>100</v>
      </c>
      <c r="T33" s="703" t="s">
        <v>14</v>
      </c>
      <c r="U33" s="704">
        <f t="shared" si="13"/>
        <v>100</v>
      </c>
      <c r="V33" s="703" t="s">
        <v>14</v>
      </c>
      <c r="W33" s="704">
        <f t="shared" si="14"/>
        <v>100</v>
      </c>
      <c r="X33" s="1353"/>
      <c r="Y33" s="3754"/>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9"/>
      <c r="M34" s="2713"/>
      <c r="N34" s="2713"/>
      <c r="O34" s="2771"/>
      <c r="P34" s="3754"/>
      <c r="Q34" s="1350">
        <f t="shared" si="11"/>
        <v>111</v>
      </c>
      <c r="R34" s="703" t="s">
        <v>14</v>
      </c>
      <c r="S34" s="704">
        <f t="shared" si="12"/>
        <v>100</v>
      </c>
      <c r="T34" s="703" t="s">
        <v>14</v>
      </c>
      <c r="U34" s="704">
        <f t="shared" si="13"/>
        <v>100</v>
      </c>
      <c r="V34" s="703" t="s">
        <v>14</v>
      </c>
      <c r="W34" s="704">
        <f t="shared" si="14"/>
        <v>100</v>
      </c>
      <c r="X34" s="1353"/>
      <c r="Y34" s="3754"/>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1"/>
      <c r="M35" s="2722"/>
      <c r="N35" s="2713"/>
      <c r="O35" s="2722"/>
      <c r="P35" s="3747" t="str">
        <f>A35</f>
        <v>成交单价（元/平方米）</v>
      </c>
      <c r="Q35" s="3747"/>
      <c r="R35" s="3748">
        <f>E35</f>
        <v>0</v>
      </c>
      <c r="S35" s="3748"/>
      <c r="T35" s="3748">
        <f>G35</f>
        <v>0</v>
      </c>
      <c r="U35" s="3748"/>
      <c r="V35" s="3748">
        <f>I35</f>
        <v>0</v>
      </c>
      <c r="W35" s="3748"/>
      <c r="X35" s="688"/>
      <c r="Y35" s="710"/>
      <c r="Z35" s="688"/>
      <c r="AA35" s="688"/>
      <c r="AB35" s="688"/>
      <c r="AC35" s="688"/>
    </row>
    <row r="36" spans="1:30" ht="15.75" thickBot="1">
      <c r="A36" s="435" t="s">
        <v>1793</v>
      </c>
      <c r="B36" s="436"/>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1"/>
      <c r="M37" s="2722"/>
      <c r="N37" s="2722"/>
      <c r="O37" s="2722"/>
      <c r="P37" s="3744" t="str">
        <f>A37</f>
        <v>估价对象XX用房的比较价值（楼面单价，元/平方米）</v>
      </c>
      <c r="Q37" s="3745"/>
      <c r="R37" s="3774" t="e">
        <f>IF(F1="售价",ROUND(IF(D36="简单平均",AVERAGE(R36:W36),R36*F36+T36*H36+V36*J36),0),ROUND(IF(D36="简单平均",AVERAGE(R36:V36),R36*F36+T36*H36+V36*J36),1))</f>
        <v>#DIV/0!</v>
      </c>
      <c r="S37" s="3774"/>
      <c r="T37" s="3774"/>
      <c r="U37" s="3774"/>
      <c r="V37" s="3774"/>
      <c r="W37" s="3774"/>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5" customFormat="1" ht="15">
      <c r="A46" s="452" t="s">
        <v>1679</v>
      </c>
      <c r="B46" s="453"/>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3"/>
      <c r="Q46" s="2738"/>
      <c r="R46" s="2738"/>
      <c r="S46" s="2738"/>
      <c r="T46" s="2738"/>
      <c r="U46" s="2738"/>
      <c r="V46" s="2738"/>
      <c r="W46" s="2738"/>
      <c r="X46" s="2738"/>
      <c r="Y46" s="2738"/>
      <c r="Z46" s="2738"/>
      <c r="AA46" s="2738"/>
      <c r="AB46" s="2738"/>
      <c r="AC46" s="2738"/>
      <c r="AD46" s="2738"/>
    </row>
    <row r="47" spans="1:30" s="107" customFormat="1" ht="15">
      <c r="A47" s="456"/>
      <c r="B47" s="457"/>
      <c r="C47" s="1181">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7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5">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5.75"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7.75"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5.75"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5.75"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5.75"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5.75"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5.75"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5.75"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5.75"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7.75"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75" thickTop="1">
      <c r="A65" s="481"/>
      <c r="B65" s="493" t="s">
        <v>1813</v>
      </c>
      <c r="C65" s="606" t="s">
        <v>1799</v>
      </c>
      <c r="D65" s="606" t="s">
        <v>1800</v>
      </c>
      <c r="E65" s="606" t="s">
        <v>1801</v>
      </c>
      <c r="F65" s="606" t="s">
        <v>1802</v>
      </c>
      <c r="G65" s="606" t="s">
        <v>1803</v>
      </c>
      <c r="H65" s="486"/>
      <c r="I65" s="486"/>
      <c r="J65" s="486"/>
      <c r="K65" s="486"/>
      <c r="L65" s="486"/>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7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7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5.75"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5.75"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ht="15">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5.75"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5.75"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5"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5.75"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5"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5.75"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5"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5.75"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E63" sqref="E63"/>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f>F65</f>
        <v>118328</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49"/>
    </row>
    <row r="3" spans="1:30" s="350" customFormat="1" ht="28.5" customHeight="1" thickBot="1">
      <c r="A3" s="201" t="s">
        <v>1464</v>
      </c>
      <c r="B3" s="556">
        <f>ROUND(IF(D3="",B2*10000/'数据-汇总表'!E3,B2*10000/D3),0)</f>
        <v>9864</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3" t="s">
        <v>1769</v>
      </c>
      <c r="B4" s="354"/>
      <c r="C4" s="3730" t="s">
        <v>1770</v>
      </c>
      <c r="D4" s="3731"/>
      <c r="E4" s="3732" t="s">
        <v>1771</v>
      </c>
      <c r="F4" s="3733"/>
      <c r="G4" s="3730" t="s">
        <v>1772</v>
      </c>
      <c r="H4" s="3731"/>
      <c r="I4" s="3730" t="s">
        <v>1773</v>
      </c>
      <c r="J4" s="3731"/>
      <c r="K4" s="557" t="s">
        <v>1774</v>
      </c>
      <c r="L4" s="2712"/>
      <c r="M4" s="2713"/>
      <c r="N4" s="2713"/>
      <c r="O4" s="2713"/>
      <c r="P4" s="3734" t="s">
        <v>1775</v>
      </c>
      <c r="Q4" s="3735"/>
      <c r="R4" s="3717" t="s">
        <v>1771</v>
      </c>
      <c r="S4" s="3718"/>
      <c r="T4" s="3717" t="s">
        <v>1772</v>
      </c>
      <c r="U4" s="3718"/>
      <c r="V4" s="3742" t="s">
        <v>1773</v>
      </c>
      <c r="W4" s="3742"/>
      <c r="X4" s="1353"/>
      <c r="Y4" s="3717" t="s">
        <v>1775</v>
      </c>
      <c r="Z4" s="3718"/>
      <c r="AA4" s="3712" t="s">
        <v>1771</v>
      </c>
      <c r="AB4" s="3713" t="s">
        <v>1772</v>
      </c>
      <c r="AC4" s="3712" t="s">
        <v>1773</v>
      </c>
    </row>
    <row r="5" spans="1:30" ht="15">
      <c r="A5" s="356"/>
      <c r="B5" s="357"/>
      <c r="C5" s="3723" t="s">
        <v>1673</v>
      </c>
      <c r="D5" s="3724"/>
      <c r="E5" s="3721" t="str">
        <f>Sheet0!A3</f>
        <v>大兴区西红门镇集体经营性建设用地2号地2-002A地块</v>
      </c>
      <c r="F5" s="3722"/>
      <c r="G5" s="3723" t="str">
        <f>Sheet0!A8</f>
        <v>北京经济技术开发区亦庄新城0902街区JG01-07地块F3其他类多功能用地</v>
      </c>
      <c r="H5" s="3724"/>
      <c r="I5" s="3723" t="str">
        <f>Sheet0!A9</f>
        <v>北京市大兴区黄村镇DX00-0201-6001地块B14旅馆用地</v>
      </c>
      <c r="J5" s="3724"/>
      <c r="K5" s="557"/>
      <c r="L5" s="2712"/>
      <c r="M5" s="2713"/>
      <c r="N5" s="2713"/>
      <c r="O5" s="2713"/>
      <c r="P5" s="3736"/>
      <c r="Q5" s="3737"/>
      <c r="R5" s="3719"/>
      <c r="S5" s="3720"/>
      <c r="T5" s="3719"/>
      <c r="U5" s="3720"/>
      <c r="V5" s="3742"/>
      <c r="W5" s="3742"/>
      <c r="X5" s="1353"/>
      <c r="Y5" s="3719"/>
      <c r="Z5" s="3720"/>
      <c r="AA5" s="3713"/>
      <c r="AB5" s="3713"/>
      <c r="AC5" s="3713"/>
    </row>
    <row r="6" spans="1:30" ht="15.75" thickBot="1">
      <c r="A6" s="358"/>
      <c r="B6" s="359"/>
      <c r="C6" s="3725" t="s">
        <v>1677</v>
      </c>
      <c r="D6" s="3726"/>
      <c r="E6" s="3727" t="s">
        <v>1677</v>
      </c>
      <c r="F6" s="3728"/>
      <c r="G6" s="3725" t="s">
        <v>1677</v>
      </c>
      <c r="H6" s="3726"/>
      <c r="I6" s="3725" t="s">
        <v>1677</v>
      </c>
      <c r="J6" s="3726"/>
      <c r="K6" s="557" t="s">
        <v>1678</v>
      </c>
      <c r="L6" s="2712"/>
      <c r="M6" s="2713"/>
      <c r="N6" s="2713"/>
      <c r="O6" s="2713"/>
      <c r="P6" s="3738"/>
      <c r="Q6" s="3739"/>
      <c r="R6" s="3719"/>
      <c r="S6" s="3720"/>
      <c r="T6" s="3740"/>
      <c r="U6" s="3741"/>
      <c r="V6" s="3742"/>
      <c r="W6" s="3742"/>
      <c r="X6" s="1353"/>
      <c r="Y6" s="3740"/>
      <c r="Z6" s="3741"/>
      <c r="AA6" s="3714"/>
      <c r="AB6" s="3714"/>
      <c r="AC6" s="3714"/>
    </row>
    <row r="7" spans="1:30" s="107" customFormat="1" ht="15.75" thickBot="1">
      <c r="A7" s="360" t="s">
        <v>1679</v>
      </c>
      <c r="B7" s="361"/>
      <c r="C7" s="362">
        <f>'数据-取费表'!B2</f>
        <v>45317</v>
      </c>
      <c r="D7" s="363">
        <v>100</v>
      </c>
      <c r="E7" s="364" t="str">
        <f>Sheet0!AB3</f>
        <v>2023-03-27</v>
      </c>
      <c r="F7" s="365">
        <f>SUMIF(69:69,YEAR(E7)&amp;"-"&amp;INT((MONTH(E7)+2)/3),70:70)</f>
        <v>99.199999999999989</v>
      </c>
      <c r="G7" s="1972" t="str">
        <f>Sheet0!AB8</f>
        <v>2022-02-08</v>
      </c>
      <c r="H7" s="363">
        <f>SUMIF(69:69,YEAR(G7)&amp;"-"&amp;INT((MONTH(G7)+2)/3),70:70)</f>
        <v>98.399999999999977</v>
      </c>
      <c r="I7" s="1972" t="str">
        <f>Sheet0!AB9</f>
        <v>2021-12-24</v>
      </c>
      <c r="J7" s="363">
        <f>SUMIF(69:69,YEAR(I7)&amp;"-"&amp;INT((MONTH(I7)+2)/3),70:70)</f>
        <v>98.199999999999974</v>
      </c>
      <c r="K7" s="558"/>
      <c r="L7" s="2714"/>
      <c r="M7" s="2715"/>
      <c r="N7" s="2715"/>
      <c r="O7" s="2715"/>
      <c r="P7" s="3715" t="s">
        <v>1680</v>
      </c>
      <c r="Q7" s="3743"/>
      <c r="R7" s="699" t="s">
        <v>14</v>
      </c>
      <c r="S7" s="700">
        <f t="shared" ref="S7:S15" si="0">F7</f>
        <v>99.199999999999989</v>
      </c>
      <c r="T7" s="699" t="s">
        <v>14</v>
      </c>
      <c r="U7" s="700">
        <f t="shared" ref="U7:U15" si="1">H7</f>
        <v>98.399999999999977</v>
      </c>
      <c r="V7" s="699" t="s">
        <v>14</v>
      </c>
      <c r="W7" s="700">
        <f t="shared" ref="W7:W15" si="2">J7</f>
        <v>98.199999999999974</v>
      </c>
      <c r="X7" s="701"/>
      <c r="Y7" s="3715" t="s">
        <v>1680</v>
      </c>
      <c r="Z7" s="3716"/>
      <c r="AA7" s="702">
        <f>D7/F7</f>
        <v>1.0080645161290325</v>
      </c>
      <c r="AB7" s="702">
        <f>D7/H7</f>
        <v>1.0162601626016263</v>
      </c>
      <c r="AC7" s="702">
        <f>D7/J7</f>
        <v>1.0183299389002038</v>
      </c>
    </row>
    <row r="8" spans="1:30" s="107" customFormat="1" ht="15.75" thickBot="1">
      <c r="A8" s="360" t="s">
        <v>1681</v>
      </c>
      <c r="B8" s="361"/>
      <c r="C8" s="366" t="s">
        <v>1682</v>
      </c>
      <c r="D8" s="363">
        <v>100</v>
      </c>
      <c r="E8" s="366" t="s">
        <v>3957</v>
      </c>
      <c r="F8" s="365">
        <f>SUMIF(72:72,E8,73:73)-SUMIF(72:72,C8,73:73)+100</f>
        <v>100</v>
      </c>
      <c r="G8" s="366" t="s">
        <v>3957</v>
      </c>
      <c r="H8" s="363">
        <f>SUMIF(72:72,G8,73:73)-SUMIF(72:72,C8,73:73)+100</f>
        <v>100</v>
      </c>
      <c r="I8" s="366" t="s">
        <v>3957</v>
      </c>
      <c r="J8" s="363">
        <f>SUMIF(72:72,I8,73:73)-SUMIF(72:72,C8,73:73)+100</f>
        <v>100</v>
      </c>
      <c r="K8" s="558"/>
      <c r="L8" s="2714"/>
      <c r="M8" s="2715"/>
      <c r="N8" s="2715"/>
      <c r="O8" s="2715"/>
      <c r="P8" s="3715" t="s">
        <v>1683</v>
      </c>
      <c r="Q8" s="3716"/>
      <c r="R8" s="699" t="s">
        <v>14</v>
      </c>
      <c r="S8" s="700">
        <f t="shared" si="0"/>
        <v>100</v>
      </c>
      <c r="T8" s="699" t="s">
        <v>14</v>
      </c>
      <c r="U8" s="700">
        <f t="shared" si="1"/>
        <v>100</v>
      </c>
      <c r="V8" s="699" t="s">
        <v>14</v>
      </c>
      <c r="W8" s="700">
        <f t="shared" si="2"/>
        <v>100</v>
      </c>
      <c r="X8" s="701"/>
      <c r="Y8" s="3715" t="s">
        <v>1683</v>
      </c>
      <c r="Z8" s="3716"/>
      <c r="AA8" s="702">
        <f t="shared" ref="AA8:AA45" si="3">D8/F8</f>
        <v>1</v>
      </c>
      <c r="AB8" s="702">
        <f t="shared" ref="AB8:AB45" si="4">D8/H8</f>
        <v>1</v>
      </c>
      <c r="AC8" s="702">
        <f t="shared" ref="AC8:AC45" si="5">D8/J8</f>
        <v>1</v>
      </c>
    </row>
    <row r="9" spans="1:30" s="107" customFormat="1" ht="15">
      <c r="A9" s="367" t="s">
        <v>1684</v>
      </c>
      <c r="B9" s="63" t="s">
        <v>1685</v>
      </c>
      <c r="C9" s="1975" t="s">
        <v>3958</v>
      </c>
      <c r="D9" s="125">
        <v>100</v>
      </c>
      <c r="E9" s="1975" t="s">
        <v>3959</v>
      </c>
      <c r="F9" s="125">
        <f>SUMIF(74:74,E9,75:75)-SUMIF(74:74,C9,75:75)+100</f>
        <v>90</v>
      </c>
      <c r="G9" s="1975" t="s">
        <v>3960</v>
      </c>
      <c r="H9" s="125">
        <f>SUMIF(74:74,G9,75:75)-SUMIF(74:74,C9,75:75)+100</f>
        <v>90</v>
      </c>
      <c r="I9" s="1975" t="s">
        <v>3961</v>
      </c>
      <c r="J9" s="125">
        <f>SUMIF(74:74,I9,75:75)-SUMIF(74:74,C9,75:75)+100</f>
        <v>85</v>
      </c>
      <c r="K9" s="558"/>
      <c r="L9" s="2714"/>
      <c r="M9" s="2715"/>
      <c r="N9" s="2715"/>
      <c r="O9" s="2769"/>
      <c r="P9" s="3747" t="s">
        <v>1686</v>
      </c>
      <c r="Q9" s="1341" t="str">
        <f t="shared" ref="Q9:Q15" si="6">B9</f>
        <v>用途</v>
      </c>
      <c r="R9" s="699" t="s">
        <v>14</v>
      </c>
      <c r="S9" s="700">
        <f t="shared" si="0"/>
        <v>90</v>
      </c>
      <c r="T9" s="699" t="s">
        <v>14</v>
      </c>
      <c r="U9" s="700">
        <f t="shared" si="1"/>
        <v>90</v>
      </c>
      <c r="V9" s="699" t="s">
        <v>14</v>
      </c>
      <c r="W9" s="700">
        <f t="shared" si="2"/>
        <v>85</v>
      </c>
      <c r="X9" s="701"/>
      <c r="Y9" s="3659" t="s">
        <v>1687</v>
      </c>
      <c r="Z9" s="52" t="str">
        <f t="shared" ref="Z9:Z15" si="7">Q9</f>
        <v>用途</v>
      </c>
      <c r="AA9" s="702">
        <f t="shared" si="3"/>
        <v>1.1111111111111112</v>
      </c>
      <c r="AB9" s="702">
        <f t="shared" si="4"/>
        <v>1.1111111111111112</v>
      </c>
      <c r="AC9" s="702">
        <f t="shared" si="5"/>
        <v>1.1764705882352942</v>
      </c>
    </row>
    <row r="10" spans="1:30" s="376" customFormat="1" ht="27">
      <c r="A10" s="372"/>
      <c r="B10" s="373" t="s">
        <v>1688</v>
      </c>
      <c r="C10" s="381"/>
      <c r="D10" s="126">
        <v>100</v>
      </c>
      <c r="E10" s="414"/>
      <c r="F10" s="126">
        <f>ROUND(100/'数据-取费表'!G16,0)</f>
        <v>115</v>
      </c>
      <c r="G10" s="412"/>
      <c r="H10" s="126">
        <f>ROUND(100/'数据-取费表'!G16,0)</f>
        <v>115</v>
      </c>
      <c r="I10" s="412"/>
      <c r="J10" s="126">
        <f>ROUND(100/'数据-取费表'!G16,0)</f>
        <v>115</v>
      </c>
      <c r="K10" s="618"/>
      <c r="L10" s="2716"/>
      <c r="M10" s="2717"/>
      <c r="N10" s="2717"/>
      <c r="O10" s="2770"/>
      <c r="P10" s="3747"/>
      <c r="Q10" s="1341" t="str">
        <f t="shared" si="6"/>
        <v>土地使用年限（年）</v>
      </c>
      <c r="R10" s="699" t="s">
        <v>14</v>
      </c>
      <c r="S10" s="700">
        <f t="shared" si="0"/>
        <v>115</v>
      </c>
      <c r="T10" s="699" t="s">
        <v>14</v>
      </c>
      <c r="U10" s="700">
        <f t="shared" si="1"/>
        <v>115</v>
      </c>
      <c r="V10" s="699" t="s">
        <v>14</v>
      </c>
      <c r="W10" s="700">
        <f t="shared" si="2"/>
        <v>115</v>
      </c>
      <c r="X10" s="701"/>
      <c r="Y10" s="3659"/>
      <c r="Z10" s="52" t="str">
        <f t="shared" si="7"/>
        <v>土地使用年限（年）</v>
      </c>
      <c r="AA10" s="702">
        <f t="shared" si="3"/>
        <v>0.86956521739130432</v>
      </c>
      <c r="AB10" s="702">
        <f t="shared" si="4"/>
        <v>0.86956521739130432</v>
      </c>
      <c r="AC10" s="702">
        <f t="shared" si="5"/>
        <v>0.86956521739130432</v>
      </c>
    </row>
    <row r="11" spans="1:30" ht="15">
      <c r="A11" s="377"/>
      <c r="B11" s="373" t="s">
        <v>1689</v>
      </c>
      <c r="C11" s="378">
        <f>'数据-汇总表'!I6</f>
        <v>3.49</v>
      </c>
      <c r="D11" s="126">
        <v>100</v>
      </c>
      <c r="E11" s="378">
        <v>2</v>
      </c>
      <c r="F11" s="126">
        <f>LOOKUP(E11,79:79,80:80)-LOOKUP(C11,79:79,80:80)+100</f>
        <v>105</v>
      </c>
      <c r="G11" s="379">
        <v>3</v>
      </c>
      <c r="H11" s="126">
        <f>LOOKUP(G11,79:79,80:80)-LOOKUP(C11,79:79,80:80)+100</f>
        <v>100</v>
      </c>
      <c r="I11" s="378">
        <v>2</v>
      </c>
      <c r="J11" s="126">
        <f>LOOKUP(I11,79:79,80:80)-LOOKUP(C11,79:79,80:80)+100</f>
        <v>105</v>
      </c>
      <c r="K11" s="3847">
        <v>5</v>
      </c>
      <c r="L11" s="2718"/>
      <c r="M11" s="2713"/>
      <c r="N11" s="2713"/>
      <c r="O11" s="2771"/>
      <c r="P11" s="3747"/>
      <c r="Q11" s="1341" t="str">
        <f t="shared" si="6"/>
        <v>容积率</v>
      </c>
      <c r="R11" s="699" t="s">
        <v>14</v>
      </c>
      <c r="S11" s="700">
        <f t="shared" si="0"/>
        <v>105</v>
      </c>
      <c r="T11" s="699" t="s">
        <v>14</v>
      </c>
      <c r="U11" s="700">
        <f t="shared" si="1"/>
        <v>100</v>
      </c>
      <c r="V11" s="699" t="s">
        <v>14</v>
      </c>
      <c r="W11" s="700">
        <f t="shared" si="2"/>
        <v>105</v>
      </c>
      <c r="X11" s="701"/>
      <c r="Y11" s="3659"/>
      <c r="Z11" s="52" t="str">
        <f t="shared" si="7"/>
        <v>容积率</v>
      </c>
      <c r="AA11" s="702">
        <f t="shared" si="3"/>
        <v>0.95238095238095233</v>
      </c>
      <c r="AB11" s="702">
        <f t="shared" si="4"/>
        <v>1</v>
      </c>
      <c r="AC11" s="702">
        <f t="shared" si="5"/>
        <v>0.95238095238095233</v>
      </c>
    </row>
    <row r="12" spans="1:30" s="107" customFormat="1" ht="27.75">
      <c r="A12" s="380"/>
      <c r="B12" s="3474" t="s">
        <v>3962</v>
      </c>
      <c r="C12" s="381" t="s">
        <v>3963</v>
      </c>
      <c r="D12" s="382">
        <v>100</v>
      </c>
      <c r="E12" s="3475" t="s">
        <v>3964</v>
      </c>
      <c r="F12" s="126">
        <f>SUMIF(81:81,E12,82:82)-SUMIF(81:81,C12,82:82)+100</f>
        <v>105</v>
      </c>
      <c r="G12" s="3476" t="s">
        <v>3964</v>
      </c>
      <c r="H12" s="126">
        <f>SUMIF(81:81,G12,82:82)-SUMIF(81:81,C12,82:82)+100</f>
        <v>105</v>
      </c>
      <c r="I12" s="3475" t="s">
        <v>3964</v>
      </c>
      <c r="J12" s="126">
        <f>SUMIF(81:81,I12,82:82)-SUMIF(81:81,C12,82:82)+100</f>
        <v>105</v>
      </c>
      <c r="K12" s="618"/>
      <c r="L12" s="2714"/>
      <c r="M12" s="2715"/>
      <c r="N12" s="2715"/>
      <c r="O12" s="2769"/>
      <c r="P12" s="3747"/>
      <c r="Q12" s="1341" t="str">
        <f t="shared" si="6"/>
        <v>自持限制</v>
      </c>
      <c r="R12" s="699" t="s">
        <v>14</v>
      </c>
      <c r="S12" s="700">
        <f t="shared" si="0"/>
        <v>105</v>
      </c>
      <c r="T12" s="699" t="s">
        <v>14</v>
      </c>
      <c r="U12" s="700">
        <f t="shared" si="1"/>
        <v>105</v>
      </c>
      <c r="V12" s="699" t="s">
        <v>14</v>
      </c>
      <c r="W12" s="700">
        <f t="shared" si="2"/>
        <v>105</v>
      </c>
      <c r="X12" s="701"/>
      <c r="Y12" s="3659"/>
      <c r="Z12" s="52" t="str">
        <f t="shared" si="7"/>
        <v>自持限制</v>
      </c>
      <c r="AA12" s="702">
        <f>D12/F12</f>
        <v>0.95238095238095233</v>
      </c>
      <c r="AB12" s="702">
        <f>D12/H12</f>
        <v>0.95238095238095233</v>
      </c>
      <c r="AC12" s="702">
        <f>D12/J12</f>
        <v>0.95238095238095233</v>
      </c>
    </row>
    <row r="13" spans="1:30" ht="15">
      <c r="A13" s="377"/>
      <c r="B13" s="1891">
        <v>111</v>
      </c>
      <c r="C13" s="383"/>
      <c r="D13" s="384">
        <v>100</v>
      </c>
      <c r="E13" s="496"/>
      <c r="F13" s="126">
        <f>SUMIF(83:83,E13,84:84)-SUMIF(83:83,C13,84:84)+100</f>
        <v>100</v>
      </c>
      <c r="G13" s="620"/>
      <c r="H13" s="384">
        <f>SUMIF(83:83,G13,84:84)-SUMIF(83:83,C13,84:84)+100</f>
        <v>100</v>
      </c>
      <c r="I13" s="620"/>
      <c r="J13" s="384">
        <f>SUMIF(83:83,I13,84:84)-SUMIF(83:83,C13,84:84)+100</f>
        <v>100</v>
      </c>
      <c r="K13" s="618"/>
      <c r="L13" s="2719"/>
      <c r="M13" s="2713"/>
      <c r="N13" s="2713"/>
      <c r="O13" s="2771"/>
      <c r="P13" s="3747"/>
      <c r="Q13" s="1341">
        <f t="shared" si="6"/>
        <v>111</v>
      </c>
      <c r="R13" s="699" t="s">
        <v>14</v>
      </c>
      <c r="S13" s="700">
        <f t="shared" si="0"/>
        <v>100</v>
      </c>
      <c r="T13" s="699" t="s">
        <v>14</v>
      </c>
      <c r="U13" s="700">
        <f t="shared" si="1"/>
        <v>100</v>
      </c>
      <c r="V13" s="699" t="s">
        <v>14</v>
      </c>
      <c r="W13" s="700">
        <f t="shared" si="2"/>
        <v>100</v>
      </c>
      <c r="X13" s="701"/>
      <c r="Y13" s="3659"/>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747"/>
      <c r="Q14" s="1341">
        <f t="shared" si="6"/>
        <v>111</v>
      </c>
      <c r="R14" s="699" t="s">
        <v>14</v>
      </c>
      <c r="S14" s="700">
        <f t="shared" si="0"/>
        <v>100</v>
      </c>
      <c r="T14" s="699" t="s">
        <v>14</v>
      </c>
      <c r="U14" s="700">
        <f t="shared" si="1"/>
        <v>100</v>
      </c>
      <c r="V14" s="699" t="s">
        <v>14</v>
      </c>
      <c r="W14" s="700">
        <f t="shared" si="2"/>
        <v>100</v>
      </c>
      <c r="X14" s="701"/>
      <c r="Y14" s="3659"/>
      <c r="Z14" s="52">
        <f t="shared" si="7"/>
        <v>111</v>
      </c>
      <c r="AA14" s="702">
        <f>D14/F14</f>
        <v>1</v>
      </c>
      <c r="AB14" s="702">
        <f>D14/H14</f>
        <v>1</v>
      </c>
      <c r="AC14" s="702">
        <f>D14/J14</f>
        <v>1</v>
      </c>
    </row>
    <row r="15" spans="1:30" ht="15" hidden="1">
      <c r="A15" s="389" t="s">
        <v>1690</v>
      </c>
      <c r="B15" s="61" t="s">
        <v>1257</v>
      </c>
      <c r="C15" s="1894">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749" t="s">
        <v>1691</v>
      </c>
      <c r="Q15" s="1350" t="str">
        <f t="shared" si="6"/>
        <v>居住社区成熟度</v>
      </c>
      <c r="R15" s="703" t="s">
        <v>14</v>
      </c>
      <c r="S15" s="704">
        <f t="shared" si="0"/>
        <v>100</v>
      </c>
      <c r="T15" s="703" t="s">
        <v>14</v>
      </c>
      <c r="U15" s="704">
        <f t="shared" si="1"/>
        <v>100</v>
      </c>
      <c r="V15" s="703" t="s">
        <v>14</v>
      </c>
      <c r="W15" s="704">
        <f t="shared" si="2"/>
        <v>100</v>
      </c>
      <c r="X15" s="1353"/>
      <c r="Y15" s="3749" t="s">
        <v>1691</v>
      </c>
      <c r="Z15" s="1354" t="str">
        <f t="shared" si="7"/>
        <v>居住社区成熟度</v>
      </c>
      <c r="AA15" s="1351">
        <f t="shared" si="3"/>
        <v>1</v>
      </c>
      <c r="AB15" s="1351">
        <f t="shared" si="4"/>
        <v>1</v>
      </c>
      <c r="AC15" s="1351">
        <f t="shared" si="5"/>
        <v>1</v>
      </c>
    </row>
    <row r="16" spans="1:30" ht="15" hidden="1">
      <c r="A16" s="377"/>
      <c r="B16" s="395"/>
      <c r="C16" s="396"/>
      <c r="D16" s="397"/>
      <c r="E16" s="1896"/>
      <c r="F16" s="397"/>
      <c r="G16" s="1896"/>
      <c r="H16" s="399"/>
      <c r="I16" s="1895"/>
      <c r="J16" s="397"/>
      <c r="K16" s="618"/>
      <c r="L16" s="2719"/>
      <c r="M16" s="2713"/>
      <c r="N16" s="2713"/>
      <c r="O16" s="2771"/>
      <c r="P16" s="3750"/>
      <c r="Q16" s="1350"/>
      <c r="R16" s="703"/>
      <c r="S16" s="704"/>
      <c r="T16" s="703"/>
      <c r="U16" s="704"/>
      <c r="V16" s="703"/>
      <c r="W16" s="704"/>
      <c r="X16" s="1353"/>
      <c r="Y16" s="3750"/>
      <c r="Z16" s="1354"/>
      <c r="AA16" s="1351">
        <v>1</v>
      </c>
      <c r="AB16" s="1351">
        <v>1</v>
      </c>
      <c r="AC16" s="1351">
        <v>1</v>
      </c>
    </row>
    <row r="17" spans="1:29" ht="15">
      <c r="A17" s="377"/>
      <c r="B17" s="400" t="s">
        <v>1777</v>
      </c>
      <c r="C17" s="1953">
        <f>估价对象房地状况!C16</f>
        <v>0</v>
      </c>
      <c r="D17" s="399">
        <v>100</v>
      </c>
      <c r="E17" s="401"/>
      <c r="F17" s="399">
        <f>SUMIF(89:89,E18,90:90)-SUMIF(89:89,C18,90:90)+100</f>
        <v>100</v>
      </c>
      <c r="G17" s="401"/>
      <c r="H17" s="404">
        <f>SUMIF(89:89,G18,90:90)-SUMIF(89:89,C18,90:90)+100</f>
        <v>100</v>
      </c>
      <c r="I17" s="403"/>
      <c r="J17" s="404">
        <f>SUMIF(89:89,I18,90:90)-SUMIF(89:89,C18,90:90)+100</f>
        <v>100</v>
      </c>
      <c r="K17" s="619">
        <v>2</v>
      </c>
      <c r="L17" s="2719"/>
      <c r="M17" s="2713"/>
      <c r="N17" s="2713"/>
      <c r="O17" s="2771"/>
      <c r="P17" s="3750"/>
      <c r="Q17" s="1350" t="str">
        <f>B17</f>
        <v>商业繁华度</v>
      </c>
      <c r="R17" s="703" t="s">
        <v>14</v>
      </c>
      <c r="S17" s="704">
        <f>F17</f>
        <v>100</v>
      </c>
      <c r="T17" s="703" t="s">
        <v>14</v>
      </c>
      <c r="U17" s="704">
        <f>H17</f>
        <v>100</v>
      </c>
      <c r="V17" s="703" t="s">
        <v>14</v>
      </c>
      <c r="W17" s="704">
        <f>J17</f>
        <v>100</v>
      </c>
      <c r="X17" s="1353"/>
      <c r="Y17" s="3750"/>
      <c r="Z17" s="1354" t="str">
        <f>Q17</f>
        <v>商业繁华度</v>
      </c>
      <c r="AA17" s="1351">
        <f t="shared" si="3"/>
        <v>1</v>
      </c>
      <c r="AB17" s="1351">
        <f t="shared" si="4"/>
        <v>1</v>
      </c>
      <c r="AC17" s="1351">
        <f t="shared" si="5"/>
        <v>1</v>
      </c>
    </row>
    <row r="18" spans="1:29" ht="15">
      <c r="A18" s="377"/>
      <c r="B18" s="405"/>
      <c r="C18" s="1899" t="s">
        <v>3965</v>
      </c>
      <c r="D18" s="399"/>
      <c r="E18" s="1899" t="s">
        <v>3965</v>
      </c>
      <c r="F18" s="399"/>
      <c r="G18" s="1899" t="s">
        <v>3965</v>
      </c>
      <c r="H18" s="397"/>
      <c r="I18" s="1899" t="s">
        <v>3965</v>
      </c>
      <c r="J18" s="397"/>
      <c r="K18" s="618"/>
      <c r="L18" s="2719"/>
      <c r="M18" s="2713"/>
      <c r="N18" s="2713"/>
      <c r="O18" s="2771"/>
      <c r="P18" s="3750"/>
      <c r="Q18" s="1350"/>
      <c r="R18" s="703"/>
      <c r="S18" s="704"/>
      <c r="T18" s="703"/>
      <c r="U18" s="704"/>
      <c r="V18" s="703"/>
      <c r="W18" s="704"/>
      <c r="X18" s="1353"/>
      <c r="Y18" s="3750"/>
      <c r="Z18" s="1354"/>
      <c r="AA18" s="1351">
        <v>1</v>
      </c>
      <c r="AB18" s="1351">
        <v>1</v>
      </c>
      <c r="AC18" s="1351">
        <v>1</v>
      </c>
    </row>
    <row r="19" spans="1:29" ht="15" hidden="1">
      <c r="A19" s="377"/>
      <c r="B19" s="400" t="s">
        <v>1811</v>
      </c>
      <c r="C19" s="1953">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750"/>
      <c r="Q19" s="1350" t="str">
        <f>B19</f>
        <v>办公集聚程度</v>
      </c>
      <c r="R19" s="703" t="s">
        <v>14</v>
      </c>
      <c r="S19" s="704">
        <f>F19</f>
        <v>100</v>
      </c>
      <c r="T19" s="703" t="s">
        <v>14</v>
      </c>
      <c r="U19" s="704">
        <f>H19</f>
        <v>100</v>
      </c>
      <c r="V19" s="703" t="s">
        <v>14</v>
      </c>
      <c r="W19" s="704">
        <f>J19</f>
        <v>100</v>
      </c>
      <c r="X19" s="1353"/>
      <c r="Y19" s="3750"/>
      <c r="Z19" s="1354" t="str">
        <f>Q19</f>
        <v>办公集聚程度</v>
      </c>
      <c r="AA19" s="1351">
        <f t="shared" si="3"/>
        <v>1</v>
      </c>
      <c r="AB19" s="1351">
        <f t="shared" si="4"/>
        <v>1</v>
      </c>
      <c r="AC19" s="1351">
        <f t="shared" si="5"/>
        <v>1</v>
      </c>
    </row>
    <row r="20" spans="1:29" ht="15" hidden="1">
      <c r="A20" s="377"/>
      <c r="B20" s="405"/>
      <c r="C20" s="396"/>
      <c r="D20" s="397"/>
      <c r="E20" s="1896"/>
      <c r="F20" s="397"/>
      <c r="G20" s="1896"/>
      <c r="H20" s="397"/>
      <c r="I20" s="1895"/>
      <c r="J20" s="397"/>
      <c r="K20" s="618"/>
      <c r="L20" s="2719"/>
      <c r="M20" s="2713"/>
      <c r="N20" s="2713"/>
      <c r="O20" s="2771"/>
      <c r="P20" s="3750"/>
      <c r="Q20" s="1350"/>
      <c r="R20" s="703"/>
      <c r="S20" s="704"/>
      <c r="T20" s="703"/>
      <c r="U20" s="704"/>
      <c r="V20" s="703"/>
      <c r="W20" s="704"/>
      <c r="X20" s="1353"/>
      <c r="Y20" s="3750"/>
      <c r="Z20" s="1354"/>
      <c r="AA20" s="1351">
        <v>1</v>
      </c>
      <c r="AB20" s="1351">
        <v>1</v>
      </c>
      <c r="AC20" s="1351">
        <v>1</v>
      </c>
    </row>
    <row r="21" spans="1:29" ht="15">
      <c r="A21" s="377"/>
      <c r="B21" s="400" t="s">
        <v>1833</v>
      </c>
      <c r="C21" s="1898">
        <f>估价对象房地状况!C18</f>
        <v>0</v>
      </c>
      <c r="D21" s="399">
        <v>100</v>
      </c>
      <c r="E21" s="401"/>
      <c r="F21" s="404">
        <f>SUMIF(93:93,E22,94:94)-SUMIF(93:93,C22,94:94)+100</f>
        <v>100</v>
      </c>
      <c r="G21" s="401"/>
      <c r="H21" s="399">
        <f>SUMIF(93:93,G22,94:94)-SUMIF(93:93,C22,94:94)+100</f>
        <v>100</v>
      </c>
      <c r="I21" s="403"/>
      <c r="J21" s="399">
        <f>SUMIF(93:93,I22,94:94)-SUMIF(93:93,C22,94:94)+100</f>
        <v>100</v>
      </c>
      <c r="K21" s="619">
        <v>2</v>
      </c>
      <c r="L21" s="2719"/>
      <c r="M21" s="2713"/>
      <c r="N21" s="2713"/>
      <c r="O21" s="2771"/>
      <c r="P21" s="3750"/>
      <c r="Q21" s="1350" t="str">
        <f>B21</f>
        <v>交通便捷度</v>
      </c>
      <c r="R21" s="703" t="s">
        <v>14</v>
      </c>
      <c r="S21" s="704">
        <f>F21</f>
        <v>100</v>
      </c>
      <c r="T21" s="703" t="s">
        <v>14</v>
      </c>
      <c r="U21" s="704">
        <f>H21</f>
        <v>100</v>
      </c>
      <c r="V21" s="703" t="s">
        <v>14</v>
      </c>
      <c r="W21" s="704">
        <f>J21</f>
        <v>100</v>
      </c>
      <c r="X21" s="1353"/>
      <c r="Y21" s="3750"/>
      <c r="Z21" s="1354" t="str">
        <f>Q21</f>
        <v>交通便捷度</v>
      </c>
      <c r="AA21" s="1351">
        <f t="shared" si="3"/>
        <v>1</v>
      </c>
      <c r="AB21" s="1351">
        <f t="shared" si="4"/>
        <v>1</v>
      </c>
      <c r="AC21" s="1351">
        <f t="shared" si="5"/>
        <v>1</v>
      </c>
    </row>
    <row r="22" spans="1:29" ht="15">
      <c r="A22" s="377"/>
      <c r="B22" s="1129"/>
      <c r="C22" s="1899" t="s">
        <v>3965</v>
      </c>
      <c r="D22" s="399"/>
      <c r="E22" s="1899" t="s">
        <v>3965</v>
      </c>
      <c r="F22" s="397"/>
      <c r="G22" s="1899" t="s">
        <v>3965</v>
      </c>
      <c r="H22" s="397"/>
      <c r="I22" s="1899" t="s">
        <v>3965</v>
      </c>
      <c r="J22" s="397"/>
      <c r="K22" s="618"/>
      <c r="L22" s="2719"/>
      <c r="M22" s="2713"/>
      <c r="N22" s="2713"/>
      <c r="O22" s="2771"/>
      <c r="P22" s="3750"/>
      <c r="Q22" s="1350"/>
      <c r="R22" s="703"/>
      <c r="S22" s="704"/>
      <c r="T22" s="703"/>
      <c r="U22" s="704"/>
      <c r="V22" s="703"/>
      <c r="W22" s="704"/>
      <c r="X22" s="1353"/>
      <c r="Y22" s="3750"/>
      <c r="Z22" s="1354"/>
      <c r="AA22" s="1351">
        <v>1</v>
      </c>
      <c r="AB22" s="1351">
        <v>1</v>
      </c>
      <c r="AC22" s="1351">
        <v>1</v>
      </c>
    </row>
    <row r="23" spans="1:29" ht="15">
      <c r="A23" s="356"/>
      <c r="B23" s="400" t="s">
        <v>1870</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v>2</v>
      </c>
      <c r="L23" s="2719"/>
      <c r="M23" s="2713"/>
      <c r="N23" s="2713"/>
      <c r="O23" s="2771"/>
      <c r="P23" s="3750"/>
      <c r="Q23" s="1350" t="str">
        <f t="shared" ref="Q23:Q37" si="8">B23</f>
        <v>区域土地利用方向</v>
      </c>
      <c r="R23" s="703" t="s">
        <v>14</v>
      </c>
      <c r="S23" s="704">
        <f>F23</f>
        <v>100</v>
      </c>
      <c r="T23" s="703" t="s">
        <v>14</v>
      </c>
      <c r="U23" s="704">
        <f>H23</f>
        <v>100</v>
      </c>
      <c r="V23" s="703" t="s">
        <v>14</v>
      </c>
      <c r="W23" s="704">
        <f>J23</f>
        <v>100</v>
      </c>
      <c r="X23" s="1353"/>
      <c r="Y23" s="3750"/>
      <c r="Z23" s="1354" t="str">
        <f>Q23</f>
        <v>区域土地利用方向</v>
      </c>
      <c r="AA23" s="1351">
        <f t="shared" si="3"/>
        <v>1</v>
      </c>
      <c r="AB23" s="1351">
        <f t="shared" si="4"/>
        <v>1</v>
      </c>
      <c r="AC23" s="1351">
        <f t="shared" si="5"/>
        <v>1</v>
      </c>
    </row>
    <row r="24" spans="1:29" ht="15">
      <c r="A24" s="356"/>
      <c r="B24" s="405"/>
      <c r="C24" s="1899" t="s">
        <v>3965</v>
      </c>
      <c r="D24" s="397"/>
      <c r="E24" s="1899" t="s">
        <v>3965</v>
      </c>
      <c r="F24" s="397"/>
      <c r="G24" s="1899" t="s">
        <v>3965</v>
      </c>
      <c r="H24" s="397"/>
      <c r="I24" s="1899" t="s">
        <v>3965</v>
      </c>
      <c r="J24" s="397"/>
      <c r="K24" s="738">
        <v>2</v>
      </c>
      <c r="L24" s="2719"/>
      <c r="M24" s="2713"/>
      <c r="N24" s="2713"/>
      <c r="O24" s="2771"/>
      <c r="P24" s="3750"/>
      <c r="Q24" s="1350"/>
      <c r="R24" s="703"/>
      <c r="S24" s="704"/>
      <c r="T24" s="703"/>
      <c r="U24" s="704"/>
      <c r="V24" s="703"/>
      <c r="W24" s="704"/>
      <c r="X24" s="1353"/>
      <c r="Y24" s="3750"/>
      <c r="Z24" s="1354"/>
      <c r="AA24" s="1351"/>
      <c r="AB24" s="1351"/>
      <c r="AC24" s="1351"/>
    </row>
    <row r="25" spans="1:29" ht="27">
      <c r="A25" s="356"/>
      <c r="B25" s="1129" t="s">
        <v>1871</v>
      </c>
      <c r="C25" s="1953">
        <f>估价对象房地状况!C20</f>
        <v>0</v>
      </c>
      <c r="D25" s="399">
        <v>100</v>
      </c>
      <c r="E25" s="401"/>
      <c r="F25" s="399">
        <f>SUMIF(97:97,E26,98:98)-SUMIF(97:97,C26,98:98)+100</f>
        <v>100</v>
      </c>
      <c r="G25" s="401"/>
      <c r="H25" s="399">
        <f>SUMIF(97:97,G26,98:98)-SUMIF(97:97,C26,98:98)+100</f>
        <v>100</v>
      </c>
      <c r="I25" s="403"/>
      <c r="J25" s="399">
        <f>SUMIF(97:97,I26,98:98)-SUMIF(97:97,C26,98:98)+100</f>
        <v>100</v>
      </c>
      <c r="K25" s="619">
        <v>2</v>
      </c>
      <c r="L25" s="2719"/>
      <c r="M25" s="2713"/>
      <c r="N25" s="2713"/>
      <c r="O25" s="2771"/>
      <c r="P25" s="3750"/>
      <c r="Q25" s="1350" t="str">
        <f t="shared" si="8"/>
        <v>自然及人文环境状况</v>
      </c>
      <c r="R25" s="703" t="s">
        <v>14</v>
      </c>
      <c r="S25" s="704">
        <f>F25</f>
        <v>100</v>
      </c>
      <c r="T25" s="703" t="s">
        <v>14</v>
      </c>
      <c r="U25" s="704">
        <f>H25</f>
        <v>100</v>
      </c>
      <c r="V25" s="703" t="s">
        <v>14</v>
      </c>
      <c r="W25" s="704">
        <f>J25</f>
        <v>100</v>
      </c>
      <c r="X25" s="1353"/>
      <c r="Y25" s="3750"/>
      <c r="Z25" s="1354" t="str">
        <f>Q25</f>
        <v>自然及人文环境状况</v>
      </c>
      <c r="AA25" s="1351">
        <f t="shared" si="3"/>
        <v>1</v>
      </c>
      <c r="AB25" s="1351">
        <f t="shared" si="4"/>
        <v>1</v>
      </c>
      <c r="AC25" s="1351">
        <f t="shared" si="5"/>
        <v>1</v>
      </c>
    </row>
    <row r="26" spans="1:29" ht="15">
      <c r="A26" s="356"/>
      <c r="B26" s="405"/>
      <c r="C26" s="396" t="s">
        <v>3966</v>
      </c>
      <c r="D26" s="397"/>
      <c r="E26" s="396" t="s">
        <v>3966</v>
      </c>
      <c r="F26" s="397"/>
      <c r="G26" s="396" t="s">
        <v>3966</v>
      </c>
      <c r="H26" s="397"/>
      <c r="I26" s="396" t="s">
        <v>3966</v>
      </c>
      <c r="J26" s="397"/>
      <c r="K26" s="618"/>
      <c r="L26" s="2719"/>
      <c r="M26" s="2713"/>
      <c r="N26" s="2713"/>
      <c r="O26" s="2771"/>
      <c r="P26" s="3750"/>
      <c r="Q26" s="1350"/>
      <c r="R26" s="703"/>
      <c r="S26" s="704"/>
      <c r="T26" s="703"/>
      <c r="U26" s="704"/>
      <c r="V26" s="703"/>
      <c r="W26" s="704"/>
      <c r="X26" s="1353"/>
      <c r="Y26" s="3750"/>
      <c r="Z26" s="1354"/>
      <c r="AA26" s="1351">
        <v>1</v>
      </c>
      <c r="AB26" s="1351">
        <v>1</v>
      </c>
      <c r="AC26" s="1351">
        <v>1</v>
      </c>
    </row>
    <row r="27" spans="1:29" s="107" customFormat="1" ht="15">
      <c r="A27" s="595"/>
      <c r="B27" s="1129" t="s">
        <v>1778</v>
      </c>
      <c r="C27" s="1898">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v>2</v>
      </c>
      <c r="L27" s="2714"/>
      <c r="M27" s="2715"/>
      <c r="N27" s="2715"/>
      <c r="O27" s="2769"/>
      <c r="P27" s="3750"/>
      <c r="Q27" s="1341" t="str">
        <f t="shared" si="8"/>
        <v>公共配套设施</v>
      </c>
      <c r="R27" s="699" t="s">
        <v>14</v>
      </c>
      <c r="S27" s="700">
        <f>F27</f>
        <v>100</v>
      </c>
      <c r="T27" s="699" t="s">
        <v>14</v>
      </c>
      <c r="U27" s="700">
        <f>H27</f>
        <v>100</v>
      </c>
      <c r="V27" s="699" t="s">
        <v>14</v>
      </c>
      <c r="W27" s="700">
        <f>J27</f>
        <v>100</v>
      </c>
      <c r="X27" s="701"/>
      <c r="Y27" s="3750"/>
      <c r="Z27" s="52" t="str">
        <f>Q27</f>
        <v>公共配套设施</v>
      </c>
      <c r="AA27" s="1351">
        <f>D27/F27</f>
        <v>1</v>
      </c>
      <c r="AB27" s="1351">
        <f>D27/H27</f>
        <v>1</v>
      </c>
      <c r="AC27" s="1351">
        <f>D27/J27</f>
        <v>1</v>
      </c>
    </row>
    <row r="28" spans="1:29" s="107" customFormat="1" ht="15">
      <c r="A28" s="595"/>
      <c r="B28" s="405"/>
      <c r="C28" s="1976" t="s">
        <v>3965</v>
      </c>
      <c r="D28" s="397"/>
      <c r="E28" s="1902" t="s">
        <v>3965</v>
      </c>
      <c r="F28" s="397"/>
      <c r="G28" s="1902" t="s">
        <v>3965</v>
      </c>
      <c r="H28" s="397"/>
      <c r="I28" s="1902" t="s">
        <v>3965</v>
      </c>
      <c r="J28" s="397"/>
      <c r="K28" s="618"/>
      <c r="L28" s="2714"/>
      <c r="M28" s="2715"/>
      <c r="N28" s="2715"/>
      <c r="O28" s="2769"/>
      <c r="P28" s="3750"/>
      <c r="Q28" s="1341"/>
      <c r="R28" s="699"/>
      <c r="S28" s="700"/>
      <c r="T28" s="699"/>
      <c r="U28" s="700"/>
      <c r="V28" s="699"/>
      <c r="W28" s="700"/>
      <c r="X28" s="701"/>
      <c r="Y28" s="3750"/>
      <c r="Z28" s="52"/>
      <c r="AA28" s="1351">
        <v>1</v>
      </c>
      <c r="AB28" s="1351">
        <v>1</v>
      </c>
      <c r="AC28" s="1351">
        <v>1</v>
      </c>
    </row>
    <row r="29" spans="1:29" s="107" customFormat="1" ht="15">
      <c r="A29" s="595"/>
      <c r="B29" s="1129" t="s">
        <v>1779</v>
      </c>
      <c r="C29" s="1898">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v>2</v>
      </c>
      <c r="L29" s="2714"/>
      <c r="M29" s="2715"/>
      <c r="N29" s="2715"/>
      <c r="O29" s="2769"/>
      <c r="P29" s="3750"/>
      <c r="Q29" s="1341" t="str">
        <f t="shared" ref="Q29" si="9">B29</f>
        <v>基础设施水平</v>
      </c>
      <c r="R29" s="699" t="s">
        <v>14</v>
      </c>
      <c r="S29" s="700">
        <f>F29</f>
        <v>100</v>
      </c>
      <c r="T29" s="699" t="s">
        <v>14</v>
      </c>
      <c r="U29" s="700">
        <f>H29</f>
        <v>100</v>
      </c>
      <c r="V29" s="699" t="s">
        <v>14</v>
      </c>
      <c r="W29" s="700">
        <f>J29</f>
        <v>100</v>
      </c>
      <c r="X29" s="701"/>
      <c r="Y29" s="3750"/>
      <c r="Z29" s="52" t="str">
        <f>Q29</f>
        <v>基础设施水平</v>
      </c>
      <c r="AA29" s="1351">
        <f>D29/F29</f>
        <v>1</v>
      </c>
      <c r="AB29" s="1351">
        <f>D29/H29</f>
        <v>1</v>
      </c>
      <c r="AC29" s="1351">
        <f>D29/J29</f>
        <v>1</v>
      </c>
    </row>
    <row r="30" spans="1:29" s="107" customFormat="1" ht="15">
      <c r="A30" s="595"/>
      <c r="B30" s="405"/>
      <c r="C30" s="1976" t="s">
        <v>3967</v>
      </c>
      <c r="D30" s="397"/>
      <c r="E30" s="1976" t="s">
        <v>3967</v>
      </c>
      <c r="F30" s="397"/>
      <c r="G30" s="1976" t="s">
        <v>3967</v>
      </c>
      <c r="H30" s="397"/>
      <c r="I30" s="1976" t="s">
        <v>3967</v>
      </c>
      <c r="J30" s="397"/>
      <c r="K30" s="618"/>
      <c r="L30" s="2714"/>
      <c r="M30" s="2715"/>
      <c r="N30" s="2715"/>
      <c r="O30" s="2769"/>
      <c r="P30" s="3750"/>
      <c r="Q30" s="1341"/>
      <c r="R30" s="699"/>
      <c r="S30" s="700"/>
      <c r="T30" s="699"/>
      <c r="U30" s="700"/>
      <c r="V30" s="699"/>
      <c r="W30" s="700"/>
      <c r="X30" s="701"/>
      <c r="Y30" s="3750"/>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75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50"/>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750"/>
      <c r="Q32" s="1350" t="str">
        <f t="shared" si="8"/>
        <v>毗邻道路的类型与等级</v>
      </c>
      <c r="R32" s="703" t="s">
        <v>14</v>
      </c>
      <c r="S32" s="704">
        <f t="shared" si="10"/>
        <v>100</v>
      </c>
      <c r="T32" s="703" t="s">
        <v>14</v>
      </c>
      <c r="U32" s="704">
        <f t="shared" si="11"/>
        <v>100</v>
      </c>
      <c r="V32" s="703" t="s">
        <v>14</v>
      </c>
      <c r="W32" s="704">
        <f t="shared" si="12"/>
        <v>100</v>
      </c>
      <c r="X32" s="1353"/>
      <c r="Y32" s="3750"/>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9"/>
      <c r="M33" s="2713"/>
      <c r="N33" s="2713"/>
      <c r="O33" s="2771"/>
      <c r="P33" s="3750"/>
      <c r="Q33" s="1350"/>
      <c r="R33" s="703"/>
      <c r="S33" s="704"/>
      <c r="T33" s="703"/>
      <c r="U33" s="704"/>
      <c r="V33" s="703"/>
      <c r="W33" s="704"/>
      <c r="X33" s="1353"/>
      <c r="Y33" s="3750"/>
      <c r="Z33" s="1354"/>
      <c r="AA33" s="1351">
        <v>1</v>
      </c>
      <c r="AB33" s="1351">
        <v>1</v>
      </c>
      <c r="AC33" s="1351">
        <v>1</v>
      </c>
    </row>
    <row r="34" spans="1:29" ht="15">
      <c r="A34" s="377"/>
      <c r="B34" s="373" t="s">
        <v>1872</v>
      </c>
      <c r="C34" s="563" t="s">
        <v>304</v>
      </c>
      <c r="D34" s="384">
        <v>100</v>
      </c>
      <c r="E34" s="580" t="s">
        <v>29</v>
      </c>
      <c r="F34" s="384">
        <f>SUMIF(107:107,E34,108:108)-SUMIF(107:107,C34,108:108)+100</f>
        <v>101</v>
      </c>
      <c r="G34" s="580" t="s">
        <v>303</v>
      </c>
      <c r="H34" s="384">
        <f>SUMIF(107:107,G34,108:108)-SUMIF(107:107,C34,108:108)+100</f>
        <v>102</v>
      </c>
      <c r="I34" s="563" t="s">
        <v>29</v>
      </c>
      <c r="J34" s="384">
        <f>SUMIF(107:107,I34,108:108)-SUMIF(107:107,C34,108:108)+100</f>
        <v>101</v>
      </c>
      <c r="K34" s="559">
        <v>1</v>
      </c>
      <c r="L34" s="2719"/>
      <c r="M34" s="2713"/>
      <c r="N34" s="2713"/>
      <c r="O34" s="2771"/>
      <c r="P34" s="3750"/>
      <c r="Q34" s="1350" t="str">
        <f t="shared" si="8"/>
        <v>土地级别</v>
      </c>
      <c r="R34" s="703" t="s">
        <v>14</v>
      </c>
      <c r="S34" s="704">
        <f t="shared" si="10"/>
        <v>101</v>
      </c>
      <c r="T34" s="703" t="s">
        <v>14</v>
      </c>
      <c r="U34" s="704">
        <f t="shared" si="11"/>
        <v>102</v>
      </c>
      <c r="V34" s="703" t="s">
        <v>14</v>
      </c>
      <c r="W34" s="704">
        <f t="shared" si="12"/>
        <v>101</v>
      </c>
      <c r="X34" s="1353"/>
      <c r="Y34" s="3750"/>
      <c r="Z34" s="1354" t="str">
        <f t="shared" si="13"/>
        <v>土地级别</v>
      </c>
      <c r="AA34" s="1351">
        <f t="shared" si="3"/>
        <v>0.99009900990099009</v>
      </c>
      <c r="AB34" s="1351">
        <f t="shared" si="4"/>
        <v>0.98039215686274506</v>
      </c>
      <c r="AC34" s="1351">
        <f t="shared" si="5"/>
        <v>0.99009900990099009</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750"/>
      <c r="Q35" s="1350">
        <f t="shared" si="8"/>
        <v>111</v>
      </c>
      <c r="R35" s="703" t="s">
        <v>14</v>
      </c>
      <c r="S35" s="704">
        <f t="shared" si="10"/>
        <v>100</v>
      </c>
      <c r="T35" s="703" t="s">
        <v>14</v>
      </c>
      <c r="U35" s="704">
        <f t="shared" si="11"/>
        <v>100</v>
      </c>
      <c r="V35" s="703" t="s">
        <v>14</v>
      </c>
      <c r="W35" s="704">
        <f t="shared" si="12"/>
        <v>100</v>
      </c>
      <c r="X35" s="1353"/>
      <c r="Y35" s="3750"/>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773" t="s">
        <v>1696</v>
      </c>
      <c r="Q36" s="1350">
        <f t="shared" si="8"/>
        <v>111</v>
      </c>
      <c r="R36" s="703" t="s">
        <v>14</v>
      </c>
      <c r="S36" s="704">
        <f t="shared" si="10"/>
        <v>100</v>
      </c>
      <c r="T36" s="703" t="s">
        <v>14</v>
      </c>
      <c r="U36" s="704">
        <f t="shared" si="11"/>
        <v>100</v>
      </c>
      <c r="V36" s="703" t="s">
        <v>14</v>
      </c>
      <c r="W36" s="704">
        <f t="shared" si="12"/>
        <v>100</v>
      </c>
      <c r="X36" s="1353"/>
      <c r="Y36" s="3754" t="s">
        <v>1696</v>
      </c>
      <c r="Z36" s="1354">
        <f t="shared" si="13"/>
        <v>111</v>
      </c>
      <c r="AA36" s="1351">
        <f t="shared" si="3"/>
        <v>1</v>
      </c>
      <c r="AB36" s="1351">
        <f t="shared" si="4"/>
        <v>1</v>
      </c>
      <c r="AC36" s="1351">
        <f t="shared" si="5"/>
        <v>1</v>
      </c>
    </row>
    <row r="37" spans="1:29" s="420" customFormat="1" ht="15.75" thickBot="1">
      <c r="A37" s="622"/>
      <c r="B37" s="1133">
        <v>111</v>
      </c>
      <c r="C37" s="624"/>
      <c r="D37" s="127">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754"/>
      <c r="Q37" s="1350">
        <f t="shared" si="8"/>
        <v>111</v>
      </c>
      <c r="R37" s="706" t="s">
        <v>14</v>
      </c>
      <c r="S37" s="707">
        <f t="shared" si="10"/>
        <v>100</v>
      </c>
      <c r="T37" s="706" t="s">
        <v>14</v>
      </c>
      <c r="U37" s="707">
        <f t="shared" si="11"/>
        <v>100</v>
      </c>
      <c r="V37" s="706" t="s">
        <v>14</v>
      </c>
      <c r="W37" s="707">
        <f t="shared" si="12"/>
        <v>100</v>
      </c>
      <c r="X37" s="708"/>
      <c r="Y37" s="3754"/>
      <c r="Z37" s="709">
        <f t="shared" si="13"/>
        <v>111</v>
      </c>
      <c r="AA37" s="1351">
        <f t="shared" si="3"/>
        <v>1</v>
      </c>
      <c r="AB37" s="1351">
        <f t="shared" si="4"/>
        <v>1</v>
      </c>
      <c r="AC37" s="1351">
        <f t="shared" si="5"/>
        <v>1</v>
      </c>
    </row>
    <row r="38" spans="1:29" ht="15">
      <c r="A38" s="421" t="s">
        <v>1694</v>
      </c>
      <c r="B38" s="405" t="s">
        <v>1873</v>
      </c>
      <c r="C38" s="625">
        <f>'数据-基础表'!A3</f>
        <v>24498.84</v>
      </c>
      <c r="D38" s="416">
        <v>100</v>
      </c>
      <c r="E38" s="625">
        <f>Sheet0!H3</f>
        <v>82500</v>
      </c>
      <c r="F38" s="416">
        <f>LOOKUP(E38,116:116,117:117)-LOOKUP(C38,116:116,117:117)+100</f>
        <v>102</v>
      </c>
      <c r="G38" s="625">
        <f>Sheet0!H8</f>
        <v>15178.6</v>
      </c>
      <c r="H38" s="416">
        <f>LOOKUP(G38,116:116,117:117)-LOOKUP(C38,116:116,117:117)+100</f>
        <v>99</v>
      </c>
      <c r="I38" s="477">
        <f>Sheet0!H9</f>
        <v>15197.52</v>
      </c>
      <c r="J38" s="416">
        <f>LOOKUP(I38,116:116,117:117)-LOOKUP(C38,116:116,117:117)+100</f>
        <v>99</v>
      </c>
      <c r="K38" s="560"/>
      <c r="L38" s="2719"/>
      <c r="M38" s="2713"/>
      <c r="N38" s="2713"/>
      <c r="O38" s="2771"/>
      <c r="P38" s="3754"/>
      <c r="Q38" s="1350" t="str">
        <f>B38</f>
        <v>宗地面积</v>
      </c>
      <c r="R38" s="703" t="s">
        <v>14</v>
      </c>
      <c r="S38" s="704">
        <f t="shared" si="10"/>
        <v>102</v>
      </c>
      <c r="T38" s="703" t="s">
        <v>14</v>
      </c>
      <c r="U38" s="704">
        <f t="shared" si="11"/>
        <v>99</v>
      </c>
      <c r="V38" s="703" t="s">
        <v>14</v>
      </c>
      <c r="W38" s="704">
        <f t="shared" si="12"/>
        <v>99</v>
      </c>
      <c r="X38" s="1353"/>
      <c r="Y38" s="3754"/>
      <c r="Z38" s="1354" t="str">
        <f t="shared" si="13"/>
        <v>宗地面积</v>
      </c>
      <c r="AA38" s="1351">
        <f t="shared" si="3"/>
        <v>0.98039215686274506</v>
      </c>
      <c r="AB38" s="1351">
        <f t="shared" si="4"/>
        <v>1.0101010101010102</v>
      </c>
      <c r="AC38" s="1351">
        <f t="shared" si="5"/>
        <v>1.0101010101010102</v>
      </c>
    </row>
    <row r="39" spans="1:29" ht="15">
      <c r="A39" s="421"/>
      <c r="B39" s="373" t="s">
        <v>1874</v>
      </c>
      <c r="C39" s="1904" t="s">
        <v>3968</v>
      </c>
      <c r="D39" s="384">
        <v>100</v>
      </c>
      <c r="E39" s="1904" t="s">
        <v>3968</v>
      </c>
      <c r="F39" s="384">
        <f>SUMIF(118:118,E39,119:119)-SUMIF(118:118,C39,119:119)+100</f>
        <v>100</v>
      </c>
      <c r="G39" s="1904" t="s">
        <v>3968</v>
      </c>
      <c r="H39" s="384">
        <f>SUMIF(118:118,G39,119:119)-SUMIF(118:118,C39,119:119)+100</f>
        <v>100</v>
      </c>
      <c r="I39" s="1904" t="s">
        <v>3968</v>
      </c>
      <c r="J39" s="384">
        <f>SUMIF(118:118,I39,119:119)-SUMIF(118:118,C39,119:119)+100</f>
        <v>100</v>
      </c>
      <c r="K39" s="559">
        <v>1</v>
      </c>
      <c r="L39" s="2719"/>
      <c r="M39" s="2713"/>
      <c r="N39" s="2713"/>
      <c r="O39" s="2771"/>
      <c r="P39" s="3754"/>
      <c r="Q39" s="1350" t="str">
        <f t="shared" ref="Q39:Q45" si="14">B39</f>
        <v>宗地形状</v>
      </c>
      <c r="R39" s="703" t="s">
        <v>14</v>
      </c>
      <c r="S39" s="704">
        <f t="shared" si="10"/>
        <v>100</v>
      </c>
      <c r="T39" s="703" t="s">
        <v>14</v>
      </c>
      <c r="U39" s="704">
        <f t="shared" si="11"/>
        <v>100</v>
      </c>
      <c r="V39" s="703" t="s">
        <v>14</v>
      </c>
      <c r="W39" s="704">
        <f t="shared" si="12"/>
        <v>100</v>
      </c>
      <c r="X39" s="1353"/>
      <c r="Y39" s="3754"/>
      <c r="Z39" s="1354" t="str">
        <f t="shared" si="13"/>
        <v>宗地形状</v>
      </c>
      <c r="AA39" s="1351">
        <f t="shared" si="3"/>
        <v>1</v>
      </c>
      <c r="AB39" s="1351">
        <f t="shared" si="4"/>
        <v>1</v>
      </c>
      <c r="AC39" s="1351">
        <f t="shared" si="5"/>
        <v>1</v>
      </c>
    </row>
    <row r="40" spans="1:29" ht="15">
      <c r="A40" s="421"/>
      <c r="B40" s="373" t="s">
        <v>1875</v>
      </c>
      <c r="C40" s="1904" t="s">
        <v>3969</v>
      </c>
      <c r="D40" s="384">
        <v>100</v>
      </c>
      <c r="E40" s="1904" t="s">
        <v>3969</v>
      </c>
      <c r="F40" s="384">
        <f>SUMIF(120:120,E40,121:121)-SUMIF(120:120,C40,121:121)+100</f>
        <v>100</v>
      </c>
      <c r="G40" s="1904" t="s">
        <v>3969</v>
      </c>
      <c r="H40" s="384">
        <f>SUMIF(120:120,G40,121:121)-SUMIF(120:120,C40,121:121)+100</f>
        <v>100</v>
      </c>
      <c r="I40" s="1904" t="s">
        <v>3969</v>
      </c>
      <c r="J40" s="384">
        <f>SUMIF(120:120,I40,121:121)-SUMIF(120:120,C40,121:121)+100</f>
        <v>100</v>
      </c>
      <c r="K40" s="559">
        <v>1</v>
      </c>
      <c r="L40" s="2719"/>
      <c r="M40" s="2713"/>
      <c r="N40" s="2713"/>
      <c r="O40" s="2771"/>
      <c r="P40" s="3754"/>
      <c r="Q40" s="1350" t="str">
        <f t="shared" si="14"/>
        <v>临街宽度及深度</v>
      </c>
      <c r="R40" s="703" t="s">
        <v>14</v>
      </c>
      <c r="S40" s="704">
        <f t="shared" si="10"/>
        <v>100</v>
      </c>
      <c r="T40" s="703" t="s">
        <v>14</v>
      </c>
      <c r="U40" s="704">
        <f t="shared" si="11"/>
        <v>100</v>
      </c>
      <c r="V40" s="703" t="s">
        <v>14</v>
      </c>
      <c r="W40" s="704">
        <f t="shared" si="12"/>
        <v>100</v>
      </c>
      <c r="X40" s="1353"/>
      <c r="Y40" s="3754"/>
      <c r="Z40" s="1354" t="str">
        <f t="shared" si="13"/>
        <v>临街宽度及深度</v>
      </c>
      <c r="AA40" s="1351">
        <f t="shared" si="3"/>
        <v>1</v>
      </c>
      <c r="AB40" s="1351">
        <f t="shared" si="4"/>
        <v>1</v>
      </c>
      <c r="AC40" s="1351">
        <f t="shared" si="5"/>
        <v>1</v>
      </c>
    </row>
    <row r="41" spans="1:29" s="107" customFormat="1" ht="15">
      <c r="A41" s="422"/>
      <c r="B41" s="373" t="s">
        <v>1876</v>
      </c>
      <c r="C41" s="1978" t="s">
        <v>3967</v>
      </c>
      <c r="D41" s="126">
        <v>100</v>
      </c>
      <c r="E41" s="1978" t="s">
        <v>3970</v>
      </c>
      <c r="F41" s="384">
        <f>SUMIF(122:122,E41,123:123)-SUMIF(122:122,C41,123:123)+100</f>
        <v>96</v>
      </c>
      <c r="G41" s="1978" t="s">
        <v>3971</v>
      </c>
      <c r="H41" s="384">
        <f>SUMIF(122:122,G41,123:123)-SUMIF(122:122,C41,123:123)+100</f>
        <v>98</v>
      </c>
      <c r="I41" s="1978" t="s">
        <v>3970</v>
      </c>
      <c r="J41" s="384">
        <f>SUMIF(122:122,I41,123:123)-SUMIF(122:122,C41,123:123)+100</f>
        <v>96</v>
      </c>
      <c r="K41" s="559">
        <v>1</v>
      </c>
      <c r="L41" s="2714"/>
      <c r="M41" s="2715"/>
      <c r="N41" s="2715"/>
      <c r="O41" s="2769"/>
      <c r="P41" s="3754"/>
      <c r="Q41" s="1350" t="str">
        <f t="shared" si="14"/>
        <v>宗地开发程度</v>
      </c>
      <c r="R41" s="699" t="s">
        <v>14</v>
      </c>
      <c r="S41" s="700">
        <f t="shared" si="10"/>
        <v>96</v>
      </c>
      <c r="T41" s="699" t="s">
        <v>14</v>
      </c>
      <c r="U41" s="700">
        <f t="shared" si="11"/>
        <v>98</v>
      </c>
      <c r="V41" s="699" t="s">
        <v>14</v>
      </c>
      <c r="W41" s="700">
        <f t="shared" si="12"/>
        <v>96</v>
      </c>
      <c r="X41" s="701"/>
      <c r="Y41" s="3754"/>
      <c r="Z41" s="52" t="str">
        <f t="shared" si="13"/>
        <v>宗地开发程度</v>
      </c>
      <c r="AA41" s="702">
        <f t="shared" si="3"/>
        <v>1.0416666666666667</v>
      </c>
      <c r="AB41" s="702">
        <f t="shared" si="4"/>
        <v>1.0204081632653061</v>
      </c>
      <c r="AC41" s="702">
        <f t="shared" si="5"/>
        <v>1.0416666666666667</v>
      </c>
    </row>
    <row r="42" spans="1:29" ht="15">
      <c r="A42" s="421"/>
      <c r="B42" s="373" t="s">
        <v>1877</v>
      </c>
      <c r="C42" s="1904" t="s">
        <v>3965</v>
      </c>
      <c r="D42" s="384">
        <v>100</v>
      </c>
      <c r="E42" s="1904" t="s">
        <v>3965</v>
      </c>
      <c r="F42" s="384">
        <f>SUMIF(124:124,E42,125:125)-SUMIF(124:124,C42,125:125)+100</f>
        <v>100</v>
      </c>
      <c r="G42" s="1904" t="s">
        <v>3965</v>
      </c>
      <c r="H42" s="384">
        <f>SUMIF(124:124,G42,125:125)-SUMIF(124:124,C42,125:125)+100</f>
        <v>100</v>
      </c>
      <c r="I42" s="1904" t="s">
        <v>3965</v>
      </c>
      <c r="J42" s="384">
        <f>SUMIF(124:124,I42,125:125)-SUMIF(124:124,C42,125:125)+100</f>
        <v>100</v>
      </c>
      <c r="K42" s="559">
        <v>1</v>
      </c>
      <c r="L42" s="2719"/>
      <c r="M42" s="2713"/>
      <c r="N42" s="2713"/>
      <c r="O42" s="2771"/>
      <c r="P42" s="3754" t="s">
        <v>1696</v>
      </c>
      <c r="Q42" s="1350" t="str">
        <f t="shared" si="14"/>
        <v>工程地质条件</v>
      </c>
      <c r="R42" s="703" t="s">
        <v>14</v>
      </c>
      <c r="S42" s="704">
        <f t="shared" si="10"/>
        <v>100</v>
      </c>
      <c r="T42" s="703" t="s">
        <v>14</v>
      </c>
      <c r="U42" s="704">
        <f t="shared" si="11"/>
        <v>100</v>
      </c>
      <c r="V42" s="703" t="s">
        <v>14</v>
      </c>
      <c r="W42" s="704">
        <f t="shared" si="12"/>
        <v>100</v>
      </c>
      <c r="X42" s="1353"/>
      <c r="Y42" s="3754"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754"/>
      <c r="Q43" s="1350">
        <f t="shared" si="14"/>
        <v>111</v>
      </c>
      <c r="R43" s="703" t="s">
        <v>14</v>
      </c>
      <c r="S43" s="704">
        <f t="shared" si="10"/>
        <v>100</v>
      </c>
      <c r="T43" s="703" t="s">
        <v>14</v>
      </c>
      <c r="U43" s="704">
        <f t="shared" si="11"/>
        <v>100</v>
      </c>
      <c r="V43" s="703" t="s">
        <v>14</v>
      </c>
      <c r="W43" s="704">
        <f t="shared" si="12"/>
        <v>100</v>
      </c>
      <c r="X43" s="1353"/>
      <c r="Y43" s="3754"/>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754"/>
      <c r="Q44" s="1350">
        <f t="shared" si="14"/>
        <v>111</v>
      </c>
      <c r="R44" s="703" t="s">
        <v>14</v>
      </c>
      <c r="S44" s="704">
        <f t="shared" si="10"/>
        <v>100</v>
      </c>
      <c r="T44" s="703" t="s">
        <v>14</v>
      </c>
      <c r="U44" s="704">
        <f t="shared" si="11"/>
        <v>100</v>
      </c>
      <c r="V44" s="703" t="s">
        <v>14</v>
      </c>
      <c r="W44" s="704">
        <f t="shared" si="12"/>
        <v>100</v>
      </c>
      <c r="X44" s="1353"/>
      <c r="Y44" s="3754"/>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754"/>
      <c r="Q45" s="1350">
        <f t="shared" si="14"/>
        <v>111</v>
      </c>
      <c r="R45" s="706" t="s">
        <v>14</v>
      </c>
      <c r="S45" s="707">
        <f t="shared" si="10"/>
        <v>100</v>
      </c>
      <c r="T45" s="706" t="s">
        <v>14</v>
      </c>
      <c r="U45" s="707">
        <f t="shared" si="11"/>
        <v>100</v>
      </c>
      <c r="V45" s="706" t="s">
        <v>14</v>
      </c>
      <c r="W45" s="707">
        <f t="shared" si="12"/>
        <v>100</v>
      </c>
      <c r="X45" s="708"/>
      <c r="Y45" s="3754"/>
      <c r="Z45" s="709">
        <f t="shared" si="13"/>
        <v>111</v>
      </c>
      <c r="AA45" s="1351">
        <f t="shared" si="3"/>
        <v>1</v>
      </c>
      <c r="AB45" s="1351">
        <f t="shared" si="4"/>
        <v>1</v>
      </c>
      <c r="AC45" s="1351">
        <f t="shared" si="5"/>
        <v>1</v>
      </c>
    </row>
    <row r="46" spans="1:29" ht="15">
      <c r="A46" s="428" t="s">
        <v>1844</v>
      </c>
      <c r="B46" s="1980" t="s">
        <v>1878</v>
      </c>
      <c r="C46" s="628" t="s">
        <v>0</v>
      </c>
      <c r="D46" s="430"/>
      <c r="E46" s="431">
        <f>Sheet0!AK3</f>
        <v>15800</v>
      </c>
      <c r="F46" s="432"/>
      <c r="G46" s="433">
        <f>ROUND(Sheet0!AK8,0)</f>
        <v>12825</v>
      </c>
      <c r="H46" s="434"/>
      <c r="I46" s="431">
        <f>ROUND(Sheet0!AK9,0)</f>
        <v>14015</v>
      </c>
      <c r="J46" s="434"/>
      <c r="K46" s="712"/>
      <c r="L46" s="2721"/>
      <c r="M46" s="2722"/>
      <c r="N46" s="2713"/>
      <c r="O46" s="2722"/>
      <c r="P46" s="3747" t="str">
        <f>A46</f>
        <v>成交单价</v>
      </c>
      <c r="Q46" s="3747"/>
      <c r="R46" s="3742">
        <f>E46</f>
        <v>15800</v>
      </c>
      <c r="S46" s="3742"/>
      <c r="T46" s="3742">
        <f>G46</f>
        <v>12825</v>
      </c>
      <c r="U46" s="3742"/>
      <c r="V46" s="3742">
        <f>I46</f>
        <v>14015</v>
      </c>
      <c r="W46" s="3742"/>
      <c r="X46" s="688"/>
      <c r="Y46" s="710"/>
      <c r="Z46" s="688"/>
      <c r="AA46" s="688"/>
      <c r="AB46" s="688"/>
      <c r="AC46" s="688"/>
    </row>
    <row r="47" spans="1:29" ht="15.75" thickBot="1">
      <c r="A47" s="435" t="s">
        <v>1793</v>
      </c>
      <c r="B47" s="629"/>
      <c r="C47" s="438">
        <f>R48</f>
        <v>13343</v>
      </c>
      <c r="D47" s="2315" t="s">
        <v>2137</v>
      </c>
      <c r="E47" s="438">
        <f>R47</f>
        <v>14113</v>
      </c>
      <c r="F47" s="2316"/>
      <c r="G47" s="437">
        <f>T47</f>
        <v>12119</v>
      </c>
      <c r="H47" s="2316"/>
      <c r="I47" s="438">
        <f>V47</f>
        <v>13796</v>
      </c>
      <c r="J47" s="2316"/>
      <c r="K47" s="2318">
        <f>F47+H47+J47</f>
        <v>0</v>
      </c>
      <c r="L47" s="2721"/>
      <c r="M47" s="2722"/>
      <c r="N47" s="2722"/>
      <c r="O47" s="2722"/>
      <c r="P47" s="3747" t="str">
        <f>A47</f>
        <v>比较价值（元/平方米）</v>
      </c>
      <c r="Q47" s="3747"/>
      <c r="R47" s="3775">
        <f>ROUND(PRODUCT(R46,AA7:AA45),0)</f>
        <v>14113</v>
      </c>
      <c r="S47" s="3775"/>
      <c r="T47" s="3775">
        <f>ROUND(PRODUCT(T46,AB7:AB45),0)</f>
        <v>12119</v>
      </c>
      <c r="U47" s="3775"/>
      <c r="V47" s="3775">
        <f>ROUND(PRODUCT(V46,AC7:AC45),0)</f>
        <v>13796</v>
      </c>
      <c r="W47" s="3775"/>
      <c r="X47" s="688"/>
      <c r="Y47" s="688"/>
      <c r="Z47" s="688"/>
      <c r="AA47" s="688"/>
      <c r="AB47" s="688"/>
      <c r="AC47" s="688"/>
    </row>
    <row r="48" spans="1:29" ht="15.75" thickBot="1">
      <c r="A48" s="439" t="s">
        <v>1879</v>
      </c>
      <c r="B48" s="440"/>
      <c r="C48" s="441">
        <f>R48</f>
        <v>13343</v>
      </c>
      <c r="D48" s="441"/>
      <c r="E48" s="441"/>
      <c r="F48" s="441"/>
      <c r="G48" s="441"/>
      <c r="H48" s="441"/>
      <c r="I48" s="441"/>
      <c r="J48" s="441"/>
      <c r="K48" s="713"/>
      <c r="L48" s="2721"/>
      <c r="M48" s="2722"/>
      <c r="N48" s="2722"/>
      <c r="O48" s="2722"/>
      <c r="P48" s="3744" t="str">
        <f>A48</f>
        <v>估价对象XX用房的比较价值（楼面单价，元/平方米）</v>
      </c>
      <c r="Q48" s="3745"/>
      <c r="R48" s="3776">
        <f>ROUND(IF(D47="简单平均",AVERAGE(R47:W47),R47*F47+T47*H47+V47*J47),0)</f>
        <v>13343</v>
      </c>
      <c r="S48" s="3776"/>
      <c r="T48" s="3776"/>
      <c r="U48" s="3776"/>
      <c r="V48" s="3776"/>
      <c r="W48" s="3776"/>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f>IF(E46&lt;E47,E47/E46-1,E46/E47-1)</f>
        <v>0.11953518033019206</v>
      </c>
      <c r="F51" s="447" t="str">
        <f>IF(OR(E51&gt;=0.3,E51&lt;=-0.3),"超过30%","")</f>
        <v/>
      </c>
      <c r="G51" s="446">
        <f>IF(G46&lt;G47,G47/G46-1,G46/G47-1)</f>
        <v>5.8255631652776696E-2</v>
      </c>
      <c r="H51" s="447" t="str">
        <f>IF(OR(G51&gt;=0.3,G51&lt;=-0.3),"超过30%","")</f>
        <v/>
      </c>
      <c r="I51" s="446">
        <f>IF(I46&lt;I47,I47/I46-1,I46/I47-1)</f>
        <v>1.5874166425050795E-2</v>
      </c>
      <c r="J51" s="447"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f>IF(E47&lt;G47,G47/E47-1,E47/G47-1)</f>
        <v>0.1645350276425448</v>
      </c>
      <c r="F52" s="447" t="str">
        <f>IF(OR(E52&gt;=0.2,E52&lt;=-0.2),"超过20%","")</f>
        <v/>
      </c>
      <c r="G52" s="446">
        <f>IF(G47&lt;I47,I47/G47-1,G47/I47-1)</f>
        <v>0.13837775394009411</v>
      </c>
      <c r="H52" s="447" t="str">
        <f>IF(OR(G52&gt;=0.2,G52&lt;=-0.2),"超过20%","")</f>
        <v/>
      </c>
      <c r="I52" s="446">
        <f>IF(I47&lt;E47,E47/I47-1,I47/E47-1)</f>
        <v>2.2977674688315464E-2</v>
      </c>
      <c r="J52" s="447"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f>IF(E46&lt;G46,G46/E46-1,E46/G46-1)</f>
        <v>0.23196881091617927</v>
      </c>
      <c r="F53" s="447" t="str">
        <f>IF(OR(E53&gt;=0.3,E53&lt;=-0.3),"超过30%","")</f>
        <v/>
      </c>
      <c r="G53" s="446">
        <f>IF(G46&lt;I46,I46/G46-1,G46/I46-1)</f>
        <v>9.2787524366471752E-2</v>
      </c>
      <c r="H53" s="447" t="str">
        <f>IF(OR(G53&gt;=0.3,G53&lt;=-0.3),"超过30%","")</f>
        <v/>
      </c>
      <c r="I53" s="446">
        <f>IF(I46&lt;E46,E46/I46-1,I46/E46-1)</f>
        <v>0.12736353906528719</v>
      </c>
      <c r="J53" s="447"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1880</v>
      </c>
      <c r="B55" s="631" t="s">
        <v>1881</v>
      </c>
      <c r="C55" s="1981" t="s">
        <v>1882</v>
      </c>
      <c r="D55" s="1982" t="s">
        <v>1883</v>
      </c>
      <c r="E55" s="632" t="s">
        <v>1884</v>
      </c>
      <c r="F55" s="888" t="s">
        <v>1885</v>
      </c>
      <c r="G55" s="3730" t="s">
        <v>1886</v>
      </c>
      <c r="H55" s="3777"/>
      <c r="I55" s="134"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1889</v>
      </c>
      <c r="B56" s="635">
        <f>C48</f>
        <v>13343</v>
      </c>
      <c r="C56" s="636">
        <v>1</v>
      </c>
      <c r="D56" s="942">
        <v>1</v>
      </c>
      <c r="E56" s="636">
        <f>'数据-汇总表'!E8+'数据-汇总表'!E9</f>
        <v>85551.93</v>
      </c>
      <c r="F56" s="884">
        <f t="shared" ref="F56:F64" si="15">ROUND(B56*E56/10000,0)</f>
        <v>114152</v>
      </c>
      <c r="G56" s="3729"/>
      <c r="H56" s="3747"/>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1890</v>
      </c>
      <c r="B57" s="216">
        <f>ROUND($C$48*C57*D57,0)</f>
        <v>2001</v>
      </c>
      <c r="C57" s="170">
        <f t="shared" ref="C57:C64" si="16">IF($C$55="北京市系数",I57,J57)</f>
        <v>0.6</v>
      </c>
      <c r="D57" s="943">
        <v>0.25</v>
      </c>
      <c r="E57" s="640">
        <f>面积指标!G37</f>
        <v>15467.050000000001</v>
      </c>
      <c r="F57" s="884">
        <f t="shared" si="15"/>
        <v>3095</v>
      </c>
      <c r="G57" s="3003" t="s">
        <v>1891</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1892</v>
      </c>
      <c r="B58" s="216">
        <f t="shared" ref="B58:B64" si="17">ROUND($C$48*C58*D58,0)</f>
        <v>1001</v>
      </c>
      <c r="C58" s="170">
        <f t="shared" si="16"/>
        <v>0.3</v>
      </c>
      <c r="D58" s="943">
        <v>0.25</v>
      </c>
      <c r="E58" s="640">
        <f>面积指标!H37</f>
        <v>2669.4900000000071</v>
      </c>
      <c r="F58" s="884">
        <f t="shared" si="15"/>
        <v>267</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1893</v>
      </c>
      <c r="B59" s="216">
        <f t="shared" si="17"/>
        <v>834</v>
      </c>
      <c r="C59" s="170">
        <f t="shared" si="16"/>
        <v>0.25</v>
      </c>
      <c r="D59" s="943">
        <v>0.25</v>
      </c>
      <c r="E59" s="640"/>
      <c r="F59" s="884">
        <f t="shared" si="15"/>
        <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1894</v>
      </c>
      <c r="B60" s="216">
        <f t="shared" si="17"/>
        <v>0</v>
      </c>
      <c r="C60" s="170">
        <f t="shared" si="16"/>
        <v>0</v>
      </c>
      <c r="D60" s="943">
        <v>0.25</v>
      </c>
      <c r="E60" s="215">
        <f>'数据-汇总表'!E11</f>
        <v>0</v>
      </c>
      <c r="F60" s="884">
        <f t="shared" si="15"/>
        <v>0</v>
      </c>
      <c r="G60" s="1985"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1896</v>
      </c>
      <c r="B61" s="216">
        <f t="shared" si="17"/>
        <v>0</v>
      </c>
      <c r="C61" s="170">
        <f t="shared" si="16"/>
        <v>0</v>
      </c>
      <c r="D61" s="943">
        <v>0.25</v>
      </c>
      <c r="E61" s="215">
        <f>'数据-汇总表'!E12</f>
        <v>0</v>
      </c>
      <c r="F61" s="884">
        <f t="shared" si="15"/>
        <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1898</v>
      </c>
      <c r="B62" s="216">
        <f t="shared" si="17"/>
        <v>0</v>
      </c>
      <c r="C62" s="170">
        <f t="shared" si="16"/>
        <v>0</v>
      </c>
      <c r="D62" s="943">
        <v>0.25</v>
      </c>
      <c r="E62" s="215">
        <f>'数据-汇总表'!E13</f>
        <v>0</v>
      </c>
      <c r="F62" s="884">
        <f t="shared" si="15"/>
        <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1900</v>
      </c>
      <c r="B63" s="216">
        <f t="shared" si="17"/>
        <v>500</v>
      </c>
      <c r="C63" s="170">
        <f t="shared" si="16"/>
        <v>0.15</v>
      </c>
      <c r="D63" s="943">
        <v>0.25</v>
      </c>
      <c r="E63" s="215">
        <f>'数据-汇总表'!E14</f>
        <v>16275.06</v>
      </c>
      <c r="F63" s="884">
        <f t="shared" si="15"/>
        <v>814</v>
      </c>
      <c r="G63" s="1985" t="s">
        <v>1891</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5" thickBot="1">
      <c r="A64" s="639" t="s">
        <v>1901</v>
      </c>
      <c r="B64" s="216">
        <f t="shared" si="17"/>
        <v>0</v>
      </c>
      <c r="C64" s="170">
        <f t="shared" si="16"/>
        <v>0</v>
      </c>
      <c r="D64" s="943">
        <v>0.25</v>
      </c>
      <c r="E64" s="215">
        <f>'数据-汇总表'!E15</f>
        <v>0</v>
      </c>
      <c r="F64" s="884">
        <f t="shared" si="15"/>
        <v>0</v>
      </c>
      <c r="G64" s="1986"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ht="13.5" thickBot="1">
      <c r="A65" s="641" t="s">
        <v>1902</v>
      </c>
      <c r="B65" s="642" t="s">
        <v>22</v>
      </c>
      <c r="C65" s="642" t="s">
        <v>23</v>
      </c>
      <c r="D65" s="642" t="s">
        <v>392</v>
      </c>
      <c r="E65" s="642">
        <f>IF(B46="楼面地价",SUM(E56:E64),'数据-汇总表'!D3)</f>
        <v>119963.53</v>
      </c>
      <c r="F65" s="643">
        <f>IF(B46="楼面地价",SUM(F56:F64),ROUND(C48*E65/10000,0))</f>
        <v>118328</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5" customFormat="1" ht="15">
      <c r="A69" s="1987" t="s">
        <v>1903</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7" customFormat="1" ht="30" customHeight="1">
      <c r="A70" s="1988" t="s">
        <v>1904</v>
      </c>
      <c r="B70" s="286" t="str">
        <f>"北京市平均增长率"&amp;TEXT(SUMIF(基准地价修正!N25:N29,A70,基准地价修正!P25:P29),"0.00%")</f>
        <v>北京市平均增长率0.00%</v>
      </c>
      <c r="C70" s="550">
        <v>100</v>
      </c>
      <c r="D70" s="542">
        <f>C70-$C$71</f>
        <v>99.8</v>
      </c>
      <c r="E70" s="542">
        <f t="shared" ref="E70:M70" si="20">D70-$C$71</f>
        <v>99.6</v>
      </c>
      <c r="F70" s="542">
        <f t="shared" si="20"/>
        <v>99.399999999999991</v>
      </c>
      <c r="G70" s="542">
        <f t="shared" si="20"/>
        <v>99.199999999999989</v>
      </c>
      <c r="H70" s="542">
        <f t="shared" si="20"/>
        <v>98.999999999999986</v>
      </c>
      <c r="I70" s="542">
        <f t="shared" si="20"/>
        <v>98.799999999999983</v>
      </c>
      <c r="J70" s="542">
        <f t="shared" si="20"/>
        <v>98.59999999999998</v>
      </c>
      <c r="K70" s="542">
        <f t="shared" si="20"/>
        <v>98.399999999999977</v>
      </c>
      <c r="L70" s="542">
        <f t="shared" si="20"/>
        <v>98.199999999999974</v>
      </c>
      <c r="M70" s="542">
        <f t="shared" si="20"/>
        <v>97.999999999999972</v>
      </c>
      <c r="N70" s="542"/>
      <c r="O70" s="1177"/>
      <c r="P70" s="2736"/>
      <c r="Q70" s="2658"/>
      <c r="R70" s="2658"/>
      <c r="S70" s="2658"/>
      <c r="T70" s="2658"/>
      <c r="U70" s="2658"/>
      <c r="V70" s="2658"/>
      <c r="W70" s="2658"/>
      <c r="X70" s="2658"/>
      <c r="Y70" s="2658"/>
      <c r="Z70" s="2658"/>
      <c r="AA70" s="2658"/>
      <c r="AB70" s="2658"/>
      <c r="AC70" s="2658"/>
    </row>
    <row r="71" spans="1:29" s="107" customFormat="1" ht="15.75" thickBot="1">
      <c r="A71" s="462" t="s">
        <v>1716</v>
      </c>
      <c r="B71" s="463"/>
      <c r="C71" s="464">
        <v>0.2</v>
      </c>
      <c r="D71" s="465"/>
      <c r="E71" s="465"/>
      <c r="F71" s="465"/>
      <c r="G71" s="465"/>
      <c r="H71" s="465"/>
      <c r="I71" s="465"/>
      <c r="J71" s="465"/>
      <c r="K71" s="465"/>
      <c r="L71" s="465"/>
      <c r="M71" s="466"/>
      <c r="N71" s="465"/>
      <c r="O71" s="941"/>
      <c r="P71" s="2736"/>
      <c r="Q71" s="2736"/>
      <c r="R71" s="2658"/>
      <c r="S71" s="2658"/>
      <c r="T71" s="2658"/>
      <c r="U71" s="2658"/>
      <c r="V71" s="2658"/>
      <c r="W71" s="2658"/>
      <c r="X71" s="2658"/>
      <c r="Y71" s="2658"/>
      <c r="Z71" s="2658"/>
      <c r="AA71" s="2658"/>
      <c r="AB71" s="2658"/>
      <c r="AC71" s="2658"/>
    </row>
    <row r="72" spans="1:29" s="107" customFormat="1" ht="15">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5.75"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c r="A74" s="474" t="s">
        <v>1719</v>
      </c>
      <c r="B74" s="475" t="s">
        <v>1685</v>
      </c>
      <c r="C74" s="477" t="s">
        <v>3940</v>
      </c>
      <c r="D74" s="477" t="s">
        <v>3941</v>
      </c>
      <c r="E74" s="477" t="s">
        <v>3942</v>
      </c>
      <c r="F74" s="477" t="s">
        <v>3943</v>
      </c>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5.75" thickBot="1">
      <c r="A75" s="481"/>
      <c r="B75" s="482"/>
      <c r="C75" s="483">
        <v>100</v>
      </c>
      <c r="D75" s="483">
        <v>90</v>
      </c>
      <c r="E75" s="483">
        <v>85</v>
      </c>
      <c r="F75" s="483">
        <v>90</v>
      </c>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7.75"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5.75"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75" thickTop="1">
      <c r="A78" s="481"/>
      <c r="B78" s="493" t="s">
        <v>1689</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6（含）-7</v>
      </c>
      <c r="J78" s="494" t="str">
        <f t="shared" si="21"/>
        <v>7（含）-8</v>
      </c>
      <c r="K78" s="494" t="str">
        <f t="shared" si="21"/>
        <v>8（含）-9</v>
      </c>
      <c r="L78" s="494" t="str">
        <f t="shared" si="21"/>
        <v>9（含）-10</v>
      </c>
      <c r="M78" s="397" t="str">
        <f>M79&amp;"（含）"&amp;"-"&amp;P79</f>
        <v>10（含）-</v>
      </c>
      <c r="N78" s="2751"/>
      <c r="O78" s="2751"/>
      <c r="P78" s="2775"/>
      <c r="Q78" s="2736"/>
      <c r="R78" s="2722"/>
      <c r="S78" s="2722"/>
      <c r="T78" s="2722"/>
      <c r="U78" s="2722"/>
      <c r="V78" s="2722"/>
      <c r="W78" s="2722"/>
      <c r="X78" s="2722"/>
      <c r="Y78" s="2722"/>
      <c r="Z78" s="2722"/>
      <c r="AA78" s="2722"/>
      <c r="AB78" s="2722"/>
      <c r="AC78" s="2722"/>
    </row>
    <row r="79" spans="1:29" ht="15">
      <c r="A79" s="481"/>
      <c r="B79" s="495"/>
      <c r="C79" s="496">
        <v>0</v>
      </c>
      <c r="D79" s="496">
        <v>1</v>
      </c>
      <c r="E79" s="496">
        <v>2</v>
      </c>
      <c r="F79" s="496">
        <v>3</v>
      </c>
      <c r="G79" s="496">
        <v>4</v>
      </c>
      <c r="H79" s="496">
        <v>5</v>
      </c>
      <c r="I79" s="496">
        <v>6</v>
      </c>
      <c r="J79" s="496">
        <v>7</v>
      </c>
      <c r="K79" s="496">
        <v>8</v>
      </c>
      <c r="L79" s="496">
        <v>9</v>
      </c>
      <c r="M79" s="496">
        <v>10</v>
      </c>
      <c r="N79" s="2750"/>
      <c r="O79" s="2750"/>
      <c r="P79" s="2775"/>
      <c r="Q79" s="2736"/>
      <c r="R79" s="2722"/>
      <c r="S79" s="2722"/>
      <c r="T79" s="2722"/>
      <c r="U79" s="2722"/>
      <c r="V79" s="2722"/>
      <c r="W79" s="2722"/>
      <c r="X79" s="2722"/>
      <c r="Y79" s="2722"/>
      <c r="Z79" s="2722"/>
      <c r="AA79" s="2722"/>
      <c r="AB79" s="2722"/>
      <c r="AC79" s="2722"/>
    </row>
    <row r="80" spans="1:29" ht="15.75" thickBot="1">
      <c r="A80" s="481"/>
      <c r="B80" s="482"/>
      <c r="C80" s="491">
        <v>100</v>
      </c>
      <c r="D80" s="491">
        <f t="shared" ref="D80:M80" si="22">IF($B$46="单位面积地价",C80+$K11,C80-$K11)</f>
        <v>95</v>
      </c>
      <c r="E80" s="491">
        <f t="shared" si="22"/>
        <v>90</v>
      </c>
      <c r="F80" s="491">
        <f t="shared" si="22"/>
        <v>85</v>
      </c>
      <c r="G80" s="491">
        <f t="shared" si="22"/>
        <v>80</v>
      </c>
      <c r="H80" s="491">
        <f t="shared" si="22"/>
        <v>75</v>
      </c>
      <c r="I80" s="491">
        <f t="shared" si="22"/>
        <v>70</v>
      </c>
      <c r="J80" s="491">
        <f t="shared" si="22"/>
        <v>65</v>
      </c>
      <c r="K80" s="491">
        <f t="shared" si="22"/>
        <v>60</v>
      </c>
      <c r="L80" s="491">
        <f t="shared" si="22"/>
        <v>55</v>
      </c>
      <c r="M80" s="491">
        <f t="shared" si="22"/>
        <v>50</v>
      </c>
      <c r="N80" s="2751"/>
      <c r="O80" s="2751"/>
      <c r="P80" s="2775"/>
      <c r="Q80" s="2736"/>
      <c r="R80" s="2722"/>
      <c r="S80" s="2722"/>
      <c r="T80" s="2722"/>
      <c r="U80" s="2722"/>
      <c r="V80" s="2722"/>
      <c r="W80" s="2722"/>
      <c r="X80" s="2722"/>
      <c r="Y80" s="2722"/>
      <c r="Z80" s="2722"/>
      <c r="AA80" s="2722"/>
      <c r="AB80" s="2722"/>
      <c r="AC80" s="2722"/>
    </row>
    <row r="81" spans="1:29" s="420" customFormat="1" ht="28.5" thickTop="1">
      <c r="A81" s="500"/>
      <c r="B81" s="485" t="str">
        <f>B12</f>
        <v>自持限制</v>
      </c>
      <c r="C81" s="3472" t="s">
        <v>3944</v>
      </c>
      <c r="D81" s="501" t="s">
        <v>3945</v>
      </c>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5.75" thickBot="1">
      <c r="A82" s="500"/>
      <c r="B82" s="490"/>
      <c r="C82" s="507">
        <v>100</v>
      </c>
      <c r="D82" s="483">
        <v>95</v>
      </c>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5.75"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5.75"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5.75"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5.75"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75" thickTop="1">
      <c r="A89" s="481"/>
      <c r="B89" s="485" t="s">
        <v>1905</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5.75" thickBot="1">
      <c r="A90" s="481"/>
      <c r="B90" s="490"/>
      <c r="C90" s="491">
        <v>100</v>
      </c>
      <c r="D90" s="491">
        <f>C90-$K17</f>
        <v>98</v>
      </c>
      <c r="E90" s="491">
        <f>D90-$K17</f>
        <v>96</v>
      </c>
      <c r="F90" s="491">
        <f>E90-$K17</f>
        <v>94</v>
      </c>
      <c r="G90" s="491">
        <f>F90-$K17</f>
        <v>92</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7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7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5.75" thickBot="1">
      <c r="A94" s="481"/>
      <c r="B94" s="490"/>
      <c r="C94" s="491">
        <v>100</v>
      </c>
      <c r="D94" s="491">
        <f>C94-$K21</f>
        <v>98</v>
      </c>
      <c r="E94" s="491">
        <f>D94-$K21</f>
        <v>96</v>
      </c>
      <c r="F94" s="491">
        <f>E94-$K21</f>
        <v>94</v>
      </c>
      <c r="G94" s="491">
        <f>F94-$K21</f>
        <v>92</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15.75" thickTop="1">
      <c r="A95" s="526"/>
      <c r="B95" s="485" t="s">
        <v>1906</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5.75" thickBot="1">
      <c r="A96" s="526"/>
      <c r="B96" s="490"/>
      <c r="C96" s="529">
        <v>100</v>
      </c>
      <c r="D96" s="491">
        <f>C96-$K23</f>
        <v>98</v>
      </c>
      <c r="E96" s="491">
        <f>D96-$K23</f>
        <v>96</v>
      </c>
      <c r="F96" s="491">
        <f>E96-$K23</f>
        <v>94</v>
      </c>
      <c r="G96" s="491">
        <f>F96-$K23</f>
        <v>92</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7.75" thickTop="1">
      <c r="A97" s="526"/>
      <c r="B97" s="485" t="s">
        <v>1907</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5.75" thickBot="1">
      <c r="A98" s="526"/>
      <c r="B98" s="490"/>
      <c r="C98" s="491">
        <v>100</v>
      </c>
      <c r="D98" s="491">
        <f>C98-$K25</f>
        <v>98</v>
      </c>
      <c r="E98" s="491">
        <f>D98-$K25</f>
        <v>96</v>
      </c>
      <c r="F98" s="491">
        <f>E98-$K25</f>
        <v>94</v>
      </c>
      <c r="G98" s="491">
        <f>F98-$K25</f>
        <v>92</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2"/>
      <c r="O101" s="2752"/>
      <c r="P101" s="2776"/>
      <c r="Q101" s="2743"/>
      <c r="R101" s="2744"/>
      <c r="S101" s="2744"/>
      <c r="T101" s="2744"/>
      <c r="U101" s="2744"/>
      <c r="V101" s="2744"/>
      <c r="W101" s="2744"/>
      <c r="X101" s="2744"/>
      <c r="Y101" s="2744"/>
      <c r="Z101" s="2744"/>
      <c r="AA101" s="2744"/>
      <c r="AB101" s="2744"/>
      <c r="AC101" s="2744"/>
    </row>
    <row r="102" spans="1:29" s="420" customFormat="1" ht="15.75" thickBot="1">
      <c r="A102" s="500"/>
      <c r="B102" s="493"/>
      <c r="C102" s="491">
        <v>100</v>
      </c>
      <c r="D102" s="491">
        <f>C102-$K29</f>
        <v>98</v>
      </c>
      <c r="E102" s="491">
        <f>D102-$K29</f>
        <v>96</v>
      </c>
      <c r="F102" s="491">
        <f>E102-$K29</f>
        <v>94</v>
      </c>
      <c r="G102" s="491">
        <f>F102-$K29</f>
        <v>92</v>
      </c>
      <c r="H102" s="495"/>
      <c r="I102" s="495"/>
      <c r="J102" s="495"/>
      <c r="K102" s="495"/>
      <c r="L102" s="495"/>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1"/>
      <c r="B107" s="485" t="s">
        <v>1872</v>
      </c>
      <c r="C107" s="3473" t="s">
        <v>3946</v>
      </c>
      <c r="D107" s="3473" t="s">
        <v>3947</v>
      </c>
      <c r="E107" s="3473" t="s">
        <v>3948</v>
      </c>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C108-$K34</f>
        <v>99</v>
      </c>
      <c r="E108" s="491">
        <f t="shared" si="25"/>
        <v>98</v>
      </c>
      <c r="F108" s="491">
        <f t="shared" si="25"/>
        <v>97</v>
      </c>
      <c r="G108" s="491">
        <f t="shared" si="25"/>
        <v>96</v>
      </c>
      <c r="H108" s="491">
        <f t="shared" si="25"/>
        <v>95</v>
      </c>
      <c r="I108" s="491">
        <f t="shared" si="25"/>
        <v>94</v>
      </c>
      <c r="J108" s="491">
        <f t="shared" si="25"/>
        <v>93</v>
      </c>
      <c r="K108" s="491">
        <f t="shared" si="25"/>
        <v>92</v>
      </c>
      <c r="L108" s="491">
        <f t="shared" si="25"/>
        <v>91</v>
      </c>
      <c r="M108" s="491">
        <f t="shared" si="25"/>
        <v>90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5.75"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5"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5.75"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5"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5.75"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ht="28.5">
      <c r="A115" s="474" t="s">
        <v>1694</v>
      </c>
      <c r="B115" s="475" t="s">
        <v>1912</v>
      </c>
      <c r="C115" s="476" t="str">
        <f>C116&amp;"(含)"&amp;"-"&amp;D116</f>
        <v>0(含)-10000</v>
      </c>
      <c r="D115" s="476" t="str">
        <f t="shared" ref="D115:M115" si="26">D116&amp;"(含)"&amp;"-"&amp;E116</f>
        <v>10000(含)-20000</v>
      </c>
      <c r="E115" s="476" t="str">
        <f t="shared" si="26"/>
        <v>20000(含)-30000</v>
      </c>
      <c r="F115" s="476" t="str">
        <f t="shared" si="26"/>
        <v>30000(含)-40000</v>
      </c>
      <c r="G115" s="476" t="str">
        <f t="shared" si="26"/>
        <v>40000(含)-</v>
      </c>
      <c r="H115" s="476" t="str">
        <f t="shared" si="26"/>
        <v>(含)-</v>
      </c>
      <c r="I115" s="476" t="str">
        <f t="shared" si="26"/>
        <v>(含)-</v>
      </c>
      <c r="J115" s="476" t="str">
        <f t="shared" si="26"/>
        <v>(含)-</v>
      </c>
      <c r="K115" s="476" t="str">
        <f t="shared" si="26"/>
        <v>(含)-</v>
      </c>
      <c r="L115" s="476" t="str">
        <f t="shared" si="26"/>
        <v>(含)-</v>
      </c>
      <c r="M115" s="476"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1"/>
      <c r="B116" s="493"/>
      <c r="C116" s="542">
        <v>0</v>
      </c>
      <c r="D116" s="542">
        <v>10000</v>
      </c>
      <c r="E116" s="542">
        <v>20000</v>
      </c>
      <c r="F116" s="542">
        <v>30000</v>
      </c>
      <c r="G116" s="542">
        <v>40000</v>
      </c>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5.75" thickBot="1">
      <c r="A117" s="481"/>
      <c r="B117" s="490"/>
      <c r="C117" s="517">
        <v>100</v>
      </c>
      <c r="D117" s="538">
        <v>101</v>
      </c>
      <c r="E117" s="538">
        <v>102</v>
      </c>
      <c r="F117" s="538">
        <v>103</v>
      </c>
      <c r="G117" s="538">
        <v>104</v>
      </c>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1913</v>
      </c>
      <c r="C118" s="3473" t="s">
        <v>3949</v>
      </c>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5.75" thickBot="1">
      <c r="A119" s="481"/>
      <c r="B119" s="490"/>
      <c r="C119" s="491">
        <v>100</v>
      </c>
      <c r="D119" s="491">
        <f t="shared" ref="D119:M119" si="27">C119-$K39</f>
        <v>99</v>
      </c>
      <c r="E119" s="491">
        <f t="shared" si="27"/>
        <v>98</v>
      </c>
      <c r="F119" s="491">
        <f t="shared" si="27"/>
        <v>97</v>
      </c>
      <c r="G119" s="491">
        <f t="shared" si="27"/>
        <v>96</v>
      </c>
      <c r="H119" s="491">
        <f t="shared" si="27"/>
        <v>95</v>
      </c>
      <c r="I119" s="491">
        <f t="shared" si="27"/>
        <v>94</v>
      </c>
      <c r="J119" s="491">
        <f t="shared" si="27"/>
        <v>93</v>
      </c>
      <c r="K119" s="491">
        <f t="shared" si="27"/>
        <v>92</v>
      </c>
      <c r="L119" s="491">
        <f t="shared" si="27"/>
        <v>91</v>
      </c>
      <c r="M119" s="492">
        <f t="shared" si="27"/>
        <v>90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1914</v>
      </c>
      <c r="C120" s="3472" t="s">
        <v>3950</v>
      </c>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5.75" thickBot="1">
      <c r="A121" s="481"/>
      <c r="B121" s="490"/>
      <c r="C121" s="491">
        <v>100</v>
      </c>
      <c r="D121" s="491">
        <f t="shared" ref="D121:M121" si="28">C121-$K40</f>
        <v>99</v>
      </c>
      <c r="E121" s="491">
        <f t="shared" si="28"/>
        <v>98</v>
      </c>
      <c r="F121" s="491">
        <f t="shared" si="28"/>
        <v>97</v>
      </c>
      <c r="G121" s="491">
        <f t="shared" si="28"/>
        <v>96</v>
      </c>
      <c r="H121" s="491">
        <f t="shared" si="28"/>
        <v>95</v>
      </c>
      <c r="I121" s="491">
        <f t="shared" si="28"/>
        <v>94</v>
      </c>
      <c r="J121" s="491">
        <f t="shared" si="28"/>
        <v>93</v>
      </c>
      <c r="K121" s="491">
        <f t="shared" si="28"/>
        <v>92</v>
      </c>
      <c r="L121" s="491">
        <f t="shared" si="28"/>
        <v>91</v>
      </c>
      <c r="M121" s="492">
        <f t="shared" si="28"/>
        <v>90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1915</v>
      </c>
      <c r="C122" s="3472" t="s">
        <v>3951</v>
      </c>
      <c r="D122" s="3472" t="s">
        <v>3952</v>
      </c>
      <c r="E122" s="3472" t="s">
        <v>3953</v>
      </c>
      <c r="F122" s="3472" t="s">
        <v>3954</v>
      </c>
      <c r="G122" s="3472" t="s">
        <v>3955</v>
      </c>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1916</v>
      </c>
      <c r="C124" s="3472" t="s">
        <v>3956</v>
      </c>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 t="shared" ref="D125:M125" si="30">C125-$K42</f>
        <v>99</v>
      </c>
      <c r="E125" s="491">
        <f t="shared" si="30"/>
        <v>98</v>
      </c>
      <c r="F125" s="491">
        <f t="shared" si="30"/>
        <v>97</v>
      </c>
      <c r="G125" s="491">
        <f t="shared" si="30"/>
        <v>96</v>
      </c>
      <c r="H125" s="491">
        <f t="shared" si="30"/>
        <v>95</v>
      </c>
      <c r="I125" s="491">
        <f t="shared" si="30"/>
        <v>94</v>
      </c>
      <c r="J125" s="491">
        <f t="shared" si="30"/>
        <v>93</v>
      </c>
      <c r="K125" s="491">
        <f t="shared" si="30"/>
        <v>92</v>
      </c>
      <c r="L125" s="491">
        <f t="shared" si="30"/>
        <v>91</v>
      </c>
      <c r="M125" s="492">
        <f t="shared" si="30"/>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5.75"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5"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5.75"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5"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5.75"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0" t="s">
        <v>1770</v>
      </c>
      <c r="D4" s="3731"/>
      <c r="E4" s="3732" t="s">
        <v>1771</v>
      </c>
      <c r="F4" s="3733"/>
      <c r="G4" s="3730" t="s">
        <v>1772</v>
      </c>
      <c r="H4" s="3731"/>
      <c r="I4" s="3730" t="s">
        <v>1773</v>
      </c>
      <c r="J4" s="3731"/>
      <c r="K4" s="557" t="s">
        <v>1774</v>
      </c>
      <c r="L4" s="2712"/>
      <c r="M4" s="2713"/>
      <c r="N4" s="2713"/>
      <c r="O4" s="2713"/>
      <c r="P4" s="3734" t="s">
        <v>1775</v>
      </c>
      <c r="Q4" s="3735"/>
      <c r="R4" s="3717" t="s">
        <v>1771</v>
      </c>
      <c r="S4" s="3718"/>
      <c r="T4" s="3717" t="s">
        <v>1772</v>
      </c>
      <c r="U4" s="3718"/>
      <c r="V4" s="3742" t="s">
        <v>1773</v>
      </c>
      <c r="W4" s="3742"/>
      <c r="X4" s="1353"/>
      <c r="Y4" s="3717" t="s">
        <v>1775</v>
      </c>
      <c r="Z4" s="3718"/>
      <c r="AA4" s="3712" t="s">
        <v>1771</v>
      </c>
      <c r="AB4" s="3713" t="s">
        <v>1772</v>
      </c>
      <c r="AC4" s="3712" t="s">
        <v>1773</v>
      </c>
    </row>
    <row r="5" spans="1:29" ht="15">
      <c r="A5" s="356"/>
      <c r="B5" s="357"/>
      <c r="C5" s="3723" t="s">
        <v>1673</v>
      </c>
      <c r="D5" s="3724"/>
      <c r="E5" s="3721" t="s">
        <v>1674</v>
      </c>
      <c r="F5" s="3722"/>
      <c r="G5" s="3723" t="s">
        <v>1675</v>
      </c>
      <c r="H5" s="3724"/>
      <c r="I5" s="3723" t="s">
        <v>1676</v>
      </c>
      <c r="J5" s="3724"/>
      <c r="K5" s="557"/>
      <c r="L5" s="2712"/>
      <c r="M5" s="2713"/>
      <c r="N5" s="2713"/>
      <c r="O5" s="2713"/>
      <c r="P5" s="3736"/>
      <c r="Q5" s="3737"/>
      <c r="R5" s="3719"/>
      <c r="S5" s="3720"/>
      <c r="T5" s="3719"/>
      <c r="U5" s="3720"/>
      <c r="V5" s="3742"/>
      <c r="W5" s="3742"/>
      <c r="X5" s="1353"/>
      <c r="Y5" s="3719"/>
      <c r="Z5" s="3720"/>
      <c r="AA5" s="3713"/>
      <c r="AB5" s="3713"/>
      <c r="AC5" s="3713"/>
    </row>
    <row r="6" spans="1:29" ht="15.75" thickBot="1">
      <c r="A6" s="358"/>
      <c r="B6" s="359"/>
      <c r="C6" s="3778" t="s">
        <v>1918</v>
      </c>
      <c r="D6" s="3779"/>
      <c r="E6" s="3780" t="s">
        <v>1918</v>
      </c>
      <c r="F6" s="3781"/>
      <c r="G6" s="3778" t="s">
        <v>1918</v>
      </c>
      <c r="H6" s="3779"/>
      <c r="I6" s="3778" t="s">
        <v>1918</v>
      </c>
      <c r="J6" s="3779"/>
      <c r="K6" s="557" t="s">
        <v>1678</v>
      </c>
      <c r="L6" s="2712"/>
      <c r="M6" s="2713"/>
      <c r="N6" s="2713"/>
      <c r="O6" s="2713"/>
      <c r="P6" s="3738"/>
      <c r="Q6" s="3739"/>
      <c r="R6" s="3719"/>
      <c r="S6" s="3720"/>
      <c r="T6" s="3740"/>
      <c r="U6" s="3741"/>
      <c r="V6" s="3742"/>
      <c r="W6" s="3742"/>
      <c r="X6" s="1353"/>
      <c r="Y6" s="3740"/>
      <c r="Z6" s="3741"/>
      <c r="AA6" s="3714"/>
      <c r="AB6" s="3714"/>
      <c r="AC6" s="3714"/>
    </row>
    <row r="7" spans="1:29" s="107" customFormat="1" ht="15.75" thickBot="1">
      <c r="A7" s="360" t="s">
        <v>1679</v>
      </c>
      <c r="B7" s="361"/>
      <c r="C7" s="362">
        <f>'数据-取费表'!B2</f>
        <v>45317</v>
      </c>
      <c r="D7" s="363">
        <v>100</v>
      </c>
      <c r="E7" s="364"/>
      <c r="F7" s="365">
        <f>SUMIF(65:65,YEAR(E7)&amp;"-"&amp;INT((MONTH(E7)+2)/3),66:66)</f>
        <v>0</v>
      </c>
      <c r="G7" s="1972"/>
      <c r="H7" s="363">
        <f>SUMIF(65:65,YEAR(G7)&amp;"-"&amp;INT((MONTH(G7)+2)/3),66:66)</f>
        <v>0</v>
      </c>
      <c r="I7" s="1972"/>
      <c r="J7" s="363">
        <f>SUMIF(65:65,YEAR(I7)&amp;"-"&amp;INT((MONTH(I7)+2)/3),66:66)</f>
        <v>0</v>
      </c>
      <c r="K7" s="558"/>
      <c r="L7" s="2714"/>
      <c r="M7" s="2715"/>
      <c r="N7" s="2715"/>
      <c r="O7" s="2715"/>
      <c r="P7" s="3715" t="s">
        <v>1680</v>
      </c>
      <c r="Q7" s="3743"/>
      <c r="R7" s="699" t="s">
        <v>14</v>
      </c>
      <c r="S7" s="700">
        <f t="shared" ref="S7:S15" si="0">F7</f>
        <v>0</v>
      </c>
      <c r="T7" s="699" t="s">
        <v>14</v>
      </c>
      <c r="U7" s="700">
        <f t="shared" ref="U7:U15" si="1">H7</f>
        <v>0</v>
      </c>
      <c r="V7" s="699" t="s">
        <v>14</v>
      </c>
      <c r="W7" s="700">
        <f t="shared" ref="W7:W15" si="2">J7</f>
        <v>0</v>
      </c>
      <c r="X7" s="701"/>
      <c r="Y7" s="3715" t="s">
        <v>1680</v>
      </c>
      <c r="Z7" s="3716"/>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715" t="s">
        <v>1683</v>
      </c>
      <c r="Q8" s="3716"/>
      <c r="R8" s="699" t="s">
        <v>14</v>
      </c>
      <c r="S8" s="700">
        <f t="shared" si="0"/>
        <v>0</v>
      </c>
      <c r="T8" s="699" t="s">
        <v>14</v>
      </c>
      <c r="U8" s="700">
        <f t="shared" si="1"/>
        <v>0</v>
      </c>
      <c r="V8" s="699" t="s">
        <v>14</v>
      </c>
      <c r="W8" s="700">
        <f t="shared" si="2"/>
        <v>0</v>
      </c>
      <c r="X8" s="701"/>
      <c r="Y8" s="3715" t="s">
        <v>1683</v>
      </c>
      <c r="Z8" s="3716"/>
      <c r="AA8" s="702" t="e">
        <f t="shared" ref="AA8:AA40" si="3">D8/F8</f>
        <v>#DIV/0!</v>
      </c>
      <c r="AB8" s="702" t="e">
        <f t="shared" ref="AB8:AB40" si="4">D8/H8</f>
        <v>#DIV/0!</v>
      </c>
      <c r="AC8" s="702" t="e">
        <f t="shared" ref="AC8:AC40" si="5">D8/J8</f>
        <v>#DIV/0!</v>
      </c>
    </row>
    <row r="9" spans="1:29" s="107" customFormat="1">
      <c r="A9" s="367" t="s">
        <v>1684</v>
      </c>
      <c r="B9" s="63" t="s">
        <v>1685</v>
      </c>
      <c r="C9" s="1975"/>
      <c r="D9" s="125">
        <v>100</v>
      </c>
      <c r="E9" s="1975"/>
      <c r="F9" s="125">
        <f>SUMIF(70:70,E9,71:71)-SUMIF(70:70,C9,71:71)+100</f>
        <v>100</v>
      </c>
      <c r="G9" s="1975"/>
      <c r="H9" s="125">
        <f>SUMIF(70:70,G9,71:71)-SUMIF(70:70,C9,71:71)+100</f>
        <v>100</v>
      </c>
      <c r="I9" s="1975"/>
      <c r="J9" s="125">
        <f>SUMIF(70:70,I9,71:71)-SUMIF(70:70,C9,71:71)+100</f>
        <v>100</v>
      </c>
      <c r="K9" s="558"/>
      <c r="L9" s="2714"/>
      <c r="M9" s="2715"/>
      <c r="N9" s="2715"/>
      <c r="O9" s="2769"/>
      <c r="P9" s="3747" t="s">
        <v>1686</v>
      </c>
      <c r="Q9" s="1341" t="str">
        <f t="shared" ref="Q9:Q15" si="6">B9</f>
        <v>用途</v>
      </c>
      <c r="R9" s="699" t="s">
        <v>14</v>
      </c>
      <c r="S9" s="700">
        <f t="shared" si="0"/>
        <v>100</v>
      </c>
      <c r="T9" s="699" t="s">
        <v>14</v>
      </c>
      <c r="U9" s="700">
        <f t="shared" si="1"/>
        <v>100</v>
      </c>
      <c r="V9" s="699" t="s">
        <v>14</v>
      </c>
      <c r="W9" s="700">
        <f t="shared" si="2"/>
        <v>100</v>
      </c>
      <c r="X9" s="701"/>
      <c r="Y9" s="3659" t="s">
        <v>1687</v>
      </c>
      <c r="Z9" s="52" t="str">
        <f t="shared" ref="Z9:Z15" si="7">Q9</f>
        <v>用途</v>
      </c>
      <c r="AA9" s="702">
        <f t="shared" si="3"/>
        <v>1</v>
      </c>
      <c r="AB9" s="702">
        <f t="shared" si="4"/>
        <v>1</v>
      </c>
      <c r="AC9" s="702">
        <f t="shared" si="5"/>
        <v>1</v>
      </c>
    </row>
    <row r="10" spans="1:29" s="376" customFormat="1" ht="27">
      <c r="A10" s="372"/>
      <c r="B10" s="373" t="s">
        <v>1688</v>
      </c>
      <c r="C10" s="381"/>
      <c r="D10" s="126">
        <v>100</v>
      </c>
      <c r="E10" s="381"/>
      <c r="F10" s="126">
        <f>ROUND(100/'数据-取费表'!G16,0)</f>
        <v>115</v>
      </c>
      <c r="G10" s="381"/>
      <c r="H10" s="126">
        <f>ROUND(100/'数据-取费表'!G16,0)</f>
        <v>115</v>
      </c>
      <c r="I10" s="381"/>
      <c r="J10" s="126">
        <f>ROUND(100/'数据-取费表'!G16,0)</f>
        <v>115</v>
      </c>
      <c r="K10" s="618"/>
      <c r="L10" s="2716"/>
      <c r="M10" s="2717"/>
      <c r="N10" s="2717"/>
      <c r="O10" s="2770"/>
      <c r="P10" s="3747"/>
      <c r="Q10" s="1341" t="str">
        <f t="shared" si="6"/>
        <v>土地使用年限（年）</v>
      </c>
      <c r="R10" s="699" t="s">
        <v>14</v>
      </c>
      <c r="S10" s="700">
        <f t="shared" si="0"/>
        <v>115</v>
      </c>
      <c r="T10" s="699" t="s">
        <v>14</v>
      </c>
      <c r="U10" s="700">
        <f t="shared" si="1"/>
        <v>115</v>
      </c>
      <c r="V10" s="699" t="s">
        <v>14</v>
      </c>
      <c r="W10" s="700">
        <f t="shared" si="2"/>
        <v>115</v>
      </c>
      <c r="X10" s="701"/>
      <c r="Y10" s="3659"/>
      <c r="Z10" s="52" t="str">
        <f t="shared" si="7"/>
        <v>土地使用年限（年）</v>
      </c>
      <c r="AA10" s="702">
        <f t="shared" si="3"/>
        <v>0.86956521739130432</v>
      </c>
      <c r="AB10" s="702">
        <f t="shared" si="4"/>
        <v>0.86956521739130432</v>
      </c>
      <c r="AC10" s="702">
        <f t="shared" si="5"/>
        <v>0.86956521739130432</v>
      </c>
    </row>
    <row r="11" spans="1:29" ht="15">
      <c r="A11" s="377"/>
      <c r="B11" s="373" t="s">
        <v>1689</v>
      </c>
      <c r="C11" s="378"/>
      <c r="D11" s="126">
        <v>100</v>
      </c>
      <c r="E11" s="378"/>
      <c r="F11" s="126" t="e">
        <f>LOOKUP(E11,75:75,76:76)-LOOKUP(C11,75:75,76:76)+100</f>
        <v>#N/A</v>
      </c>
      <c r="G11" s="379"/>
      <c r="H11" s="126" t="e">
        <f>LOOKUP(G11,75:75,76:76)-LOOKUP(C11,75:75,76:76)+100</f>
        <v>#N/A</v>
      </c>
      <c r="I11" s="378"/>
      <c r="J11" s="126" t="e">
        <f>LOOKUP(I11,75:75,76:76)-LOOKUP(C11,75:75,76:76)+100</f>
        <v>#N/A</v>
      </c>
      <c r="K11" s="619"/>
      <c r="L11" s="2718"/>
      <c r="M11" s="2713"/>
      <c r="N11" s="2713"/>
      <c r="O11" s="2771"/>
      <c r="P11" s="3747"/>
      <c r="Q11" s="1341" t="str">
        <f t="shared" si="6"/>
        <v>容积率</v>
      </c>
      <c r="R11" s="699" t="s">
        <v>14</v>
      </c>
      <c r="S11" s="700" t="e">
        <f t="shared" si="0"/>
        <v>#N/A</v>
      </c>
      <c r="T11" s="699" t="s">
        <v>14</v>
      </c>
      <c r="U11" s="700" t="e">
        <f t="shared" si="1"/>
        <v>#N/A</v>
      </c>
      <c r="V11" s="699" t="s">
        <v>14</v>
      </c>
      <c r="W11" s="700" t="e">
        <f t="shared" si="2"/>
        <v>#N/A</v>
      </c>
      <c r="X11" s="701"/>
      <c r="Y11" s="3659"/>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6">
        <f>SUMIF(77:77,E12,78:78)-SUMIF(77:77,C12,78:78)+100</f>
        <v>100</v>
      </c>
      <c r="G12" s="620"/>
      <c r="H12" s="126">
        <f>SUMIF(77:77,G12,78:78)-SUMIF(77:77,C12,78:78)+100</f>
        <v>100</v>
      </c>
      <c r="I12" s="496"/>
      <c r="J12" s="126">
        <f>SUMIF(77:77,I12,78:78)-SUMIF(77:77,C12,78:78)+100</f>
        <v>100</v>
      </c>
      <c r="K12" s="618"/>
      <c r="L12" s="2714"/>
      <c r="M12" s="2715"/>
      <c r="N12" s="2715"/>
      <c r="O12" s="2769"/>
      <c r="P12" s="3747"/>
      <c r="Q12" s="1341">
        <f t="shared" si="6"/>
        <v>111</v>
      </c>
      <c r="R12" s="699" t="s">
        <v>14</v>
      </c>
      <c r="S12" s="700">
        <f t="shared" si="0"/>
        <v>100</v>
      </c>
      <c r="T12" s="699" t="s">
        <v>14</v>
      </c>
      <c r="U12" s="700">
        <f t="shared" si="1"/>
        <v>100</v>
      </c>
      <c r="V12" s="699" t="s">
        <v>14</v>
      </c>
      <c r="W12" s="700">
        <f t="shared" si="2"/>
        <v>100</v>
      </c>
      <c r="X12" s="701"/>
      <c r="Y12" s="3659"/>
      <c r="Z12" s="52">
        <f t="shared" si="7"/>
        <v>111</v>
      </c>
      <c r="AA12" s="702">
        <f>D12/F12</f>
        <v>1</v>
      </c>
      <c r="AB12" s="702">
        <f>D12/H12</f>
        <v>1</v>
      </c>
      <c r="AC12" s="702">
        <f>D12/J12</f>
        <v>1</v>
      </c>
    </row>
    <row r="13" spans="1:29" ht="15">
      <c r="A13" s="377"/>
      <c r="B13" s="1891">
        <v>111</v>
      </c>
      <c r="C13" s="383"/>
      <c r="D13" s="384">
        <v>100</v>
      </c>
      <c r="E13" s="496"/>
      <c r="F13" s="126">
        <f>SUMIF(79:79,E13,80:80)-SUMIF(79:79,C13,80:80)+100</f>
        <v>100</v>
      </c>
      <c r="G13" s="620"/>
      <c r="H13" s="384">
        <f>SUMIF(79:79,G13,80:80)-SUMIF(79:79,C13,80:80)+100</f>
        <v>100</v>
      </c>
      <c r="I13" s="496"/>
      <c r="J13" s="384">
        <f>SUMIF(79:79,I13,80:80)-SUMIF(79:79,C13,80:80)+100</f>
        <v>100</v>
      </c>
      <c r="K13" s="618"/>
      <c r="L13" s="2719"/>
      <c r="M13" s="2713"/>
      <c r="N13" s="2713"/>
      <c r="O13" s="2771"/>
      <c r="P13" s="3747"/>
      <c r="Q13" s="1341">
        <f t="shared" si="6"/>
        <v>111</v>
      </c>
      <c r="R13" s="699" t="s">
        <v>14</v>
      </c>
      <c r="S13" s="700">
        <f t="shared" si="0"/>
        <v>100</v>
      </c>
      <c r="T13" s="699" t="s">
        <v>14</v>
      </c>
      <c r="U13" s="700">
        <f t="shared" si="1"/>
        <v>100</v>
      </c>
      <c r="V13" s="699" t="s">
        <v>14</v>
      </c>
      <c r="W13" s="700">
        <f t="shared" si="2"/>
        <v>100</v>
      </c>
      <c r="X13" s="701"/>
      <c r="Y13" s="3659"/>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747"/>
      <c r="Q14" s="1341">
        <f t="shared" si="6"/>
        <v>111</v>
      </c>
      <c r="R14" s="699" t="s">
        <v>14</v>
      </c>
      <c r="S14" s="700">
        <f t="shared" si="0"/>
        <v>100</v>
      </c>
      <c r="T14" s="699" t="s">
        <v>14</v>
      </c>
      <c r="U14" s="700">
        <f t="shared" si="1"/>
        <v>100</v>
      </c>
      <c r="V14" s="699" t="s">
        <v>14</v>
      </c>
      <c r="W14" s="700">
        <f t="shared" si="2"/>
        <v>100</v>
      </c>
      <c r="X14" s="701"/>
      <c r="Y14" s="3659"/>
      <c r="Z14" s="52">
        <f t="shared" si="7"/>
        <v>111</v>
      </c>
      <c r="AA14" s="702">
        <f t="shared" si="3"/>
        <v>1</v>
      </c>
      <c r="AB14" s="702">
        <f t="shared" si="4"/>
        <v>1</v>
      </c>
      <c r="AC14" s="702">
        <f t="shared" si="5"/>
        <v>1</v>
      </c>
    </row>
    <row r="15" spans="1:29" ht="57">
      <c r="A15" s="389" t="s">
        <v>1690</v>
      </c>
      <c r="B15" s="575" t="s">
        <v>1919</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749" t="s">
        <v>1691</v>
      </c>
      <c r="Q15" s="1350" t="str">
        <f t="shared" si="6"/>
        <v>产业集聚程度</v>
      </c>
      <c r="R15" s="703" t="s">
        <v>14</v>
      </c>
      <c r="S15" s="704">
        <f t="shared" si="0"/>
        <v>100</v>
      </c>
      <c r="T15" s="703" t="s">
        <v>14</v>
      </c>
      <c r="U15" s="704">
        <f t="shared" si="1"/>
        <v>100</v>
      </c>
      <c r="V15" s="703" t="s">
        <v>14</v>
      </c>
      <c r="W15" s="704">
        <f t="shared" si="2"/>
        <v>100</v>
      </c>
      <c r="X15" s="1353"/>
      <c r="Y15" s="3749"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9"/>
      <c r="M16" s="2713"/>
      <c r="N16" s="2713"/>
      <c r="O16" s="2771"/>
      <c r="P16" s="3750"/>
      <c r="Q16" s="1350"/>
      <c r="R16" s="703"/>
      <c r="S16" s="704"/>
      <c r="T16" s="703"/>
      <c r="U16" s="704"/>
      <c r="V16" s="703"/>
      <c r="W16" s="704"/>
      <c r="X16" s="1353"/>
      <c r="Y16" s="3750"/>
      <c r="Z16" s="1354"/>
      <c r="AA16" s="1351">
        <v>1</v>
      </c>
      <c r="AB16" s="1351">
        <v>1</v>
      </c>
      <c r="AC16" s="1351">
        <v>1</v>
      </c>
    </row>
    <row r="17" spans="1:29" ht="15">
      <c r="A17" s="377"/>
      <c r="B17" s="577" t="s">
        <v>1833</v>
      </c>
      <c r="C17" s="1898">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750"/>
      <c r="Q17" s="1350" t="str">
        <f>B17</f>
        <v>交通便捷度</v>
      </c>
      <c r="R17" s="703" t="s">
        <v>14</v>
      </c>
      <c r="S17" s="704">
        <f>F17</f>
        <v>100</v>
      </c>
      <c r="T17" s="703" t="s">
        <v>14</v>
      </c>
      <c r="U17" s="704">
        <f>H17</f>
        <v>100</v>
      </c>
      <c r="V17" s="703" t="s">
        <v>14</v>
      </c>
      <c r="W17" s="704">
        <f>J17</f>
        <v>100</v>
      </c>
      <c r="X17" s="1353"/>
      <c r="Y17" s="3750"/>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9"/>
      <c r="M18" s="2713"/>
      <c r="N18" s="2713"/>
      <c r="O18" s="2771"/>
      <c r="P18" s="3750"/>
      <c r="Q18" s="1350"/>
      <c r="R18" s="703"/>
      <c r="S18" s="704"/>
      <c r="T18" s="703"/>
      <c r="U18" s="704"/>
      <c r="V18" s="703"/>
      <c r="W18" s="704"/>
      <c r="X18" s="1353"/>
      <c r="Y18" s="3750"/>
      <c r="Z18" s="1354"/>
      <c r="AA18" s="1351">
        <v>1</v>
      </c>
      <c r="AB18" s="1351">
        <v>1</v>
      </c>
      <c r="AC18" s="1351">
        <v>1</v>
      </c>
    </row>
    <row r="19" spans="1:29" ht="15">
      <c r="A19" s="377"/>
      <c r="B19" s="577" t="s">
        <v>1870</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750"/>
      <c r="Q19" s="1350" t="str">
        <f t="shared" ref="Q19:Q33" si="8">B19</f>
        <v>区域土地利用方向</v>
      </c>
      <c r="R19" s="703" t="s">
        <v>14</v>
      </c>
      <c r="S19" s="704">
        <f>F19</f>
        <v>100</v>
      </c>
      <c r="T19" s="703" t="s">
        <v>14</v>
      </c>
      <c r="U19" s="704">
        <f>H19</f>
        <v>100</v>
      </c>
      <c r="V19" s="703" t="s">
        <v>14</v>
      </c>
      <c r="W19" s="704">
        <f>J19</f>
        <v>100</v>
      </c>
      <c r="X19" s="1353"/>
      <c r="Y19" s="3750"/>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9"/>
      <c r="M20" s="2713"/>
      <c r="N20" s="2713"/>
      <c r="O20" s="2771"/>
      <c r="P20" s="3750"/>
      <c r="Q20" s="1350"/>
      <c r="R20" s="703"/>
      <c r="S20" s="704"/>
      <c r="T20" s="703"/>
      <c r="U20" s="704"/>
      <c r="V20" s="703"/>
      <c r="W20" s="704"/>
      <c r="X20" s="1353"/>
      <c r="Y20" s="3750"/>
      <c r="Z20" s="1354"/>
      <c r="AA20" s="1351"/>
      <c r="AB20" s="1351"/>
      <c r="AC20" s="1351"/>
    </row>
    <row r="21" spans="1:29" ht="15">
      <c r="A21" s="356"/>
      <c r="B21" s="577" t="s">
        <v>1920</v>
      </c>
      <c r="C21" s="1898">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750"/>
      <c r="Q21" s="1350" t="str">
        <f t="shared" si="8"/>
        <v>环境状况</v>
      </c>
      <c r="R21" s="703" t="s">
        <v>14</v>
      </c>
      <c r="S21" s="704">
        <f>F21</f>
        <v>100</v>
      </c>
      <c r="T21" s="703" t="s">
        <v>14</v>
      </c>
      <c r="U21" s="704">
        <f>H21</f>
        <v>100</v>
      </c>
      <c r="V21" s="703" t="s">
        <v>14</v>
      </c>
      <c r="W21" s="704">
        <f>J21</f>
        <v>100</v>
      </c>
      <c r="X21" s="1353"/>
      <c r="Y21" s="3750"/>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9"/>
      <c r="M22" s="2713"/>
      <c r="N22" s="2713"/>
      <c r="O22" s="2771"/>
      <c r="P22" s="3750"/>
      <c r="Q22" s="1350"/>
      <c r="R22" s="703"/>
      <c r="S22" s="704"/>
      <c r="T22" s="703"/>
      <c r="U22" s="704"/>
      <c r="V22" s="703"/>
      <c r="W22" s="704"/>
      <c r="X22" s="1353"/>
      <c r="Y22" s="3750"/>
      <c r="Z22" s="1354"/>
      <c r="AA22" s="1351">
        <v>1</v>
      </c>
      <c r="AB22" s="1351">
        <v>1</v>
      </c>
      <c r="AC22" s="1351">
        <v>1</v>
      </c>
    </row>
    <row r="23" spans="1:29" s="107" customFormat="1" ht="15">
      <c r="A23" s="595"/>
      <c r="B23" s="579" t="s">
        <v>1778</v>
      </c>
      <c r="C23" s="1898">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750"/>
      <c r="Q23" s="1341" t="str">
        <f t="shared" si="8"/>
        <v>公共配套设施</v>
      </c>
      <c r="R23" s="699" t="s">
        <v>14</v>
      </c>
      <c r="S23" s="700">
        <f>F23</f>
        <v>100</v>
      </c>
      <c r="T23" s="699" t="s">
        <v>14</v>
      </c>
      <c r="U23" s="700">
        <f>H23</f>
        <v>100</v>
      </c>
      <c r="V23" s="699" t="s">
        <v>14</v>
      </c>
      <c r="W23" s="700">
        <f>J23</f>
        <v>100</v>
      </c>
      <c r="X23" s="701"/>
      <c r="Y23" s="3750"/>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4"/>
      <c r="M24" s="2715"/>
      <c r="N24" s="2715"/>
      <c r="O24" s="2769"/>
      <c r="P24" s="3750"/>
      <c r="Q24" s="1341"/>
      <c r="R24" s="699"/>
      <c r="S24" s="700"/>
      <c r="T24" s="699"/>
      <c r="U24" s="700"/>
      <c r="V24" s="699"/>
      <c r="W24" s="700"/>
      <c r="X24" s="701"/>
      <c r="Y24" s="3750"/>
      <c r="Z24" s="52"/>
      <c r="AA24" s="702">
        <v>1</v>
      </c>
      <c r="AB24" s="702">
        <v>1</v>
      </c>
      <c r="AC24" s="702">
        <v>1</v>
      </c>
    </row>
    <row r="25" spans="1:29" s="107" customFormat="1" ht="15">
      <c r="A25" s="595"/>
      <c r="B25" s="579" t="s">
        <v>1779</v>
      </c>
      <c r="C25" s="1898">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750"/>
      <c r="Q25" s="1341" t="str">
        <f t="shared" ref="Q25" si="9">B25</f>
        <v>基础设施水平</v>
      </c>
      <c r="R25" s="699" t="s">
        <v>14</v>
      </c>
      <c r="S25" s="700">
        <f>F25</f>
        <v>100</v>
      </c>
      <c r="T25" s="699" t="s">
        <v>14</v>
      </c>
      <c r="U25" s="700">
        <f>H25</f>
        <v>100</v>
      </c>
      <c r="V25" s="699" t="s">
        <v>14</v>
      </c>
      <c r="W25" s="700">
        <f>J25</f>
        <v>100</v>
      </c>
      <c r="X25" s="701"/>
      <c r="Y25" s="3750"/>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4"/>
      <c r="M26" s="2715"/>
      <c r="N26" s="2715"/>
      <c r="O26" s="2769"/>
      <c r="P26" s="3750"/>
      <c r="Q26" s="1341"/>
      <c r="R26" s="699"/>
      <c r="S26" s="700"/>
      <c r="T26" s="699"/>
      <c r="U26" s="700"/>
      <c r="V26" s="699"/>
      <c r="W26" s="700"/>
      <c r="X26" s="701"/>
      <c r="Y26" s="3750"/>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75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50"/>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750"/>
      <c r="Q28" s="1350" t="str">
        <f t="shared" si="8"/>
        <v>毗邻道路的类型与等级</v>
      </c>
      <c r="R28" s="703" t="s">
        <v>14</v>
      </c>
      <c r="S28" s="704">
        <f t="shared" si="10"/>
        <v>100</v>
      </c>
      <c r="T28" s="703" t="s">
        <v>14</v>
      </c>
      <c r="U28" s="704">
        <f t="shared" si="11"/>
        <v>100</v>
      </c>
      <c r="V28" s="703" t="s">
        <v>14</v>
      </c>
      <c r="W28" s="704">
        <f t="shared" si="12"/>
        <v>100</v>
      </c>
      <c r="X28" s="1353"/>
      <c r="Y28" s="3750"/>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9"/>
      <c r="M29" s="2713"/>
      <c r="N29" s="2713"/>
      <c r="O29" s="2771"/>
      <c r="P29" s="3750"/>
      <c r="Q29" s="1350"/>
      <c r="R29" s="703"/>
      <c r="S29" s="704"/>
      <c r="T29" s="703"/>
      <c r="U29" s="704"/>
      <c r="V29" s="703"/>
      <c r="W29" s="704"/>
      <c r="X29" s="1353"/>
      <c r="Y29" s="3750"/>
      <c r="Z29" s="1354"/>
      <c r="AA29" s="1351">
        <v>1</v>
      </c>
      <c r="AB29" s="1351">
        <v>1</v>
      </c>
      <c r="AC29" s="1351">
        <v>1</v>
      </c>
    </row>
    <row r="30" spans="1:29" ht="15">
      <c r="A30" s="377"/>
      <c r="B30" s="600" t="s">
        <v>1872</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750"/>
      <c r="Q30" s="1350" t="str">
        <f t="shared" si="8"/>
        <v>土地级别</v>
      </c>
      <c r="R30" s="703" t="s">
        <v>14</v>
      </c>
      <c r="S30" s="704">
        <f t="shared" si="10"/>
        <v>100</v>
      </c>
      <c r="T30" s="703" t="s">
        <v>14</v>
      </c>
      <c r="U30" s="704">
        <f t="shared" si="11"/>
        <v>100</v>
      </c>
      <c r="V30" s="703" t="s">
        <v>14</v>
      </c>
      <c r="W30" s="704">
        <f t="shared" si="12"/>
        <v>100</v>
      </c>
      <c r="X30" s="1353"/>
      <c r="Y30" s="3750"/>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750"/>
      <c r="Q31" s="1350">
        <f t="shared" si="8"/>
        <v>111</v>
      </c>
      <c r="R31" s="703" t="s">
        <v>14</v>
      </c>
      <c r="S31" s="704">
        <f t="shared" si="10"/>
        <v>100</v>
      </c>
      <c r="T31" s="703" t="s">
        <v>14</v>
      </c>
      <c r="U31" s="704">
        <f t="shared" si="11"/>
        <v>100</v>
      </c>
      <c r="V31" s="703" t="s">
        <v>14</v>
      </c>
      <c r="W31" s="704">
        <f t="shared" si="12"/>
        <v>100</v>
      </c>
      <c r="X31" s="1353"/>
      <c r="Y31" s="3750"/>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773" t="s">
        <v>1696</v>
      </c>
      <c r="Q32" s="1350">
        <f t="shared" si="8"/>
        <v>111</v>
      </c>
      <c r="R32" s="703" t="s">
        <v>14</v>
      </c>
      <c r="S32" s="704">
        <f t="shared" si="10"/>
        <v>100</v>
      </c>
      <c r="T32" s="703" t="s">
        <v>14</v>
      </c>
      <c r="U32" s="704">
        <f t="shared" si="11"/>
        <v>100</v>
      </c>
      <c r="V32" s="703" t="s">
        <v>14</v>
      </c>
      <c r="W32" s="704">
        <f t="shared" si="12"/>
        <v>100</v>
      </c>
      <c r="X32" s="1353"/>
      <c r="Y32" s="3754" t="s">
        <v>1696</v>
      </c>
      <c r="Z32" s="1354">
        <f t="shared" si="13"/>
        <v>111</v>
      </c>
      <c r="AA32" s="1351">
        <f t="shared" si="3"/>
        <v>1</v>
      </c>
      <c r="AB32" s="1351">
        <f t="shared" si="4"/>
        <v>1</v>
      </c>
      <c r="AC32" s="1351">
        <f t="shared" si="5"/>
        <v>1</v>
      </c>
    </row>
    <row r="33" spans="1:31" s="420" customFormat="1" ht="15.75" thickBot="1">
      <c r="A33" s="622"/>
      <c r="B33" s="1991">
        <v>111</v>
      </c>
      <c r="C33" s="624"/>
      <c r="D33" s="127">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754"/>
      <c r="Q33" s="1350">
        <f t="shared" si="8"/>
        <v>111</v>
      </c>
      <c r="R33" s="706" t="s">
        <v>14</v>
      </c>
      <c r="S33" s="707">
        <f t="shared" si="10"/>
        <v>100</v>
      </c>
      <c r="T33" s="706" t="s">
        <v>14</v>
      </c>
      <c r="U33" s="707">
        <f t="shared" si="11"/>
        <v>100</v>
      </c>
      <c r="V33" s="706" t="s">
        <v>14</v>
      </c>
      <c r="W33" s="707">
        <f t="shared" si="12"/>
        <v>100</v>
      </c>
      <c r="X33" s="708"/>
      <c r="Y33" s="3754"/>
      <c r="Z33" s="709">
        <f t="shared" si="13"/>
        <v>111</v>
      </c>
      <c r="AA33" s="1351">
        <f t="shared" si="3"/>
        <v>1</v>
      </c>
      <c r="AB33" s="1351">
        <f t="shared" si="4"/>
        <v>1</v>
      </c>
      <c r="AC33" s="1351">
        <f t="shared" si="5"/>
        <v>1</v>
      </c>
    </row>
    <row r="34" spans="1:31" ht="15">
      <c r="A34" s="389" t="s">
        <v>1694</v>
      </c>
      <c r="B34" s="405" t="s">
        <v>1873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754"/>
      <c r="Q34" s="1350" t="str">
        <f>B34</f>
        <v>宗地面积</v>
      </c>
      <c r="R34" s="703" t="s">
        <v>14</v>
      </c>
      <c r="S34" s="704" t="e">
        <f t="shared" si="10"/>
        <v>#N/A</v>
      </c>
      <c r="T34" s="703" t="s">
        <v>14</v>
      </c>
      <c r="U34" s="704" t="e">
        <f t="shared" si="11"/>
        <v>#N/A</v>
      </c>
      <c r="V34" s="703" t="s">
        <v>14</v>
      </c>
      <c r="W34" s="704" t="e">
        <f t="shared" si="12"/>
        <v>#N/A</v>
      </c>
      <c r="X34" s="1353"/>
      <c r="Y34" s="3754"/>
      <c r="Z34" s="1354" t="str">
        <f t="shared" si="13"/>
        <v>宗地面积</v>
      </c>
      <c r="AA34" s="1351" t="e">
        <f t="shared" si="3"/>
        <v>#N/A</v>
      </c>
      <c r="AB34" s="1351" t="e">
        <f t="shared" si="4"/>
        <v>#N/A</v>
      </c>
      <c r="AC34" s="1351" t="e">
        <f t="shared" si="5"/>
        <v>#N/A</v>
      </c>
    </row>
    <row r="35" spans="1:31" ht="15">
      <c r="A35" s="421"/>
      <c r="B35" s="373" t="s">
        <v>1874</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9"/>
      <c r="M35" s="2713"/>
      <c r="N35" s="2713"/>
      <c r="O35" s="2771"/>
      <c r="P35" s="3754"/>
      <c r="Q35" s="1350" t="str">
        <f t="shared" ref="Q35:Q40" si="14">B35</f>
        <v>宗地形状</v>
      </c>
      <c r="R35" s="703" t="s">
        <v>14</v>
      </c>
      <c r="S35" s="704">
        <f t="shared" si="10"/>
        <v>100</v>
      </c>
      <c r="T35" s="703" t="s">
        <v>14</v>
      </c>
      <c r="U35" s="704">
        <f t="shared" si="11"/>
        <v>100</v>
      </c>
      <c r="V35" s="703" t="s">
        <v>14</v>
      </c>
      <c r="W35" s="704">
        <f t="shared" si="12"/>
        <v>100</v>
      </c>
      <c r="X35" s="1353"/>
      <c r="Y35" s="3754"/>
      <c r="Z35" s="1354" t="str">
        <f t="shared" si="13"/>
        <v>宗地形状</v>
      </c>
      <c r="AA35" s="1351">
        <f t="shared" si="3"/>
        <v>1</v>
      </c>
      <c r="AB35" s="1351">
        <f t="shared" si="4"/>
        <v>1</v>
      </c>
      <c r="AC35" s="1351">
        <f t="shared" si="5"/>
        <v>1</v>
      </c>
    </row>
    <row r="36" spans="1:31" s="107" customFormat="1" ht="15">
      <c r="A36" s="422"/>
      <c r="B36" s="373" t="s">
        <v>1876</v>
      </c>
      <c r="C36" s="1978"/>
      <c r="D36" s="126">
        <v>100</v>
      </c>
      <c r="E36" s="1978"/>
      <c r="F36" s="384">
        <f>SUMIF(112:112,E36,113:113)-SUMIF(112:112,C36,113:113)+100</f>
        <v>100</v>
      </c>
      <c r="G36" s="1978"/>
      <c r="H36" s="384">
        <f>SUMIF(112:112,G36,113:113)-SUMIF(112:112,C36,113:113)+100</f>
        <v>100</v>
      </c>
      <c r="I36" s="1978"/>
      <c r="J36" s="384">
        <f>SUMIF(112:112,I36,113:113)-SUMIF(112:112,C36,113:113)+100</f>
        <v>100</v>
      </c>
      <c r="K36" s="559"/>
      <c r="L36" s="2714"/>
      <c r="M36" s="2715"/>
      <c r="N36" s="2715"/>
      <c r="O36" s="2769"/>
      <c r="P36" s="3754"/>
      <c r="Q36" s="1350" t="str">
        <f t="shared" si="14"/>
        <v>宗地开发程度</v>
      </c>
      <c r="R36" s="699" t="s">
        <v>14</v>
      </c>
      <c r="S36" s="700">
        <f t="shared" si="10"/>
        <v>100</v>
      </c>
      <c r="T36" s="699" t="s">
        <v>14</v>
      </c>
      <c r="U36" s="700">
        <f t="shared" si="11"/>
        <v>100</v>
      </c>
      <c r="V36" s="699" t="s">
        <v>14</v>
      </c>
      <c r="W36" s="700">
        <f t="shared" si="12"/>
        <v>100</v>
      </c>
      <c r="X36" s="701"/>
      <c r="Y36" s="3754"/>
      <c r="Z36" s="52" t="str">
        <f t="shared" si="13"/>
        <v>宗地开发程度</v>
      </c>
      <c r="AA36" s="702">
        <f t="shared" si="3"/>
        <v>1</v>
      </c>
      <c r="AB36" s="702">
        <f t="shared" si="4"/>
        <v>1</v>
      </c>
      <c r="AC36" s="702">
        <f t="shared" si="5"/>
        <v>1</v>
      </c>
    </row>
    <row r="37" spans="1:31" ht="15">
      <c r="A37" s="421"/>
      <c r="B37" s="373" t="s">
        <v>1877</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9"/>
      <c r="M37" s="2713"/>
      <c r="N37" s="2713"/>
      <c r="O37" s="2771"/>
      <c r="P37" s="3754" t="s">
        <v>1696</v>
      </c>
      <c r="Q37" s="1350" t="str">
        <f t="shared" si="14"/>
        <v>工程地质条件</v>
      </c>
      <c r="R37" s="703" t="s">
        <v>14</v>
      </c>
      <c r="S37" s="704">
        <f t="shared" si="10"/>
        <v>100</v>
      </c>
      <c r="T37" s="703" t="s">
        <v>14</v>
      </c>
      <c r="U37" s="704">
        <f t="shared" si="11"/>
        <v>100</v>
      </c>
      <c r="V37" s="703" t="s">
        <v>14</v>
      </c>
      <c r="W37" s="704">
        <f t="shared" si="12"/>
        <v>100</v>
      </c>
      <c r="X37" s="1353"/>
      <c r="Y37" s="3754"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754"/>
      <c r="Q38" s="1350">
        <f t="shared" si="14"/>
        <v>111</v>
      </c>
      <c r="R38" s="703" t="s">
        <v>14</v>
      </c>
      <c r="S38" s="704">
        <f t="shared" si="10"/>
        <v>100</v>
      </c>
      <c r="T38" s="703" t="s">
        <v>14</v>
      </c>
      <c r="U38" s="704">
        <f t="shared" si="11"/>
        <v>100</v>
      </c>
      <c r="V38" s="703" t="s">
        <v>14</v>
      </c>
      <c r="W38" s="704">
        <f t="shared" si="12"/>
        <v>100</v>
      </c>
      <c r="X38" s="1353"/>
      <c r="Y38" s="3754"/>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754"/>
      <c r="Q39" s="1350">
        <f t="shared" si="14"/>
        <v>111</v>
      </c>
      <c r="R39" s="703" t="s">
        <v>14</v>
      </c>
      <c r="S39" s="704">
        <f t="shared" si="10"/>
        <v>100</v>
      </c>
      <c r="T39" s="703" t="s">
        <v>14</v>
      </c>
      <c r="U39" s="704">
        <f t="shared" si="11"/>
        <v>100</v>
      </c>
      <c r="V39" s="703" t="s">
        <v>14</v>
      </c>
      <c r="W39" s="704">
        <f t="shared" si="12"/>
        <v>100</v>
      </c>
      <c r="X39" s="1353"/>
      <c r="Y39" s="3754"/>
      <c r="Z39" s="1354">
        <f t="shared" si="13"/>
        <v>111</v>
      </c>
      <c r="AA39" s="1351">
        <f t="shared" si="3"/>
        <v>1</v>
      </c>
      <c r="AB39" s="1351">
        <f t="shared" si="4"/>
        <v>1</v>
      </c>
      <c r="AC39" s="1351">
        <f t="shared" si="5"/>
        <v>1</v>
      </c>
    </row>
    <row r="40" spans="1:31" s="420" customFormat="1" ht="15.75" thickBot="1">
      <c r="A40" s="417"/>
      <c r="B40" s="1132">
        <v>111</v>
      </c>
      <c r="C40" s="1979"/>
      <c r="D40" s="127">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754"/>
      <c r="Q40" s="1350">
        <f t="shared" si="14"/>
        <v>111</v>
      </c>
      <c r="R40" s="706" t="s">
        <v>14</v>
      </c>
      <c r="S40" s="707">
        <f t="shared" si="10"/>
        <v>100</v>
      </c>
      <c r="T40" s="706" t="s">
        <v>14</v>
      </c>
      <c r="U40" s="707">
        <f t="shared" si="11"/>
        <v>100</v>
      </c>
      <c r="V40" s="706" t="s">
        <v>14</v>
      </c>
      <c r="W40" s="707">
        <f t="shared" si="12"/>
        <v>100</v>
      </c>
      <c r="X40" s="708"/>
      <c r="Y40" s="3754"/>
      <c r="Z40" s="709">
        <f t="shared" si="13"/>
        <v>111</v>
      </c>
      <c r="AA40" s="1351">
        <f t="shared" si="3"/>
        <v>1</v>
      </c>
      <c r="AB40" s="1351">
        <f t="shared" si="4"/>
        <v>1</v>
      </c>
      <c r="AC40" s="1351">
        <f t="shared" si="5"/>
        <v>1</v>
      </c>
    </row>
    <row r="41" spans="1:31" ht="15">
      <c r="A41" s="428" t="s">
        <v>1844</v>
      </c>
      <c r="B41" s="1980" t="s">
        <v>1921</v>
      </c>
      <c r="C41" s="628" t="s">
        <v>0</v>
      </c>
      <c r="D41" s="430"/>
      <c r="E41" s="431"/>
      <c r="F41" s="432"/>
      <c r="G41" s="433"/>
      <c r="H41" s="434"/>
      <c r="I41" s="431"/>
      <c r="J41" s="434"/>
      <c r="K41" s="712"/>
      <c r="L41" s="2721"/>
      <c r="M41" s="2713"/>
      <c r="N41" s="2713"/>
      <c r="O41" s="2722"/>
      <c r="P41" s="3747" t="str">
        <f>A41</f>
        <v>成交单价</v>
      </c>
      <c r="Q41" s="3747"/>
      <c r="R41" s="3742">
        <f>E41</f>
        <v>0</v>
      </c>
      <c r="S41" s="3742"/>
      <c r="T41" s="3742">
        <f>G41</f>
        <v>0</v>
      </c>
      <c r="U41" s="3742"/>
      <c r="V41" s="3742">
        <f>I41</f>
        <v>0</v>
      </c>
      <c r="W41" s="3742"/>
      <c r="X41" s="688"/>
      <c r="Y41" s="710"/>
      <c r="Z41" s="688"/>
      <c r="AA41" s="688"/>
      <c r="AB41" s="688"/>
      <c r="AC41" s="688"/>
    </row>
    <row r="42" spans="1:31" ht="15.75" thickBot="1">
      <c r="A42" s="435" t="s">
        <v>1793</v>
      </c>
      <c r="B42" s="629"/>
      <c r="C42" s="438" t="e">
        <f>R43</f>
        <v>#DIV/0!</v>
      </c>
      <c r="D42" s="2315" t="s">
        <v>2137</v>
      </c>
      <c r="E42" s="438" t="e">
        <f>R42</f>
        <v>#DIV/0!</v>
      </c>
      <c r="F42" s="2316"/>
      <c r="G42" s="437" t="e">
        <f>T42</f>
        <v>#DIV/0!</v>
      </c>
      <c r="H42" s="2316"/>
      <c r="I42" s="438" t="e">
        <f>V42</f>
        <v>#DIV/0!</v>
      </c>
      <c r="J42" s="2316"/>
      <c r="K42" s="2318">
        <f>F42+H42+J42</f>
        <v>0</v>
      </c>
      <c r="L42" s="2721"/>
      <c r="M42" s="2713"/>
      <c r="N42" s="2713"/>
      <c r="O42" s="2722"/>
      <c r="P42" s="3747" t="str">
        <f>A42</f>
        <v>比较价值（元/平方米）</v>
      </c>
      <c r="Q42" s="3747"/>
      <c r="R42" s="3775" t="e">
        <f>ROUND(PRODUCT(R41,AA7:AA40),0)</f>
        <v>#DIV/0!</v>
      </c>
      <c r="S42" s="3775"/>
      <c r="T42" s="3775" t="e">
        <f>ROUND(PRODUCT(T41,AB7:AB40),0)</f>
        <v>#DIV/0!</v>
      </c>
      <c r="U42" s="3775"/>
      <c r="V42" s="3775" t="e">
        <f>ROUND(PRODUCT(V41,AC7:AC40),0)</f>
        <v>#DIV/0!</v>
      </c>
      <c r="W42" s="3775"/>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1"/>
      <c r="M43" s="2713"/>
      <c r="N43" s="2713"/>
      <c r="O43" s="2722"/>
      <c r="P43" s="3744" t="str">
        <f>A43</f>
        <v>估价对象XX用房的比较价值（楼面单价，元/平方米）</v>
      </c>
      <c r="Q43" s="3745"/>
      <c r="R43" s="3776" t="e">
        <f>ROUND(IF(D42="简单平均",AVERAGE(R42:W42),R42*F42+T42*H42+V42*J42),0)</f>
        <v>#DIV/0!</v>
      </c>
      <c r="S43" s="3776"/>
      <c r="T43" s="3776"/>
      <c r="U43" s="3776"/>
      <c r="V43" s="3776"/>
      <c r="W43" s="3776"/>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0" t="s">
        <v>1880</v>
      </c>
      <c r="B50" s="631" t="s">
        <v>1881</v>
      </c>
      <c r="C50" s="1981" t="s">
        <v>1882</v>
      </c>
      <c r="D50" s="1982" t="s">
        <v>1883</v>
      </c>
      <c r="E50" s="632" t="s">
        <v>1884</v>
      </c>
      <c r="F50" s="633" t="s">
        <v>1885</v>
      </c>
      <c r="G50" s="3730" t="s">
        <v>1886</v>
      </c>
      <c r="H50" s="3777"/>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1889</v>
      </c>
      <c r="B51" s="635" t="e">
        <f>C43</f>
        <v>#DIV/0!</v>
      </c>
      <c r="C51" s="636">
        <v>1</v>
      </c>
      <c r="D51" s="942">
        <v>1</v>
      </c>
      <c r="E51" s="636">
        <f>'数据-汇总表'!E8+'数据-汇总表'!E9</f>
        <v>85551.93</v>
      </c>
      <c r="F51" s="637" t="e">
        <f t="shared" ref="F51:F60" si="15">ROUND(B51*E51/10000,0)</f>
        <v>#DIV/0!</v>
      </c>
      <c r="G51" s="3729"/>
      <c r="H51" s="3747"/>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1890</v>
      </c>
      <c r="B52" s="216" t="e">
        <f>ROUND($C$43*C52*D52,0)</f>
        <v>#DIV/0!</v>
      </c>
      <c r="C52" s="170">
        <f t="shared" ref="C52:C60" si="16">IF($C$50="北京市系数",I52,J52)</f>
        <v>0.6</v>
      </c>
      <c r="D52" s="943">
        <v>0.25</v>
      </c>
      <c r="E52" s="640"/>
      <c r="F52" s="637" t="e">
        <f t="shared" si="15"/>
        <v>#DIV/0!</v>
      </c>
      <c r="G52" s="3003" t="s">
        <v>1891</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1892</v>
      </c>
      <c r="B53" s="216" t="e">
        <f t="shared" ref="B53:B60" si="17">ROUND($C$43*C53*D53,0)</f>
        <v>#DIV/0!</v>
      </c>
      <c r="C53" s="170">
        <f t="shared" si="16"/>
        <v>0.3</v>
      </c>
      <c r="D53" s="943">
        <v>0.25</v>
      </c>
      <c r="E53" s="640"/>
      <c r="F53" s="637"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1893</v>
      </c>
      <c r="B54" s="216" t="e">
        <f t="shared" si="17"/>
        <v>#DIV/0!</v>
      </c>
      <c r="C54" s="170">
        <f t="shared" si="16"/>
        <v>0.25</v>
      </c>
      <c r="D54" s="943">
        <v>0.25</v>
      </c>
      <c r="E54" s="640"/>
      <c r="F54" s="637"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70"/>
      <c r="D55" s="943"/>
      <c r="E55" s="640"/>
      <c r="F55" s="637"/>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1894</v>
      </c>
      <c r="B56" s="216" t="e">
        <f t="shared" si="17"/>
        <v>#DIV/0!</v>
      </c>
      <c r="C56" s="170">
        <f t="shared" si="16"/>
        <v>0</v>
      </c>
      <c r="D56" s="943">
        <v>0.25</v>
      </c>
      <c r="E56" s="215">
        <f>'数据-汇总表'!E11</f>
        <v>0</v>
      </c>
      <c r="F56" s="637" t="e">
        <f t="shared" si="15"/>
        <v>#DIV/0!</v>
      </c>
      <c r="G56" s="1985"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1896</v>
      </c>
      <c r="B57" s="216" t="e">
        <f t="shared" si="17"/>
        <v>#DIV/0!</v>
      </c>
      <c r="C57" s="170">
        <f t="shared" si="16"/>
        <v>0</v>
      </c>
      <c r="D57" s="943">
        <v>0.25</v>
      </c>
      <c r="E57" s="215">
        <f>'数据-汇总表'!E12</f>
        <v>0</v>
      </c>
      <c r="F57" s="637"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1898</v>
      </c>
      <c r="B58" s="216" t="e">
        <f t="shared" si="17"/>
        <v>#DIV/0!</v>
      </c>
      <c r="C58" s="170">
        <f t="shared" si="16"/>
        <v>0</v>
      </c>
      <c r="D58" s="943">
        <v>0.25</v>
      </c>
      <c r="E58" s="215">
        <f>'数据-汇总表'!E13</f>
        <v>0</v>
      </c>
      <c r="F58" s="637"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1900</v>
      </c>
      <c r="B59" s="216" t="e">
        <f t="shared" si="17"/>
        <v>#DIV/0!</v>
      </c>
      <c r="C59" s="170">
        <f t="shared" si="16"/>
        <v>0.15</v>
      </c>
      <c r="D59" s="943">
        <v>0.25</v>
      </c>
      <c r="E59" s="215">
        <f>'数据-汇总表'!E14</f>
        <v>16275.06</v>
      </c>
      <c r="F59" s="637" t="e">
        <f t="shared" si="15"/>
        <v>#DIV/0!</v>
      </c>
      <c r="G59" s="1985" t="s">
        <v>1891</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5" thickBot="1">
      <c r="A60" s="639" t="s">
        <v>1901</v>
      </c>
      <c r="B60" s="216" t="e">
        <f t="shared" si="17"/>
        <v>#DIV/0!</v>
      </c>
      <c r="C60" s="170">
        <f t="shared" si="16"/>
        <v>0</v>
      </c>
      <c r="D60" s="943">
        <v>0.25</v>
      </c>
      <c r="E60" s="215">
        <f>'数据-汇总表'!E15</f>
        <v>0</v>
      </c>
      <c r="F60" s="637" t="e">
        <f t="shared" si="15"/>
        <v>#DIV/0!</v>
      </c>
      <c r="G60" s="1986"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5" thickBot="1">
      <c r="A61" s="641" t="s">
        <v>1902</v>
      </c>
      <c r="B61" s="642" t="s">
        <v>22</v>
      </c>
      <c r="C61" s="642" t="s">
        <v>23</v>
      </c>
      <c r="D61" s="642" t="s">
        <v>392</v>
      </c>
      <c r="E61" s="642">
        <f>IF(B41="楼面地价",SUM(E51:E60),'数据-汇总表'!D3)</f>
        <v>24498.84</v>
      </c>
      <c r="F61" s="643"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5" customFormat="1" ht="15">
      <c r="A65" s="1987" t="s">
        <v>1903</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2" t="s">
        <v>1923</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5">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5.75"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5.75"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5.75"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5.75"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5.75"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5.75"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6"/>
      <c r="B87" s="485" t="s">
        <v>1906</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6"/>
      <c r="B89" s="485" t="s">
        <v>1907</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75" thickTop="1">
      <c r="A93" s="500"/>
      <c r="B93" s="493" t="s">
        <v>1924</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1"/>
      <c r="B99" s="485" t="s">
        <v>1872</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5"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5.75"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4" t="s">
        <v>1694</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1913</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1915</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1916</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5"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5.75"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2082</v>
      </c>
      <c r="C1" s="3785" t="s">
        <v>2083</v>
      </c>
      <c r="D1" s="3786"/>
      <c r="E1" s="3786"/>
      <c r="F1" s="3786"/>
      <c r="G1" s="3786"/>
      <c r="H1" s="3786"/>
      <c r="I1" s="3786"/>
      <c r="J1" s="3786"/>
      <c r="K1" s="3786"/>
      <c r="L1" s="3786"/>
      <c r="M1" s="3786"/>
      <c r="N1" s="3786"/>
      <c r="O1" s="3786"/>
      <c r="P1" s="3786"/>
      <c r="Q1" s="3786"/>
      <c r="R1" s="3786"/>
      <c r="S1" s="3787"/>
      <c r="T1" s="981" t="s">
        <v>2084</v>
      </c>
    </row>
    <row r="2" spans="1:45" s="653" customFormat="1">
      <c r="A2" s="982"/>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2094</v>
      </c>
      <c r="E19" s="1338"/>
      <c r="F19" s="1338"/>
      <c r="G19" s="1338"/>
      <c r="H19" s="1057"/>
      <c r="I19" s="158"/>
      <c r="J19" s="158"/>
      <c r="K19" s="158"/>
      <c r="L19" s="158"/>
      <c r="M19" s="158"/>
      <c r="N19" s="158"/>
      <c r="O19" s="158"/>
      <c r="P19" s="158"/>
      <c r="Q19" s="158"/>
      <c r="R19" s="716"/>
      <c r="S19" s="128"/>
    </row>
    <row r="20" spans="1:45" ht="16.5" thickBot="1">
      <c r="A20" s="660" t="s">
        <v>2095</v>
      </c>
      <c r="B20" s="292" t="e">
        <f ca="1">IF(D20="——",S22,S22-F20)</f>
        <v>#REF!</v>
      </c>
      <c r="C20" s="158"/>
      <c r="D20" s="2149"/>
      <c r="E20" s="1339"/>
      <c r="F20" s="981" t="e">
        <f ca="1">SUMIF(INDIRECT("'"&amp;H20&amp;"'"&amp;"!A:A"),"承租人权益价值",INDIRECT("'"&amp;H20&amp;"'"&amp;"!c:c"))</f>
        <v>#REF!</v>
      </c>
      <c r="G20" s="981" t="s">
        <v>2096</v>
      </c>
      <c r="H20" s="2150"/>
      <c r="I20" s="158"/>
      <c r="J20" s="158"/>
      <c r="K20" s="158"/>
      <c r="L20" s="158"/>
      <c r="M20" s="158"/>
      <c r="N20" s="158"/>
      <c r="O20" s="158"/>
      <c r="P20" s="158"/>
      <c r="Q20" s="158"/>
      <c r="R20" s="716"/>
      <c r="S20" s="128"/>
    </row>
    <row r="21" spans="1:45" ht="15.75">
      <c r="A21" s="660" t="s">
        <v>2097</v>
      </c>
      <c r="B21" s="292" t="e">
        <f ca="1">ROUND(B20*10000/B22,0)</f>
        <v>#REF!</v>
      </c>
      <c r="C21" s="158"/>
      <c r="D21" s="158"/>
      <c r="E21" s="158"/>
      <c r="F21" s="158"/>
      <c r="G21" s="158"/>
      <c r="H21" s="158"/>
      <c r="I21" s="158"/>
      <c r="J21" s="158"/>
      <c r="K21" s="158"/>
      <c r="L21" s="158"/>
      <c r="M21" s="158"/>
      <c r="N21" s="158"/>
      <c r="O21" s="158"/>
      <c r="P21" s="158"/>
      <c r="Q21" s="158"/>
      <c r="R21" s="716"/>
      <c r="S21" s="128"/>
    </row>
    <row r="22" spans="1:45">
      <c r="A22" s="314" t="s">
        <v>2098</v>
      </c>
      <c r="B22" s="21">
        <f>SUM(B24:B10000)</f>
        <v>0</v>
      </c>
      <c r="C22" s="3782" t="s">
        <v>27</v>
      </c>
      <c r="D22" s="3783"/>
      <c r="E22" s="3783"/>
      <c r="F22" s="3783"/>
      <c r="G22" s="3783"/>
      <c r="H22" s="3783"/>
      <c r="I22" s="3783"/>
      <c r="J22" s="3783"/>
      <c r="K22" s="3783"/>
      <c r="L22" s="3783"/>
      <c r="M22" s="3783"/>
      <c r="N22" s="3783"/>
      <c r="O22" s="3783"/>
      <c r="P22" s="3783"/>
      <c r="Q22" s="3784"/>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2104</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1"/>
      <c r="B4" s="3496" t="s">
        <v>917</v>
      </c>
      <c r="C4" s="3496"/>
      <c r="D4" s="3496"/>
      <c r="E4" s="1491"/>
    </row>
    <row r="5" spans="1:5" ht="16.5" thickTop="1">
      <c r="A5" s="1489"/>
      <c r="B5" s="3494" t="s">
        <v>909</v>
      </c>
      <c r="C5" s="1492" t="s">
        <v>910</v>
      </c>
      <c r="D5" s="848">
        <f ca="1">结果表!H101</f>
        <v>286923</v>
      </c>
      <c r="E5" s="1489"/>
    </row>
    <row r="6" spans="1:5" ht="15.75">
      <c r="A6" s="1489"/>
      <c r="B6" s="3494"/>
      <c r="C6" s="1492" t="s">
        <v>911</v>
      </c>
      <c r="D6" s="848" t="str">
        <f ca="1">NUMBERSTRING(INT(D5*10000),2)&amp;"元整"</f>
        <v>贰拾捌亿陆仟玖佰贰拾叁万元整</v>
      </c>
      <c r="E6" s="1489"/>
    </row>
    <row r="7" spans="1:5" ht="15.75">
      <c r="A7" s="1489"/>
      <c r="B7" s="3499"/>
      <c r="C7" s="1493" t="s">
        <v>912</v>
      </c>
      <c r="D7" s="849">
        <f ca="1">结果表!H102</f>
        <v>23918</v>
      </c>
      <c r="E7" s="1489"/>
    </row>
    <row r="8" spans="1:5" ht="15.75">
      <c r="A8" s="1489"/>
      <c r="B8" s="3500" t="str">
        <f>结果表!E103</f>
        <v>2.估价师知悉的法定优先受偿款</v>
      </c>
      <c r="C8" s="1494" t="s">
        <v>913</v>
      </c>
      <c r="D8" s="849">
        <f>结果表!H103</f>
        <v>0</v>
      </c>
      <c r="E8" s="1489"/>
    </row>
    <row r="9" spans="1:5" ht="15.75">
      <c r="A9" s="1489"/>
      <c r="B9" s="350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93" t="str">
        <f>结果表!E107</f>
        <v>3.房地产抵押价值</v>
      </c>
      <c r="C13" s="1497" t="s">
        <v>910</v>
      </c>
      <c r="D13" s="851">
        <f ca="1">结果表!H107</f>
        <v>286923</v>
      </c>
      <c r="E13" s="1489"/>
    </row>
    <row r="14" spans="1:5" ht="15.75">
      <c r="A14" s="1489"/>
      <c r="B14" s="3494"/>
      <c r="C14" s="1492" t="s">
        <v>911</v>
      </c>
      <c r="D14" s="848" t="str">
        <f ca="1">NUMBERSTRING(INT(D13*10000),2)&amp;"元整"</f>
        <v>贰拾捌亿陆仟玖佰贰拾叁万元整</v>
      </c>
      <c r="E14" s="1489"/>
    </row>
    <row r="15" spans="1:5" ht="15">
      <c r="A15" s="1489"/>
      <c r="B15" s="3499"/>
      <c r="C15" s="1493" t="s">
        <v>921</v>
      </c>
      <c r="D15" s="857">
        <f ca="1">结果表!H108</f>
        <v>23918</v>
      </c>
      <c r="E15" s="1489"/>
    </row>
    <row r="16" spans="1:5" ht="15">
      <c r="A16" s="1489"/>
      <c r="B16" s="3500" t="str">
        <f>结果表!E109</f>
        <v>——</v>
      </c>
      <c r="C16" s="1497" t="s">
        <v>922</v>
      </c>
      <c r="D16" s="1498" t="str">
        <f>结果表!H109</f>
        <v>——</v>
      </c>
      <c r="E16" s="1489"/>
    </row>
    <row r="17" spans="1:5" ht="15.75">
      <c r="A17" s="1489"/>
      <c r="B17" s="3501"/>
      <c r="C17" s="1492" t="s">
        <v>923</v>
      </c>
      <c r="D17" s="848" t="e">
        <f>NUMBERSTRING(INT(D16*10000),2)&amp;"元整"</f>
        <v>#VALUE!</v>
      </c>
      <c r="E17" s="1489"/>
    </row>
    <row r="18" spans="1:5" ht="15">
      <c r="A18" s="1489"/>
      <c r="B18" s="3502"/>
      <c r="C18" s="1493" t="s">
        <v>912</v>
      </c>
      <c r="D18" s="857" t="str">
        <f>结果表!H110</f>
        <v>——</v>
      </c>
      <c r="E18" s="1489"/>
    </row>
    <row r="19" spans="1:5" ht="15.75">
      <c r="A19" s="1489"/>
      <c r="B19" s="3493" t="str">
        <f>结果表!E111</f>
        <v>——</v>
      </c>
      <c r="C19" s="1497" t="s">
        <v>910</v>
      </c>
      <c r="D19" s="849" t="str">
        <f>结果表!H111</f>
        <v>——</v>
      </c>
      <c r="E19" s="1489"/>
    </row>
    <row r="20" spans="1:5" ht="15.75">
      <c r="A20" s="1489"/>
      <c r="B20" s="3494"/>
      <c r="C20" s="1492" t="s">
        <v>923</v>
      </c>
      <c r="D20" s="848" t="e">
        <f>NUMBERSTRING(INT(D19*10000),2)&amp;"元整"</f>
        <v>#VALUE!</v>
      </c>
      <c r="E20" s="1489"/>
    </row>
    <row r="21" spans="1:5" ht="15.75" thickBot="1">
      <c r="A21" s="1489"/>
      <c r="B21" s="349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599">
        <f ca="1">SUMIF(B6:B13,"&lt;&gt;#ref!",B6:B13)</f>
        <v>77088</v>
      </c>
      <c r="C2" s="2143" t="s">
        <v>2073</v>
      </c>
      <c r="D2" s="2143" t="s">
        <v>2074</v>
      </c>
      <c r="E2" s="2609">
        <f ca="1">SUMIF(E6:E13,"&lt;&gt;#ref!",E6:E13)</f>
        <v>119963.53</v>
      </c>
      <c r="F2" s="2790"/>
      <c r="G2" s="2790"/>
      <c r="H2" s="2790"/>
      <c r="I2" s="2790"/>
      <c r="J2" s="2790"/>
      <c r="K2" s="2790"/>
      <c r="L2" s="2790"/>
      <c r="M2" s="2790"/>
      <c r="N2" s="2790"/>
      <c r="O2" s="2790"/>
      <c r="P2" s="2790"/>
    </row>
    <row r="3" spans="1:16" ht="15.75">
      <c r="A3" s="2143" t="s">
        <v>2075</v>
      </c>
      <c r="B3" s="2599">
        <f ca="1">ROUND(B2*10000/E2,0)</f>
        <v>6426</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4"/>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77088</v>
      </c>
      <c r="C6" s="2143" t="s">
        <v>2073</v>
      </c>
      <c r="D6" s="2790"/>
      <c r="E6" s="2609">
        <f ca="1">SUMIF(INDIRECT("'"&amp;A6&amp;"'"&amp;"!C:C"),"建筑面积",INDIRECT("'"&amp;A6&amp;"'"&amp;"!D:D"))</f>
        <v>119963.53</v>
      </c>
      <c r="F6" s="2790"/>
      <c r="G6" s="2790"/>
      <c r="H6" s="2790"/>
      <c r="I6" s="2790"/>
      <c r="J6" s="2790"/>
      <c r="K6" s="2790"/>
      <c r="L6" s="2790"/>
      <c r="M6" s="2790"/>
      <c r="N6" s="2790"/>
      <c r="O6" s="2790"/>
      <c r="P6" s="2790"/>
    </row>
    <row r="7" spans="1:16" ht="15.75">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34" sqref="V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1925</v>
      </c>
      <c r="B1" s="195"/>
      <c r="C1" s="199" t="s">
        <v>1926</v>
      </c>
      <c r="D1" s="340">
        <f>SUM(D33:D34,D37:D42)</f>
        <v>119963.53</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199" t="s">
        <v>1933</v>
      </c>
      <c r="B2" s="202">
        <f>C30</f>
        <v>77088</v>
      </c>
      <c r="C2" s="1997" t="s">
        <v>1934</v>
      </c>
      <c r="D2" s="1998" t="s">
        <v>1935</v>
      </c>
      <c r="E2" s="3419" t="s">
        <v>673</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Ⅶ-房1</v>
      </c>
      <c r="J2" s="2000"/>
      <c r="K2" s="1117"/>
      <c r="L2" s="2001" t="s">
        <v>1938</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12297</v>
      </c>
      <c r="U2" s="3845">
        <f>面积指标!H7</f>
        <v>14320.11</v>
      </c>
      <c r="V2" s="3358">
        <f>ROUND(T2*U2/10000,0)</f>
        <v>17609</v>
      </c>
      <c r="W2" s="1214"/>
      <c r="X2" s="1214"/>
      <c r="Y2" s="1214"/>
      <c r="Z2" s="1214"/>
      <c r="AA2" s="1214"/>
      <c r="AB2" s="1214"/>
      <c r="AC2" s="1215"/>
      <c r="AD2" s="1216"/>
      <c r="AE2" s="1216"/>
      <c r="AF2" s="1216"/>
      <c r="AG2" s="1216"/>
      <c r="AH2" s="1216"/>
      <c r="AI2" s="1216"/>
      <c r="AJ2" s="1217"/>
    </row>
    <row r="3" spans="1:36" ht="15.75">
      <c r="A3" s="201" t="s">
        <v>1939</v>
      </c>
      <c r="B3" s="202">
        <f>ROUND(B2*10000/D1,0)</f>
        <v>6426</v>
      </c>
      <c r="C3" s="1997" t="s">
        <v>1940</v>
      </c>
      <c r="D3" s="1998" t="s">
        <v>1941</v>
      </c>
      <c r="E3" s="3417" t="s">
        <v>2434</v>
      </c>
      <c r="F3" s="2002" t="s">
        <v>3972</v>
      </c>
      <c r="G3" s="750">
        <f>IF(F3="宗地容积率",'数据-汇总表'!I4,IF(F3="估价对象容积率",'数据-汇总表'!I6,'数据-汇总表'!I7))</f>
        <v>3.49</v>
      </c>
      <c r="H3" s="169" t="s">
        <v>1942</v>
      </c>
      <c r="I3" s="773"/>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9692</v>
      </c>
      <c r="U3" s="3845">
        <f>面积指标!H8</f>
        <v>14588.99</v>
      </c>
      <c r="V3" s="3358">
        <f t="shared" ref="V3:V16" si="1">ROUND(T3*U3/10000,0)</f>
        <v>14140</v>
      </c>
      <c r="W3" s="1214"/>
      <c r="X3" s="1214"/>
      <c r="Y3" s="1214"/>
      <c r="Z3" s="1214"/>
      <c r="AA3" s="1214"/>
      <c r="AB3" s="1214"/>
      <c r="AC3" s="1215"/>
      <c r="AD3" s="1216"/>
      <c r="AE3" s="1216"/>
      <c r="AF3" s="1216"/>
      <c r="AG3" s="1216"/>
      <c r="AH3" s="1216"/>
      <c r="AI3" s="1216"/>
      <c r="AJ3" s="1217"/>
    </row>
    <row r="4" spans="1:36" ht="15.75">
      <c r="A4" s="3795"/>
      <c r="B4" s="3796"/>
      <c r="C4" s="3796"/>
      <c r="D4" s="3797"/>
      <c r="E4" s="3797"/>
      <c r="F4" s="3797"/>
      <c r="G4" s="3797"/>
      <c r="H4" s="3797"/>
      <c r="I4" s="3797"/>
      <c r="J4" s="3798"/>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8191</v>
      </c>
      <c r="U4" s="3845">
        <f>面积指标!H9</f>
        <v>14713.93</v>
      </c>
      <c r="V4" s="3358">
        <f t="shared" si="1"/>
        <v>12052</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8440</v>
      </c>
      <c r="D5" s="1337">
        <f>ROUND(C6*C17+C20,0)</f>
        <v>8440</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7225</v>
      </c>
      <c r="U5" s="3845">
        <f>面积指标!H10</f>
        <v>14715.7</v>
      </c>
      <c r="V5" s="3358">
        <f t="shared" si="1"/>
        <v>10632</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8440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6943</v>
      </c>
      <c r="U6" s="3845">
        <f>面积指标!H11</f>
        <v>14978.2</v>
      </c>
      <c r="V6" s="3358">
        <f t="shared" si="1"/>
        <v>10399</v>
      </c>
      <c r="W6" s="1214"/>
      <c r="X6" s="1214"/>
      <c r="Y6" s="1214"/>
      <c r="Z6" s="1214"/>
      <c r="AA6" s="1214"/>
      <c r="AB6" s="1214"/>
      <c r="AC6" s="2009"/>
      <c r="AD6" s="2010"/>
      <c r="AE6" s="2010"/>
      <c r="AF6" s="2010"/>
      <c r="AG6" s="2010"/>
      <c r="AH6" s="2010"/>
      <c r="AI6" s="2010"/>
      <c r="AJ6" s="2011"/>
    </row>
    <row r="7" spans="1:36" ht="24.75" thickBot="1">
      <c r="A7" s="3301" t="s">
        <v>3232</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8440</v>
      </c>
      <c r="N7" s="864">
        <f>SUMPRODUCT((因素修正幅度!B190:B233=I2)*(因素修正幅度!C3:G3=E2)*(因素修正幅度!C190:G233))</f>
        <v>0.13</v>
      </c>
      <c r="O7" s="1117"/>
      <c r="P7" s="1117"/>
      <c r="Q7" s="1117"/>
      <c r="R7" s="1210">
        <v>6</v>
      </c>
      <c r="S7" s="3416">
        <f>AE10</f>
        <v>0.83850000000000002</v>
      </c>
      <c r="T7" s="3358">
        <f t="shared" si="0"/>
        <v>6865</v>
      </c>
      <c r="U7" s="3845">
        <f>面积指标!H12</f>
        <v>12235</v>
      </c>
      <c r="V7" s="3358">
        <f t="shared" si="1"/>
        <v>8399</v>
      </c>
      <c r="W7" s="1356" t="s">
        <v>1954</v>
      </c>
      <c r="X7" s="1212" t="str">
        <f>G2</f>
        <v>七级</v>
      </c>
      <c r="Y7" s="1212" t="s">
        <v>1955</v>
      </c>
      <c r="Z7" s="1213">
        <f>G3</f>
        <v>3.49</v>
      </c>
      <c r="AA7" s="1214"/>
      <c r="AB7" s="1214"/>
      <c r="AC7" s="1215"/>
      <c r="AD7" s="1216"/>
      <c r="AE7" s="1216"/>
      <c r="AF7" s="1216"/>
      <c r="AG7" s="1216"/>
      <c r="AH7" s="1216"/>
      <c r="AI7" s="1216"/>
      <c r="AJ7" s="1217"/>
    </row>
    <row r="8" spans="1:36" ht="25.5">
      <c r="A8" s="3296"/>
      <c r="B8" s="169" t="s">
        <v>1956</v>
      </c>
      <c r="C8" s="2024" t="s">
        <v>3973</v>
      </c>
      <c r="D8" s="754" t="s">
        <v>112</v>
      </c>
      <c r="E8" s="755" t="e">
        <f>ROUND(C11/E7,4)</f>
        <v>#DIV/0!</v>
      </c>
      <c r="F8" s="2025" t="s">
        <v>1957</v>
      </c>
      <c r="G8" s="2026"/>
      <c r="H8" s="2026"/>
      <c r="I8" s="2026"/>
      <c r="J8" s="2027"/>
      <c r="K8" s="1117"/>
      <c r="L8" s="2001" t="s">
        <v>1958</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792" t="s">
        <v>1959</v>
      </c>
      <c r="X8" s="3793"/>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69" t="s">
        <v>1972</v>
      </c>
      <c r="C9" s="756">
        <f>SUMIF(修正!C71:C138,C8,修正!E71:E138)</f>
        <v>0</v>
      </c>
      <c r="D9" s="170" t="s">
        <v>113</v>
      </c>
      <c r="E9" s="170"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794"/>
      <c r="X9" s="3359" t="s">
        <v>3262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1975</v>
      </c>
      <c r="C10" s="170">
        <f>SUMIF(修正!C71:C138,C8,修正!F71:F138)</f>
        <v>0</v>
      </c>
      <c r="D10" s="170" t="s">
        <v>114</v>
      </c>
      <c r="E10" s="170"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79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3233</v>
      </c>
      <c r="B12" s="3302" t="s">
        <v>3234</v>
      </c>
      <c r="C12" s="3303">
        <v>1</v>
      </c>
      <c r="D12" s="3304" t="s">
        <v>3235</v>
      </c>
      <c r="E12" s="3305" t="s">
        <v>3236</v>
      </c>
      <c r="F12" s="3306"/>
      <c r="G12" s="3307"/>
      <c r="H12" s="3307"/>
      <c r="I12" s="3307"/>
      <c r="J12" s="3308"/>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3237</v>
      </c>
      <c r="B13" s="2032" t="s">
        <v>1981</v>
      </c>
      <c r="C13" s="753">
        <f>ROUND(C16*D16*E16*F16*G16*H16*I16*J16,4)</f>
        <v>0</v>
      </c>
      <c r="D13" s="2033" t="s">
        <v>1982</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3238</v>
      </c>
      <c r="G14" s="3309" t="s">
        <v>3238</v>
      </c>
      <c r="H14" s="3309" t="s">
        <v>3238</v>
      </c>
      <c r="I14" s="3309" t="s">
        <v>3238</v>
      </c>
      <c r="J14" s="3309" t="s">
        <v>3238</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3239</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3240</v>
      </c>
      <c r="B17" s="3318" t="s">
        <v>3241</v>
      </c>
      <c r="C17" s="3328">
        <f>ROUND(IF(OR(E2="工业",E2="公共服务"),1,IF(AND(E18=0,E19=0),1,IF(AND(E18=J24,E19=G19),0.8,IF(E19=0,1+E17*(-0.2),1+E17*G17*(-0.2))))),4)</f>
        <v>1</v>
      </c>
      <c r="D17" s="3319" t="s">
        <v>3242</v>
      </c>
      <c r="E17" s="3328">
        <f>ROUND(G18/I18,2)</f>
        <v>0</v>
      </c>
      <c r="F17" s="3319" t="s">
        <v>3245</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3243</v>
      </c>
      <c r="E18" s="3326"/>
      <c r="F18" s="3321" t="s">
        <v>3246</v>
      </c>
      <c r="G18" s="3325">
        <f>ROUND(1-(1/(POWER(1+G24,E18))),4)</f>
        <v>0</v>
      </c>
      <c r="H18" s="3321" t="s">
        <v>3248</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3244</v>
      </c>
      <c r="E19" s="3335"/>
      <c r="F19" s="3336" t="s">
        <v>3247</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99" t="s">
        <v>3249</v>
      </c>
      <c r="B20" s="166" t="s">
        <v>1993</v>
      </c>
      <c r="C20" s="3322">
        <f>ROUND(IF(F21="与级别开发程度一致",0,(G21-E21)/C21),0)</f>
        <v>0</v>
      </c>
      <c r="D20" s="3338" t="s">
        <v>1997</v>
      </c>
      <c r="E20" s="3339"/>
      <c r="F20" s="3805" t="s">
        <v>1994</v>
      </c>
      <c r="G20" s="3806"/>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800"/>
      <c r="B21" s="2162" t="s">
        <v>1996</v>
      </c>
      <c r="C21" s="2163">
        <f>IF(E3="M4科研用地",SUMPRODUCT((修正!A2:A7=E3)*(修正!B1:M1=G2)*(修正!B2:M7)),SUMPRODUCT((修正!A2:A7=E2)*(修正!B1:M1=G2)*(修正!B2:M7)))</f>
        <v>2.5</v>
      </c>
      <c r="D21" s="185" t="str">
        <f>IF(OR(G2="八级",G2="九级",G2="十级",G2="十一级",G2="十二级"),"五通一平","七通一平")</f>
        <v>七通一平</v>
      </c>
      <c r="E21" s="2153">
        <f>SUMPRODUCT((修正!B1:M1=G2)*(修正!B17:M17))</f>
        <v>315</v>
      </c>
      <c r="F21" s="2154" t="s">
        <v>3974</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2" t="s">
        <v>2001</v>
      </c>
      <c r="E23" s="759">
        <v>44197</v>
      </c>
      <c r="F23" s="2052" t="s">
        <v>2002</v>
      </c>
      <c r="G23" s="760">
        <f>'数据-取费表'!B2</f>
        <v>45317</v>
      </c>
      <c r="H23" s="3340" t="s">
        <v>3250</v>
      </c>
      <c r="I23" s="3341" t="str">
        <f>IF(H23="季度增幅（自定义）",SUMIF(N25:N28,E2,O25:O28),"")</f>
        <v/>
      </c>
      <c r="J23" s="3443" t="s">
        <v>3983</v>
      </c>
      <c r="K23" s="1123"/>
      <c r="L23" s="2053" t="s">
        <v>2003</v>
      </c>
      <c r="M23" s="1326">
        <f>ROUND(SUMIF(地价!B2:G2,E2,地价!B16:G16),0)</f>
        <v>350</v>
      </c>
      <c r="N23" s="2054" t="s">
        <v>2004</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0.878</v>
      </c>
      <c r="D24" s="2058" t="s">
        <v>2006</v>
      </c>
      <c r="E24" s="1333">
        <f>存贷款利率!E24/100</f>
        <v>4.3499999999999997E-2</v>
      </c>
      <c r="F24" s="2058" t="s">
        <v>1998</v>
      </c>
      <c r="G24" s="766">
        <f>SUMIF(M30:Q30,E2,M33:Q33)</f>
        <v>5.5E-2</v>
      </c>
      <c r="H24" s="2058" t="s">
        <v>2007</v>
      </c>
      <c r="I24" s="767">
        <f>SUMIF('数据-取费表'!C6:C15,E2,'数据-取费表'!F6:F15)/COUNTIF('数据-取费表'!C6:C15,E2)</f>
        <v>27.85</v>
      </c>
      <c r="J24" s="768">
        <f>IF(E2="住宅",70,IF(E2="商业",40,50))</f>
        <v>40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3329</v>
      </c>
      <c r="C25" s="769">
        <f>IF(B25="容积率修正",IF(G3&lt;10,D26,J26),C27)</f>
        <v>0.95240000000000002</v>
      </c>
      <c r="D25" s="2065"/>
      <c r="E25" s="2065"/>
      <c r="F25" s="2065"/>
      <c r="G25" s="2065"/>
      <c r="H25" s="2065"/>
      <c r="I25" s="2065"/>
      <c r="J25" s="2066"/>
      <c r="K25" s="1123"/>
      <c r="L25" s="2785"/>
      <c r="M25" s="2785"/>
      <c r="N25" s="2067" t="s">
        <v>2012</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3251</v>
      </c>
      <c r="D26" s="1350">
        <f>IF(E26=G26,F26,IF(G3&lt;10,ROUND(F26+(H26-F26)*(G3-E26)/(G26-E26),4),"——"))</f>
        <v>0.95240000000000002</v>
      </c>
      <c r="E26" s="750">
        <f>ROUNDDOWN(G3,1)</f>
        <v>3.4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2" t="s">
        <v>3252</v>
      </c>
      <c r="J26" s="770" t="str">
        <f>IF(G3&gt;=10,D115,"——")</f>
        <v>——</v>
      </c>
      <c r="K26" s="1123"/>
      <c r="L26" s="2785"/>
      <c r="M26" s="2785"/>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0</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1.0584</v>
      </c>
      <c r="D28" s="2050"/>
      <c r="E28" s="2075"/>
      <c r="F28" s="2075"/>
      <c r="G28" s="2075"/>
      <c r="H28" s="2075"/>
      <c r="I28" s="2075"/>
      <c r="J28" s="2076"/>
      <c r="K28" s="1123"/>
      <c r="L28" s="2785"/>
      <c r="M28" s="2785"/>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2" t="s">
        <v>2022</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77088</v>
      </c>
      <c r="D30" s="2081"/>
      <c r="E30" s="2044"/>
      <c r="F30" s="2082"/>
      <c r="G30" s="2044"/>
      <c r="H30" s="2044"/>
      <c r="I30" s="2044"/>
      <c r="J30" s="2083"/>
      <c r="K30" s="1117"/>
      <c r="L30" s="3348" t="s">
        <v>1935</v>
      </c>
      <c r="M30" s="3349" t="s">
        <v>1989</v>
      </c>
      <c r="N30" s="3349" t="s">
        <v>1990</v>
      </c>
      <c r="O30" s="3349" t="s">
        <v>1991</v>
      </c>
      <c r="P30" s="3349" t="s">
        <v>1992</v>
      </c>
      <c r="Q30" s="3352" t="s">
        <v>3256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2594</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4">
        <f>ROUND(C5*C22*C23*C24*C25*C28,0)</f>
        <v>7798</v>
      </c>
      <c r="D33" s="2096">
        <f>'数据-基础表'!I13</f>
        <v>85551.93</v>
      </c>
      <c r="E33" s="771">
        <f>ROUND(C33*D33/10000,0)</f>
        <v>66713</v>
      </c>
      <c r="F33" s="3343" t="s">
        <v>3254</v>
      </c>
      <c r="G33" s="2097"/>
      <c r="H33" s="2097"/>
      <c r="I33" s="2097"/>
      <c r="J33" s="2098"/>
      <c r="K33" s="1117"/>
      <c r="L33" s="3346" t="s">
        <v>3257</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5">
        <f>ROUND(IF(E2="工业",C33*M42,IF(B25="楼层修正",SUM(V2:V16)*M41*10000/D34,C33*M41)),0)</f>
        <v>1950</v>
      </c>
      <c r="D34" s="2101"/>
      <c r="E34" s="771">
        <f>ROUND(IF(B25="楼层修正",SUM(V2:V16)*M40,C34*D34/10000),0)</f>
        <v>0</v>
      </c>
      <c r="F34" s="2102" t="s">
        <v>2031</v>
      </c>
      <c r="G34" s="2103"/>
      <c r="H34" s="2103"/>
      <c r="I34" s="2103"/>
      <c r="J34" s="2104"/>
      <c r="K34" s="1117"/>
      <c r="L34" s="3346" t="s">
        <v>3258</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3255</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2026</v>
      </c>
      <c r="D36" s="445" t="s">
        <v>2027</v>
      </c>
      <c r="E36" s="445" t="s">
        <v>2028</v>
      </c>
      <c r="F36" s="340" t="s">
        <v>2034</v>
      </c>
      <c r="G36" s="2110" t="s">
        <v>2026</v>
      </c>
      <c r="H36" s="2110" t="s">
        <v>2027</v>
      </c>
      <c r="I36" s="2110" t="s">
        <v>2028</v>
      </c>
      <c r="J36" s="241"/>
      <c r="K36" s="3354" t="s">
        <v>3259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3"/>
      <c r="B37" s="2111" t="s">
        <v>2035</v>
      </c>
      <c r="C37" s="174">
        <f>ROUND(D5*C22*C23*C24*C28*F37,0)</f>
        <v>4912</v>
      </c>
      <c r="D37" s="3844">
        <f>'土地比较法-住宅、综合'!E57</f>
        <v>15467.050000000001</v>
      </c>
      <c r="E37" s="170">
        <f>ROUND(C37*D37/10000,0)</f>
        <v>7597</v>
      </c>
      <c r="F37" s="170">
        <f>SUMIF(修正!A57:A68,G2,修正!B57:B68)</f>
        <v>0.6</v>
      </c>
      <c r="G37" s="170">
        <f>ROUND(IF(E2="工业",C37*$M$42,C37*$M$41),0)</f>
        <v>1228</v>
      </c>
      <c r="H37" s="170">
        <f>D37</f>
        <v>15467.050000000001</v>
      </c>
      <c r="I37" s="170">
        <f>ROUND(G37*H37/10000,0)</f>
        <v>1899</v>
      </c>
      <c r="J37" s="3009"/>
      <c r="K37" s="3356" t="s">
        <v>3260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4"/>
      <c r="B38" s="2039" t="s">
        <v>2036</v>
      </c>
      <c r="C38" s="174">
        <f>ROUND(D5*C22*C23*C24*C28*F38,0)</f>
        <v>2456</v>
      </c>
      <c r="D38" s="3844">
        <f>'土地比较法-住宅、综合'!E58</f>
        <v>2669.4900000000071</v>
      </c>
      <c r="E38" s="170">
        <f t="shared" ref="E38:E42" si="4">ROUND(C38*D38/10000,0)</f>
        <v>656</v>
      </c>
      <c r="F38" s="170">
        <f>SUMIF(修正!A57:A68,G2,修正!C57:C68)</f>
        <v>0.3</v>
      </c>
      <c r="G38" s="170">
        <f>ROUND(IF(E2="工业",C38*$M$42,C38*$M$41),0)</f>
        <v>614</v>
      </c>
      <c r="H38" s="170">
        <f t="shared" ref="H38:H42" si="5">D38</f>
        <v>2669.4900000000071</v>
      </c>
      <c r="I38" s="170">
        <f t="shared" ref="I38:I42" si="6">ROUND(G38*H38/10000,0)</f>
        <v>164</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4"/>
      <c r="B39" s="2039" t="s">
        <v>3253</v>
      </c>
      <c r="C39" s="174">
        <f>ROUND(D5*C22*C23*C24*C28*F39,0)</f>
        <v>2047</v>
      </c>
      <c r="D39" s="2096"/>
      <c r="E39" s="170">
        <f t="shared" si="4"/>
        <v>0</v>
      </c>
      <c r="F39" s="170">
        <f>SUMIF(修正!A57:A68,G2,修正!D57:D68)</f>
        <v>0.25</v>
      </c>
      <c r="G39" s="170">
        <f>ROUND(IF(E2="工业",C39*$M$42,C39*$M$41),0)</f>
        <v>512</v>
      </c>
      <c r="H39" s="170">
        <f t="shared" si="5"/>
        <v>0</v>
      </c>
      <c r="I39" s="170">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0">
        <f>ROUND(D5*C22*C23*C24*C28*F40,0)</f>
        <v>2047</v>
      </c>
      <c r="D40" s="2096"/>
      <c r="E40" s="170">
        <f t="shared" si="4"/>
        <v>0</v>
      </c>
      <c r="F40" s="174">
        <f>SUMIF(修正!A57:A68,G2,修正!E57:E68)</f>
        <v>0.25</v>
      </c>
      <c r="G40" s="170">
        <f>ROUND(IF(E2="工业",C40*$M$42,C40*$M$41),0)</f>
        <v>512</v>
      </c>
      <c r="H40" s="170">
        <f t="shared" si="5"/>
        <v>0</v>
      </c>
      <c r="I40" s="170">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0">
        <f>ROUND(D5*C22*C23*C44*C28*F41,0)</f>
        <v>2174</v>
      </c>
      <c r="D41" s="2096"/>
      <c r="E41" s="170">
        <f t="shared" si="4"/>
        <v>0</v>
      </c>
      <c r="F41" s="174">
        <f>SUMIF(修正!A57:A68,G2,修正!F57:F68)</f>
        <v>0.25</v>
      </c>
      <c r="G41" s="170">
        <f>ROUND(IF(E2="工业",C41*$M$42,C41*$M$41),0)</f>
        <v>544</v>
      </c>
      <c r="H41" s="170">
        <f t="shared" si="5"/>
        <v>0</v>
      </c>
      <c r="I41" s="170">
        <f t="shared" si="6"/>
        <v>0</v>
      </c>
      <c r="J41" s="2112"/>
      <c r="L41" s="3357" t="s">
        <v>3261</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5">
        <f>ROUND(D5*C22*C23*C44*C28*F42,0)</f>
        <v>1304</v>
      </c>
      <c r="D42" s="2101">
        <f>'数据-基础表'!M13</f>
        <v>16275.06</v>
      </c>
      <c r="E42" s="185">
        <f t="shared" si="4"/>
        <v>2122</v>
      </c>
      <c r="F42" s="765">
        <f>SUMIF(修正!A57:A68,G2,修正!G57:G68)</f>
        <v>0.15</v>
      </c>
      <c r="G42" s="185">
        <f>ROUND(IF(E2="工业",C42*$M$42,C42*$M$41),0)</f>
        <v>326</v>
      </c>
      <c r="H42" s="185">
        <f t="shared" si="5"/>
        <v>16275.06</v>
      </c>
      <c r="I42" s="185">
        <f t="shared" si="6"/>
        <v>531</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0">
        <f>ROUND(POWER(1+E44,H44-G44)*(POWER(1+E44,G44)-1)/(POWER(1+E44,H44)-1),4)</f>
        <v>0.93240000000000001</v>
      </c>
      <c r="D44" s="170" t="s">
        <v>1998</v>
      </c>
      <c r="E44" s="2151">
        <f>G24</f>
        <v>5.5E-2</v>
      </c>
      <c r="F44" s="170" t="s">
        <v>2007</v>
      </c>
      <c r="G44" s="3846">
        <f>项目基本情况!F15</f>
        <v>37.86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2042</v>
      </c>
      <c r="B48" s="2125">
        <f>1+E50</f>
        <v>1.0584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2043</v>
      </c>
      <c r="B49" s="1349" t="s">
        <v>2044</v>
      </c>
      <c r="C49" s="1349" t="s">
        <v>2045</v>
      </c>
      <c r="D49" s="1349" t="s">
        <v>2046</v>
      </c>
      <c r="E49" s="741" t="s">
        <v>2047</v>
      </c>
      <c r="F49" s="2129" t="s">
        <v>2048</v>
      </c>
      <c r="G49" s="1349" t="s">
        <v>310</v>
      </c>
      <c r="H49" s="2130" t="s">
        <v>2049</v>
      </c>
      <c r="I49" s="1349" t="s">
        <v>2050</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24.75">
      <c r="A50" s="2128" t="s">
        <v>2051</v>
      </c>
      <c r="B50" s="2131">
        <f>估价对象房地状况!C4</f>
        <v>0</v>
      </c>
      <c r="C50" s="2042" t="s">
        <v>3965</v>
      </c>
      <c r="D50" s="1063">
        <f t="shared" ref="D50:D58" si="7">SUMIF($J$49:$N$49,C50,J50:N50)</f>
        <v>1.95E-2</v>
      </c>
      <c r="E50" s="742">
        <f>ROUND(SUM(D50:D58),4)</f>
        <v>5.8400000000000001E-2</v>
      </c>
      <c r="F50" s="1812">
        <f>IF(E2="商业",SUMIF(L1:L12,G2,N1:N12),"——")</f>
        <v>0.13</v>
      </c>
      <c r="G50" s="1061">
        <f>H50</f>
        <v>1.95E-2</v>
      </c>
      <c r="H50" s="1064">
        <f t="shared" ref="H50:H58" si="8">IFERROR(ROUNDDOWN($F$50*I50/2,4),"——")</f>
        <v>1.95E-2</v>
      </c>
      <c r="I50" s="3364">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14.25">
      <c r="A51" s="2128" t="s">
        <v>2052</v>
      </c>
      <c r="B51" s="2132">
        <f>估价对象房地状况!C18</f>
        <v>0</v>
      </c>
      <c r="C51" s="2042" t="s">
        <v>3965</v>
      </c>
      <c r="D51" s="1063">
        <f t="shared" si="7"/>
        <v>1.43E-2</v>
      </c>
      <c r="E51" s="743"/>
      <c r="F51" s="1812"/>
      <c r="G51" s="1061">
        <f t="shared" ref="G51:G58" si="12">H51</f>
        <v>1.43E-2</v>
      </c>
      <c r="H51" s="1064">
        <f t="shared" si="8"/>
        <v>1.43E-2</v>
      </c>
      <c r="I51" s="3364">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6" t="s">
        <v>3263</v>
      </c>
      <c r="B52" s="2132">
        <f>估价对象房地状况!C19</f>
        <v>0</v>
      </c>
      <c r="C52" s="2042" t="s">
        <v>3965</v>
      </c>
      <c r="D52" s="1063">
        <f t="shared" si="7"/>
        <v>7.7999999999999996E-3</v>
      </c>
      <c r="E52" s="743"/>
      <c r="F52" s="1812"/>
      <c r="G52" s="1061">
        <f t="shared" si="12"/>
        <v>7.7999999999999996E-3</v>
      </c>
      <c r="H52" s="1064">
        <f t="shared" si="8"/>
        <v>7.7999999999999996E-3</v>
      </c>
      <c r="I52" s="3364">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2053</v>
      </c>
      <c r="B53" s="2133" t="s">
        <v>2054</v>
      </c>
      <c r="C53" s="2042" t="s">
        <v>3965</v>
      </c>
      <c r="D53" s="1063">
        <f t="shared" si="7"/>
        <v>3.2000000000000002E-3</v>
      </c>
      <c r="E53" s="743"/>
      <c r="F53" s="1812"/>
      <c r="G53" s="1061">
        <f t="shared" si="12"/>
        <v>3.2000000000000002E-3</v>
      </c>
      <c r="H53" s="1064">
        <f t="shared" si="8"/>
        <v>3.2000000000000002E-3</v>
      </c>
      <c r="I53" s="3364">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2055</v>
      </c>
      <c r="B54" s="2132">
        <f>估价对象房地状况!C24</f>
        <v>0</v>
      </c>
      <c r="C54" s="2042" t="s">
        <v>3965</v>
      </c>
      <c r="D54" s="1063">
        <f t="shared" si="7"/>
        <v>5.1999999999999998E-3</v>
      </c>
      <c r="E54" s="743"/>
      <c r="F54" s="1812"/>
      <c r="G54" s="1061">
        <f t="shared" si="12"/>
        <v>5.1999999999999998E-3</v>
      </c>
      <c r="H54" s="1064">
        <f t="shared" si="8"/>
        <v>5.1999999999999998E-3</v>
      </c>
      <c r="I54" s="3364">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2056</v>
      </c>
      <c r="B55" s="2134" t="s">
        <v>2057</v>
      </c>
      <c r="C55" s="2042" t="s">
        <v>3965</v>
      </c>
      <c r="D55" s="1063">
        <f t="shared" si="7"/>
        <v>3.2000000000000002E-3</v>
      </c>
      <c r="E55" s="743"/>
      <c r="F55" s="1812"/>
      <c r="G55" s="1061">
        <f t="shared" si="12"/>
        <v>3.2000000000000002E-3</v>
      </c>
      <c r="H55" s="1064">
        <f t="shared" si="8"/>
        <v>3.2000000000000002E-3</v>
      </c>
      <c r="I55" s="3364">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4">
      <c r="A56" s="2135" t="s">
        <v>2058</v>
      </c>
      <c r="B56" s="1324">
        <f>估价对象房地状况!C21</f>
        <v>0</v>
      </c>
      <c r="C56" s="2042" t="s">
        <v>3966</v>
      </c>
      <c r="D56" s="1063">
        <f t="shared" si="7"/>
        <v>0</v>
      </c>
      <c r="E56" s="743"/>
      <c r="F56" s="1812"/>
      <c r="G56" s="1061">
        <f t="shared" si="12"/>
        <v>3.2000000000000002E-3</v>
      </c>
      <c r="H56" s="1064">
        <f t="shared" si="8"/>
        <v>3.2000000000000002E-3</v>
      </c>
      <c r="I56" s="3364">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4">
      <c r="A57" s="2135" t="s">
        <v>2059</v>
      </c>
      <c r="B57" s="2132">
        <f>估价对象房地状况!C22</f>
        <v>0</v>
      </c>
      <c r="C57" s="2042" t="s">
        <v>3965</v>
      </c>
      <c r="D57" s="1063">
        <f t="shared" si="7"/>
        <v>5.1999999999999998E-3</v>
      </c>
      <c r="E57" s="743"/>
      <c r="F57" s="1812"/>
      <c r="G57" s="1061">
        <f t="shared" si="12"/>
        <v>5.1999999999999998E-3</v>
      </c>
      <c r="H57" s="1064">
        <f t="shared" si="8"/>
        <v>5.1999999999999998E-3</v>
      </c>
      <c r="I57" s="3364">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4.75" thickBot="1">
      <c r="A58" s="2136" t="s">
        <v>2060</v>
      </c>
      <c r="B58" s="2137">
        <f>估价对象房地状况!C20</f>
        <v>0</v>
      </c>
      <c r="C58" s="2042" t="s">
        <v>3966</v>
      </c>
      <c r="D58" s="1063">
        <f t="shared" si="7"/>
        <v>0</v>
      </c>
      <c r="E58" s="744"/>
      <c r="F58" s="1812"/>
      <c r="G58" s="1061">
        <f t="shared" si="12"/>
        <v>3.2000000000000002E-3</v>
      </c>
      <c r="H58" s="1064">
        <f t="shared" si="8"/>
        <v>3.2000000000000002E-3</v>
      </c>
      <c r="I58" s="3365">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1" t="s">
        <v>2047</v>
      </c>
      <c r="F60" s="2129" t="s">
        <v>2062</v>
      </c>
      <c r="G60" s="1349" t="s">
        <v>310</v>
      </c>
      <c r="H60" s="2130" t="s">
        <v>2049</v>
      </c>
      <c r="I60" s="1349" t="s">
        <v>2050</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24">
      <c r="A61" s="2128" t="s">
        <v>2063</v>
      </c>
      <c r="B61" s="2131">
        <f>估价对象房地状况!C17</f>
        <v>0</v>
      </c>
      <c r="C61" s="2042"/>
      <c r="D61" s="1063">
        <f t="shared" ref="D61:D69" si="13">SUMIF($J$60:$N$60,C61,J61:N61)</f>
        <v>0</v>
      </c>
      <c r="E61" s="742">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8" t="s">
        <v>2052</v>
      </c>
      <c r="B62" s="2132">
        <f>估价对象房地状况!C18</f>
        <v>0</v>
      </c>
      <c r="C62" s="2042"/>
      <c r="D62" s="1063">
        <f t="shared" si="13"/>
        <v>0</v>
      </c>
      <c r="E62" s="743"/>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6" t="s">
        <v>3263</v>
      </c>
      <c r="B63" s="2132">
        <f>估价对象房地状况!C19</f>
        <v>0</v>
      </c>
      <c r="C63" s="2042"/>
      <c r="D63" s="1063">
        <f t="shared" si="13"/>
        <v>0</v>
      </c>
      <c r="E63" s="743"/>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2053</v>
      </c>
      <c r="B64" s="2133" t="s">
        <v>2054</v>
      </c>
      <c r="C64" s="2042"/>
      <c r="D64" s="1063">
        <f t="shared" si="13"/>
        <v>0</v>
      </c>
      <c r="E64" s="743"/>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c r="D65" s="1063">
        <f t="shared" si="13"/>
        <v>0</v>
      </c>
      <c r="E65" s="743"/>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2056</v>
      </c>
      <c r="B66" s="2134" t="s">
        <v>2057</v>
      </c>
      <c r="C66" s="2042"/>
      <c r="D66" s="1063">
        <f t="shared" si="13"/>
        <v>0</v>
      </c>
      <c r="E66" s="743"/>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8" t="s">
        <v>2058</v>
      </c>
      <c r="B67" s="1324">
        <f>估价对象房地状况!C21</f>
        <v>0</v>
      </c>
      <c r="C67" s="2042"/>
      <c r="D67" s="1063">
        <f t="shared" si="13"/>
        <v>0</v>
      </c>
      <c r="E67" s="743"/>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8" t="s">
        <v>2059</v>
      </c>
      <c r="B68" s="1324">
        <f>估价对象房地状况!C22</f>
        <v>0</v>
      </c>
      <c r="C68" s="2042"/>
      <c r="D68" s="1063">
        <f t="shared" si="13"/>
        <v>0</v>
      </c>
      <c r="E68" s="743"/>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6" t="s">
        <v>2060</v>
      </c>
      <c r="B69" s="2138">
        <f>估价对象房地状况!C20</f>
        <v>0</v>
      </c>
      <c r="C69" s="2042"/>
      <c r="D69" s="1063">
        <f t="shared" si="13"/>
        <v>0</v>
      </c>
      <c r="E69" s="744"/>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1" t="s">
        <v>2047</v>
      </c>
      <c r="F71" s="2129" t="s">
        <v>2062</v>
      </c>
      <c r="G71" s="1349" t="s">
        <v>310</v>
      </c>
      <c r="H71" s="2130" t="s">
        <v>2049</v>
      </c>
      <c r="I71" s="1349" t="s">
        <v>2050</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24">
      <c r="A72" s="2128" t="s">
        <v>2065</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2052</v>
      </c>
      <c r="B73" s="2132">
        <f>估价对象房地状况!C18</f>
        <v>0</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3263</v>
      </c>
      <c r="B74" s="2132">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2058</v>
      </c>
      <c r="B76" s="1324">
        <f>估价对象房地状况!C21</f>
        <v>0</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2059</v>
      </c>
      <c r="B77" s="1324">
        <f>估价对象房地状况!C22</f>
        <v>0</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2056</v>
      </c>
      <c r="B78" s="2134" t="s">
        <v>2057</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2060</v>
      </c>
      <c r="B79" s="2131">
        <f>估价对象房地状况!C20</f>
        <v>0</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6" t="s">
        <v>2067</v>
      </c>
      <c r="B80" s="2140"/>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4" t="s">
        <v>2068</v>
      </c>
      <c r="B81" s="2125">
        <f>1+E83</f>
        <v>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0" t="s">
        <v>1721</v>
      </c>
      <c r="K82" s="550" t="s">
        <v>1722</v>
      </c>
      <c r="L82" s="550" t="s">
        <v>1723</v>
      </c>
      <c r="M82" s="550" t="s">
        <v>1724</v>
      </c>
      <c r="N82" s="550" t="s">
        <v>1725</v>
      </c>
      <c r="Z82" s="1996"/>
      <c r="AA82" s="2051"/>
      <c r="AG82" s="1119"/>
      <c r="AK82" s="2051"/>
    </row>
    <row r="83" spans="1:37" ht="38.25">
      <c r="A83" s="2128" t="s">
        <v>2069</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2052</v>
      </c>
      <c r="B84" s="2132">
        <f>估价对象房地状况!G16</f>
        <v>0</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3264</v>
      </c>
      <c r="B85" s="2132">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8" t="s">
        <v>2066</v>
      </c>
      <c r="B86" s="2132">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4">
      <c r="A87" s="2128" t="s">
        <v>2058</v>
      </c>
      <c r="B87" s="1324">
        <f>估价对象房地状况!G19</f>
        <v>0</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4">
      <c r="A88" s="2128" t="s">
        <v>2059</v>
      </c>
      <c r="B88" s="1324">
        <f>估价对象房地状况!G20</f>
        <v>0</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24">
      <c r="A89" s="2128" t="s">
        <v>2056</v>
      </c>
      <c r="B89" s="2134" t="s">
        <v>2070</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15" thickBot="1">
      <c r="A90" s="2136" t="s">
        <v>2071</v>
      </c>
      <c r="B90" s="2141">
        <f>估价对象房地状况!G18</f>
        <v>0</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2607</v>
      </c>
      <c r="B91" s="3375">
        <f>1+E93</f>
        <v>1</v>
      </c>
      <c r="C91" s="3368"/>
      <c r="D91" s="3369"/>
      <c r="E91" s="1812"/>
      <c r="F91" s="1812"/>
      <c r="G91" s="3370"/>
      <c r="H91" s="3371"/>
      <c r="I91" s="3372"/>
      <c r="J91" s="3373"/>
      <c r="K91" s="3373"/>
      <c r="L91" s="3373"/>
      <c r="M91" s="3373"/>
      <c r="N91" s="3373"/>
    </row>
    <row r="92" spans="1:37" ht="24.75">
      <c r="A92" s="3376" t="s">
        <v>3265</v>
      </c>
      <c r="B92" s="3363"/>
      <c r="C92" s="3363" t="s">
        <v>3274</v>
      </c>
      <c r="D92" s="3363" t="s">
        <v>3275</v>
      </c>
      <c r="E92" s="3345" t="s">
        <v>3276</v>
      </c>
      <c r="F92" s="3378" t="s">
        <v>3277</v>
      </c>
      <c r="G92" s="3363" t="s">
        <v>3278</v>
      </c>
      <c r="H92" s="3385" t="s">
        <v>3281</v>
      </c>
      <c r="I92" s="3363" t="s">
        <v>3282</v>
      </c>
      <c r="J92" s="3386" t="s">
        <v>3283</v>
      </c>
      <c r="K92" s="3386" t="s">
        <v>3284</v>
      </c>
      <c r="L92" s="3386" t="s">
        <v>3285</v>
      </c>
      <c r="M92" s="3386" t="s">
        <v>3286</v>
      </c>
      <c r="N92" s="3386" t="s">
        <v>3287</v>
      </c>
    </row>
    <row r="93" spans="1:37" ht="24">
      <c r="A93" s="3366" t="s">
        <v>3266</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3267</v>
      </c>
      <c r="B94" s="3367">
        <f>估价对象房地状况!C18</f>
        <v>0</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3263</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3268</v>
      </c>
      <c r="B96" s="3382" t="s">
        <v>3279</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3269</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3270</v>
      </c>
      <c r="B98" s="3383" t="s">
        <v>3280</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4">
      <c r="A99" s="3376" t="s">
        <v>3271</v>
      </c>
      <c r="B99" s="3367">
        <f>估价对象房地状况!C21</f>
        <v>0</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4">
      <c r="A100" s="3376" t="s">
        <v>3272</v>
      </c>
      <c r="B100" s="3367">
        <f>估价对象房地状况!C22</f>
        <v>0</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3273</v>
      </c>
      <c r="B101" s="3384">
        <f>估价对象房地状况!C20</f>
        <v>0</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801" t="s">
        <v>3288</v>
      </c>
      <c r="B103" s="3801"/>
      <c r="C103" s="3801"/>
      <c r="D103" s="3801"/>
      <c r="E103" s="3801"/>
      <c r="F103" s="3801"/>
      <c r="G103" s="3801"/>
      <c r="H103" s="3801"/>
      <c r="I103" s="3801"/>
      <c r="J103" s="3801"/>
      <c r="K103" s="3387"/>
      <c r="L103" s="3387"/>
      <c r="M103" s="3387"/>
      <c r="N103" s="3387"/>
    </row>
    <row r="104" spans="1:14">
      <c r="A104" s="3802" t="s">
        <v>3289</v>
      </c>
      <c r="B104" s="3802" t="s">
        <v>3290</v>
      </c>
      <c r="C104" s="3388" t="s">
        <v>3291</v>
      </c>
      <c r="D104" s="3389"/>
      <c r="E104" s="3389"/>
      <c r="F104" s="3389"/>
      <c r="G104" s="3389"/>
      <c r="H104" s="3389"/>
      <c r="I104" s="3389"/>
      <c r="J104" s="3390"/>
      <c r="K104" s="3391"/>
      <c r="L104" s="3391"/>
      <c r="M104" s="3391"/>
      <c r="N104" s="3391"/>
    </row>
    <row r="105" spans="1:14">
      <c r="A105" s="3802"/>
      <c r="B105" s="3802"/>
      <c r="C105" s="3392" t="s">
        <v>3292</v>
      </c>
      <c r="D105" s="3392" t="s">
        <v>3293</v>
      </c>
      <c r="E105" s="3392" t="s">
        <v>3294</v>
      </c>
      <c r="F105" s="3392" t="s">
        <v>3295</v>
      </c>
      <c r="G105" s="3392" t="s">
        <v>3296</v>
      </c>
      <c r="H105" s="3392" t="s">
        <v>3297</v>
      </c>
      <c r="I105" s="3392" t="s">
        <v>3298</v>
      </c>
      <c r="J105" s="3392" t="s">
        <v>3299</v>
      </c>
      <c r="K105" s="3392" t="s">
        <v>3300</v>
      </c>
      <c r="L105" s="3392" t="s">
        <v>3301</v>
      </c>
      <c r="M105" s="3392" t="s">
        <v>3302</v>
      </c>
      <c r="N105" s="3392" t="s">
        <v>3303</v>
      </c>
    </row>
    <row r="106" spans="1:14">
      <c r="A106" s="3788" t="s">
        <v>3304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9"/>
      <c r="B111" s="3392" t="s">
        <v>3262</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90"/>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91" t="s">
        <v>3305</v>
      </c>
      <c r="B113" s="3791"/>
      <c r="C113" s="3791"/>
      <c r="D113" s="3791"/>
      <c r="E113" s="3791"/>
      <c r="F113" s="3791"/>
      <c r="G113" s="3791"/>
      <c r="H113" s="3791"/>
      <c r="I113" s="3791"/>
      <c r="J113" s="379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3306</v>
      </c>
      <c r="B116" s="3413">
        <f>G3</f>
        <v>3.49</v>
      </c>
      <c r="C116" s="3397" t="s">
        <v>3307</v>
      </c>
      <c r="D116" s="3398">
        <f>SUMPRODUCT((A118:A122=F116)*(B117:M117=H116)*B118:M122)</f>
        <v>0.90010000000000001</v>
      </c>
      <c r="E116" s="1998" t="s">
        <v>3308</v>
      </c>
      <c r="F116" s="3399" t="str">
        <f>E2</f>
        <v>商业</v>
      </c>
      <c r="G116" s="1998" t="s">
        <v>3309</v>
      </c>
      <c r="H116" s="3399" t="str">
        <f>G2</f>
        <v>七级</v>
      </c>
      <c r="I116" s="1998"/>
      <c r="J116" s="3400"/>
      <c r="K116" s="3400"/>
      <c r="L116" s="3400"/>
      <c r="M116" s="3400"/>
      <c r="N116" s="3395"/>
    </row>
    <row r="117" spans="1:14">
      <c r="A117" s="3401"/>
      <c r="B117" s="3402" t="s">
        <v>3310</v>
      </c>
      <c r="C117" s="3402" t="s">
        <v>3311</v>
      </c>
      <c r="D117" s="3402" t="s">
        <v>3312</v>
      </c>
      <c r="E117" s="3403" t="s">
        <v>3313</v>
      </c>
      <c r="F117" s="3403" t="s">
        <v>3314</v>
      </c>
      <c r="G117" s="3403" t="s">
        <v>3315</v>
      </c>
      <c r="H117" s="3404" t="s">
        <v>3316</v>
      </c>
      <c r="I117" s="3404" t="s">
        <v>3317</v>
      </c>
      <c r="J117" s="3405" t="s">
        <v>3318</v>
      </c>
      <c r="K117" s="3405" t="s">
        <v>3319</v>
      </c>
      <c r="L117" s="3405" t="s">
        <v>3320</v>
      </c>
      <c r="M117" s="3406" t="s">
        <v>3321</v>
      </c>
      <c r="N117" s="3395"/>
    </row>
    <row r="118" spans="1:14">
      <c r="A118" s="3407" t="s">
        <v>3322</v>
      </c>
      <c r="B118" s="3385">
        <f>ROUND(0.9968-0.011*B116,4)</f>
        <v>0.95840000000000003</v>
      </c>
      <c r="C118" s="3385">
        <f>B118</f>
        <v>0.95840000000000003</v>
      </c>
      <c r="D118" s="3385">
        <f>ROUND(0.949-0.014*B116,4)</f>
        <v>0.90010000000000001</v>
      </c>
      <c r="E118" s="3385">
        <f>D118</f>
        <v>0.90010000000000001</v>
      </c>
      <c r="F118" s="3385">
        <f>E118</f>
        <v>0.90010000000000001</v>
      </c>
      <c r="G118" s="3385">
        <f>F118</f>
        <v>0.90010000000000001</v>
      </c>
      <c r="H118" s="3385">
        <f>G118</f>
        <v>0.90010000000000001</v>
      </c>
      <c r="I118" s="3385">
        <f>ROUND(0.8486-0.018*B116,4)</f>
        <v>0.78580000000000005</v>
      </c>
      <c r="J118" s="3385">
        <f t="shared" ref="J118:M122" si="36">I118</f>
        <v>0.78580000000000005</v>
      </c>
      <c r="K118" s="3385">
        <f t="shared" si="36"/>
        <v>0.78580000000000005</v>
      </c>
      <c r="L118" s="3385">
        <f t="shared" si="36"/>
        <v>0.78580000000000005</v>
      </c>
      <c r="M118" s="3408">
        <f t="shared" si="36"/>
        <v>0.78580000000000005</v>
      </c>
      <c r="N118" s="3395"/>
    </row>
    <row r="119" spans="1:14">
      <c r="A119" s="3407" t="s">
        <v>3323</v>
      </c>
      <c r="B119" s="3385">
        <f>ROUND(0.993-0.0112*B116,4)</f>
        <v>0.95389999999999997</v>
      </c>
      <c r="C119" s="3385">
        <f>B119</f>
        <v>0.95389999999999997</v>
      </c>
      <c r="D119" s="3385">
        <f>ROUND(0.9415-0.0142*B116,4)</f>
        <v>0.89190000000000003</v>
      </c>
      <c r="E119" s="3385">
        <f t="shared" ref="E119:H120" si="37">D119</f>
        <v>0.89190000000000003</v>
      </c>
      <c r="F119" s="3385">
        <f t="shared" si="37"/>
        <v>0.89190000000000003</v>
      </c>
      <c r="G119" s="3385">
        <f t="shared" si="37"/>
        <v>0.89190000000000003</v>
      </c>
      <c r="H119" s="3385">
        <f t="shared" si="37"/>
        <v>0.89190000000000003</v>
      </c>
      <c r="I119" s="3385">
        <f>ROUND(0.838-0.0182*B116,4)</f>
        <v>0.77449999999999997</v>
      </c>
      <c r="J119" s="3385">
        <f t="shared" si="36"/>
        <v>0.77449999999999997</v>
      </c>
      <c r="K119" s="3385">
        <f t="shared" si="36"/>
        <v>0.77449999999999997</v>
      </c>
      <c r="L119" s="3385">
        <f t="shared" si="36"/>
        <v>0.77449999999999997</v>
      </c>
      <c r="M119" s="3408">
        <f t="shared" si="36"/>
        <v>0.77449999999999997</v>
      </c>
      <c r="N119" s="3395"/>
    </row>
    <row r="120" spans="1:14">
      <c r="A120" s="3407" t="s">
        <v>3324</v>
      </c>
      <c r="B120" s="3385">
        <f>ROUND(0.9448-0.0115*B116,4)</f>
        <v>0.90469999999999995</v>
      </c>
      <c r="C120" s="3385">
        <f>B120</f>
        <v>0.90469999999999995</v>
      </c>
      <c r="D120" s="3385">
        <f>ROUND(0.937-0.0145*B116,4)</f>
        <v>0.88639999999999997</v>
      </c>
      <c r="E120" s="3385">
        <f t="shared" si="37"/>
        <v>0.88639999999999997</v>
      </c>
      <c r="F120" s="3385">
        <f t="shared" si="37"/>
        <v>0.88639999999999997</v>
      </c>
      <c r="G120" s="3385">
        <f t="shared" si="37"/>
        <v>0.88639999999999997</v>
      </c>
      <c r="H120" s="3385">
        <f t="shared" si="37"/>
        <v>0.88639999999999997</v>
      </c>
      <c r="I120" s="3385">
        <f>ROUND(0.7965-0.0185*B116,4)</f>
        <v>0.7319</v>
      </c>
      <c r="J120" s="3385">
        <f t="shared" si="36"/>
        <v>0.7319</v>
      </c>
      <c r="K120" s="3385">
        <f t="shared" si="36"/>
        <v>0.7319</v>
      </c>
      <c r="L120" s="3385">
        <f t="shared" si="36"/>
        <v>0.7319</v>
      </c>
      <c r="M120" s="3408">
        <f t="shared" si="36"/>
        <v>0.7319</v>
      </c>
      <c r="N120" s="3395"/>
    </row>
    <row r="121" spans="1:14" ht="13.5" thickBot="1">
      <c r="A121" s="3409" t="s">
        <v>3325</v>
      </c>
      <c r="B121" s="3410">
        <f>ROUND(0.7836-0.012*B116,4)</f>
        <v>0.74170000000000003</v>
      </c>
      <c r="C121" s="3410">
        <f>B121</f>
        <v>0.74170000000000003</v>
      </c>
      <c r="D121" s="3410">
        <f>ROUND(0.753-0.015*B116,4)</f>
        <v>0.70069999999999999</v>
      </c>
      <c r="E121" s="3410">
        <f>D121</f>
        <v>0.70069999999999999</v>
      </c>
      <c r="F121" s="3410">
        <f>E121</f>
        <v>0.70069999999999999</v>
      </c>
      <c r="G121" s="3410">
        <f>ROUND(0.6612-0.018*B116,4)</f>
        <v>0.59840000000000004</v>
      </c>
      <c r="H121" s="3410">
        <f>G121</f>
        <v>0.59840000000000004</v>
      </c>
      <c r="I121" s="3410">
        <f>ROUND(0.5905-0.019*B116,4)</f>
        <v>0.5242</v>
      </c>
      <c r="J121" s="3410">
        <f t="shared" si="36"/>
        <v>0.5242</v>
      </c>
      <c r="K121" s="3410">
        <f t="shared" si="36"/>
        <v>0.5242</v>
      </c>
      <c r="L121" s="3410">
        <f t="shared" si="36"/>
        <v>0.5242</v>
      </c>
      <c r="M121" s="3411">
        <f t="shared" si="36"/>
        <v>0.5242</v>
      </c>
      <c r="N121" s="3395"/>
    </row>
    <row r="122" spans="1:14">
      <c r="A122" s="3412" t="s">
        <v>2607</v>
      </c>
      <c r="B122" s="3385">
        <f>ROUND(0.9404-0.0106*B116,4)</f>
        <v>0.90339999999999998</v>
      </c>
      <c r="C122" s="3385">
        <f>B122</f>
        <v>0.90339999999999998</v>
      </c>
      <c r="D122" s="3385">
        <f>ROUND(0.8955-0.0135*B116,4)</f>
        <v>0.84840000000000004</v>
      </c>
      <c r="E122" s="3385">
        <f t="shared" ref="E122:H122" si="38">D122</f>
        <v>0.84840000000000004</v>
      </c>
      <c r="F122" s="3385">
        <f t="shared" si="38"/>
        <v>0.84840000000000004</v>
      </c>
      <c r="G122" s="3385">
        <f t="shared" si="38"/>
        <v>0.84840000000000004</v>
      </c>
      <c r="H122" s="3385">
        <f t="shared" si="38"/>
        <v>0.84840000000000004</v>
      </c>
      <c r="I122" s="3385">
        <f>ROUND(0.7632-0.0166*B116,4)</f>
        <v>0.70530000000000004</v>
      </c>
      <c r="J122" s="3385">
        <f t="shared" si="36"/>
        <v>0.70530000000000004</v>
      </c>
      <c r="K122" s="3385">
        <f t="shared" si="36"/>
        <v>0.70530000000000004</v>
      </c>
      <c r="L122" s="3385">
        <f t="shared" si="36"/>
        <v>0.70530000000000004</v>
      </c>
      <c r="M122" s="3408">
        <f t="shared" si="36"/>
        <v>0.70530000000000004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2589</v>
      </c>
      <c r="B1" s="3069" t="s">
        <v>2590</v>
      </c>
      <c r="C1" s="3069" t="s">
        <v>2591</v>
      </c>
      <c r="D1" s="3069" t="s">
        <v>2592</v>
      </c>
      <c r="E1" s="3069" t="s">
        <v>2593</v>
      </c>
      <c r="F1" s="3069" t="s">
        <v>2594</v>
      </c>
      <c r="G1" s="3069" t="s">
        <v>2595</v>
      </c>
      <c r="H1" s="3069" t="s">
        <v>2596</v>
      </c>
      <c r="I1" s="3069" t="s">
        <v>2597</v>
      </c>
      <c r="J1" s="3069" t="s">
        <v>2598</v>
      </c>
      <c r="K1" s="3069" t="s">
        <v>2599</v>
      </c>
      <c r="L1" s="3069" t="s">
        <v>2600</v>
      </c>
      <c r="M1" s="3070" t="s">
        <v>2601</v>
      </c>
    </row>
    <row r="2" spans="1:13" ht="19.5" customHeight="1">
      <c r="A2" s="3072" t="s">
        <v>2602</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2603</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2604</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2605</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2606</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2607</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2608</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2609</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2610</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2611</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2612</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2613</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2614</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2615</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2616</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2617</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2618</v>
      </c>
      <c r="B18" s="3094"/>
      <c r="C18" s="3095"/>
      <c r="D18" s="3095"/>
      <c r="E18" s="3094"/>
      <c r="F18" s="3095"/>
      <c r="G18" s="3095"/>
    </row>
    <row r="19" spans="1:13" ht="19.5" customHeight="1" thickBot="1">
      <c r="A19" s="3092" t="s">
        <v>2619</v>
      </c>
      <c r="B19" s="3097" t="s">
        <v>2620</v>
      </c>
      <c r="C19" s="3097" t="s">
        <v>2621</v>
      </c>
      <c r="D19" s="3098"/>
      <c r="E19" s="3092" t="s">
        <v>2622</v>
      </c>
      <c r="F19" s="3099"/>
      <c r="G19" s="3099"/>
    </row>
    <row r="20" spans="1:13" ht="19.5" customHeight="1">
      <c r="A20" s="3814" t="s">
        <v>2602</v>
      </c>
      <c r="B20" s="3807" t="s">
        <v>2623</v>
      </c>
      <c r="C20" s="3100" t="s">
        <v>2434</v>
      </c>
      <c r="D20" s="3101"/>
      <c r="E20" s="3102">
        <v>1</v>
      </c>
      <c r="F20" s="3103" t="s">
        <v>2435</v>
      </c>
      <c r="G20" s="3103"/>
    </row>
    <row r="21" spans="1:13" ht="19.5" customHeight="1">
      <c r="A21" s="3815"/>
      <c r="B21" s="3808"/>
      <c r="C21" s="3104" t="s">
        <v>2436</v>
      </c>
      <c r="D21" s="3105"/>
      <c r="E21" s="3106">
        <v>1</v>
      </c>
      <c r="F21" s="3103" t="s">
        <v>2437</v>
      </c>
      <c r="G21" s="3103"/>
    </row>
    <row r="22" spans="1:13" ht="19.5" customHeight="1">
      <c r="A22" s="3815"/>
      <c r="B22" s="3808"/>
      <c r="C22" s="3104" t="s">
        <v>2438</v>
      </c>
      <c r="D22" s="3105"/>
      <c r="E22" s="3106">
        <v>0.9</v>
      </c>
      <c r="F22" s="3103" t="s">
        <v>2439</v>
      </c>
      <c r="G22" s="3103"/>
    </row>
    <row r="23" spans="1:13" ht="19.5" customHeight="1">
      <c r="A23" s="3815"/>
      <c r="B23" s="3808"/>
      <c r="C23" s="3104" t="s">
        <v>2440</v>
      </c>
      <c r="D23" s="3105"/>
      <c r="E23" s="3106">
        <v>0.9</v>
      </c>
      <c r="F23" s="3103" t="s">
        <v>2441</v>
      </c>
      <c r="G23" s="3103"/>
    </row>
    <row r="24" spans="1:13" ht="19.5" customHeight="1">
      <c r="A24" s="3815"/>
      <c r="B24" s="3808"/>
      <c r="C24" s="3104" t="s">
        <v>2442</v>
      </c>
      <c r="D24" s="3105"/>
      <c r="E24" s="3106">
        <v>0.8</v>
      </c>
      <c r="F24" s="3103" t="s">
        <v>2443</v>
      </c>
      <c r="G24" s="3103"/>
    </row>
    <row r="25" spans="1:13" ht="19.5" customHeight="1" thickBot="1">
      <c r="A25" s="3816"/>
      <c r="B25" s="3809"/>
      <c r="C25" s="3107" t="s">
        <v>2444</v>
      </c>
      <c r="D25" s="3108"/>
      <c r="E25" s="3109">
        <v>0.8</v>
      </c>
      <c r="F25" s="3103" t="s">
        <v>2445</v>
      </c>
      <c r="G25" s="3103"/>
    </row>
    <row r="26" spans="1:13" ht="19.5" customHeight="1" thickBot="1">
      <c r="A26" s="3110" t="s">
        <v>2624</v>
      </c>
      <c r="B26" s="3111" t="s">
        <v>2623</v>
      </c>
      <c r="C26" s="3112" t="s">
        <v>2625</v>
      </c>
      <c r="D26" s="3113"/>
      <c r="E26" s="3114">
        <v>1</v>
      </c>
      <c r="F26" s="3103" t="s">
        <v>2446</v>
      </c>
      <c r="G26" s="3103"/>
    </row>
    <row r="27" spans="1:13" ht="19.5" customHeight="1">
      <c r="A27" s="3810" t="s">
        <v>2626</v>
      </c>
      <c r="B27" s="3807" t="s">
        <v>2607</v>
      </c>
      <c r="C27" s="3100" t="s">
        <v>2447</v>
      </c>
      <c r="D27" s="3101"/>
      <c r="E27" s="3102">
        <v>1</v>
      </c>
      <c r="F27" s="3103" t="s">
        <v>2448</v>
      </c>
      <c r="G27" s="3103"/>
    </row>
    <row r="28" spans="1:13" ht="19.5" customHeight="1">
      <c r="A28" s="3811"/>
      <c r="B28" s="3808"/>
      <c r="C28" s="3104" t="s">
        <v>2449</v>
      </c>
      <c r="D28" s="3105"/>
      <c r="E28" s="3106">
        <v>1</v>
      </c>
      <c r="F28" s="3103" t="s">
        <v>2450</v>
      </c>
      <c r="G28" s="3103"/>
    </row>
    <row r="29" spans="1:13" ht="19.5" customHeight="1">
      <c r="A29" s="3811"/>
      <c r="B29" s="3808"/>
      <c r="C29" s="3104" t="s">
        <v>2451</v>
      </c>
      <c r="D29" s="3105"/>
      <c r="E29" s="3106">
        <v>0.8</v>
      </c>
      <c r="F29" s="3103" t="s">
        <v>2452</v>
      </c>
      <c r="G29" s="3103"/>
    </row>
    <row r="30" spans="1:13" ht="19.5" customHeight="1">
      <c r="A30" s="3811"/>
      <c r="B30" s="3808"/>
      <c r="C30" s="3104" t="s">
        <v>2453</v>
      </c>
      <c r="D30" s="3105"/>
      <c r="E30" s="3106">
        <v>0.8</v>
      </c>
      <c r="F30" s="3103" t="s">
        <v>2454</v>
      </c>
      <c r="G30" s="3103"/>
    </row>
    <row r="31" spans="1:13" ht="19.5" customHeight="1">
      <c r="A31" s="3811"/>
      <c r="B31" s="3808"/>
      <c r="C31" s="3104" t="s">
        <v>2455</v>
      </c>
      <c r="D31" s="3105"/>
      <c r="E31" s="3106">
        <v>0.8</v>
      </c>
      <c r="F31" s="3103" t="s">
        <v>2456</v>
      </c>
      <c r="G31" s="3103"/>
    </row>
    <row r="32" spans="1:13" ht="19.5" customHeight="1">
      <c r="A32" s="3811"/>
      <c r="B32" s="3808"/>
      <c r="C32" s="3104" t="s">
        <v>2457</v>
      </c>
      <c r="D32" s="3105"/>
      <c r="E32" s="3106">
        <v>0.7</v>
      </c>
      <c r="F32" s="3103" t="s">
        <v>2458</v>
      </c>
      <c r="G32" s="3103"/>
    </row>
    <row r="33" spans="1:7" ht="19.5" customHeight="1">
      <c r="A33" s="3811"/>
      <c r="B33" s="3808"/>
      <c r="C33" s="3104" t="s">
        <v>2459</v>
      </c>
      <c r="D33" s="3105"/>
      <c r="E33" s="3106">
        <v>0.8</v>
      </c>
      <c r="F33" s="3103" t="s">
        <v>2460</v>
      </c>
      <c r="G33" s="3103"/>
    </row>
    <row r="34" spans="1:7" ht="19.5" customHeight="1">
      <c r="A34" s="3811"/>
      <c r="B34" s="3808"/>
      <c r="C34" s="3104" t="s">
        <v>2461</v>
      </c>
      <c r="D34" s="3105"/>
      <c r="E34" s="3106">
        <v>0.6</v>
      </c>
      <c r="F34" s="3103" t="s">
        <v>2462</v>
      </c>
      <c r="G34" s="3103"/>
    </row>
    <row r="35" spans="1:7" ht="19.5" customHeight="1">
      <c r="A35" s="3811"/>
      <c r="B35" s="3808"/>
      <c r="C35" s="3104" t="s">
        <v>2463</v>
      </c>
      <c r="D35" s="3105"/>
      <c r="E35" s="3106">
        <v>0.2</v>
      </c>
      <c r="F35" s="3103" t="s">
        <v>2464</v>
      </c>
      <c r="G35" s="3103"/>
    </row>
    <row r="36" spans="1:7" ht="19.5" customHeight="1">
      <c r="A36" s="3811"/>
      <c r="B36" s="3808"/>
      <c r="C36" s="3104" t="s">
        <v>2465</v>
      </c>
      <c r="D36" s="3105"/>
      <c r="E36" s="3106">
        <v>0.2</v>
      </c>
      <c r="F36" s="3103" t="s">
        <v>2466</v>
      </c>
      <c r="G36" s="3103"/>
    </row>
    <row r="37" spans="1:7" ht="19.5" customHeight="1">
      <c r="A37" s="3811"/>
      <c r="B37" s="3813" t="s">
        <v>2627</v>
      </c>
      <c r="C37" s="3104" t="s">
        <v>2467</v>
      </c>
      <c r="D37" s="3105"/>
      <c r="E37" s="3106">
        <v>0.6</v>
      </c>
      <c r="F37" s="3103" t="s">
        <v>2468</v>
      </c>
      <c r="G37" s="3103"/>
    </row>
    <row r="38" spans="1:7" ht="19.5" customHeight="1">
      <c r="A38" s="3811"/>
      <c r="B38" s="3808"/>
      <c r="C38" s="3104" t="s">
        <v>2469</v>
      </c>
      <c r="D38" s="3105"/>
      <c r="E38" s="3106">
        <v>0.6</v>
      </c>
      <c r="F38" s="3103" t="s">
        <v>2470</v>
      </c>
      <c r="G38" s="3103"/>
    </row>
    <row r="39" spans="1:7" ht="19.5" customHeight="1" thickBot="1">
      <c r="A39" s="3812"/>
      <c r="B39" s="3809"/>
      <c r="C39" s="3107" t="s">
        <v>2471</v>
      </c>
      <c r="D39" s="3108"/>
      <c r="E39" s="3109">
        <v>0.6</v>
      </c>
      <c r="F39" s="3103" t="s">
        <v>2472</v>
      </c>
      <c r="G39" s="3103"/>
    </row>
    <row r="40" spans="1:7" ht="19.5" customHeight="1" thickBot="1">
      <c r="A40" s="3110" t="s">
        <v>2604</v>
      </c>
      <c r="B40" s="3111" t="s">
        <v>2604</v>
      </c>
      <c r="C40" s="3112" t="s">
        <v>2628</v>
      </c>
      <c r="D40" s="3113"/>
      <c r="E40" s="3114">
        <v>1</v>
      </c>
      <c r="F40" s="3103" t="s">
        <v>2473</v>
      </c>
      <c r="G40" s="3103"/>
    </row>
    <row r="41" spans="1:7" ht="19.5" customHeight="1">
      <c r="A41" s="3814" t="s">
        <v>2605</v>
      </c>
      <c r="B41" s="3807" t="s">
        <v>2629</v>
      </c>
      <c r="C41" s="3100" t="s">
        <v>2474</v>
      </c>
      <c r="D41" s="3101"/>
      <c r="E41" s="3102">
        <v>1</v>
      </c>
      <c r="F41" s="3103" t="s">
        <v>2475</v>
      </c>
      <c r="G41" s="3103"/>
    </row>
    <row r="42" spans="1:7" ht="19.5" customHeight="1">
      <c r="A42" s="3815"/>
      <c r="B42" s="3808"/>
      <c r="C42" s="3104" t="s">
        <v>2476</v>
      </c>
      <c r="D42" s="3105"/>
      <c r="E42" s="3106">
        <v>1</v>
      </c>
      <c r="F42" s="3103" t="s">
        <v>2477</v>
      </c>
      <c r="G42" s="3103"/>
    </row>
    <row r="43" spans="1:7" ht="19.5" customHeight="1">
      <c r="A43" s="3815"/>
      <c r="B43" s="3817"/>
      <c r="C43" s="3104" t="s">
        <v>2478</v>
      </c>
      <c r="D43" s="3105"/>
      <c r="E43" s="3106">
        <v>1.5</v>
      </c>
      <c r="F43" s="3103" t="s">
        <v>2479</v>
      </c>
      <c r="G43" s="3103"/>
    </row>
    <row r="44" spans="1:7" ht="19.5" customHeight="1">
      <c r="A44" s="3815"/>
      <c r="B44" s="3115" t="s">
        <v>2630</v>
      </c>
      <c r="C44" s="3104" t="s">
        <v>2631</v>
      </c>
      <c r="D44" s="3105"/>
      <c r="E44" s="3106">
        <v>2</v>
      </c>
      <c r="F44" s="3103" t="s">
        <v>2480</v>
      </c>
      <c r="G44" s="3103"/>
    </row>
    <row r="45" spans="1:7" ht="19.5" customHeight="1">
      <c r="A45" s="3815"/>
      <c r="B45" s="3813" t="s">
        <v>2632</v>
      </c>
      <c r="C45" s="3104" t="s">
        <v>2481</v>
      </c>
      <c r="D45" s="3105"/>
      <c r="E45" s="3106">
        <v>1</v>
      </c>
      <c r="F45" s="3103" t="s">
        <v>2482</v>
      </c>
      <c r="G45" s="3103"/>
    </row>
    <row r="46" spans="1:7" ht="19.5" customHeight="1">
      <c r="A46" s="3815"/>
      <c r="B46" s="3808"/>
      <c r="C46" s="3104" t="s">
        <v>2483</v>
      </c>
      <c r="D46" s="3105"/>
      <c r="E46" s="3106">
        <v>1</v>
      </c>
      <c r="F46" s="3103" t="s">
        <v>2484</v>
      </c>
      <c r="G46" s="3103"/>
    </row>
    <row r="47" spans="1:7" ht="19.5" customHeight="1">
      <c r="A47" s="3815"/>
      <c r="B47" s="3808"/>
      <c r="C47" s="3104" t="s">
        <v>2485</v>
      </c>
      <c r="D47" s="3105"/>
      <c r="E47" s="3106">
        <v>1</v>
      </c>
      <c r="F47" s="3103" t="s">
        <v>2486</v>
      </c>
      <c r="G47" s="3103"/>
    </row>
    <row r="48" spans="1:7" ht="19.5" customHeight="1">
      <c r="A48" s="3815"/>
      <c r="B48" s="3808"/>
      <c r="C48" s="3104" t="s">
        <v>2487</v>
      </c>
      <c r="D48" s="3105"/>
      <c r="E48" s="3106">
        <v>1</v>
      </c>
      <c r="F48" s="3103" t="s">
        <v>2488</v>
      </c>
      <c r="G48" s="3103"/>
    </row>
    <row r="49" spans="1:7" ht="19.5" customHeight="1">
      <c r="A49" s="3815"/>
      <c r="B49" s="3808"/>
      <c r="C49" s="3104" t="s">
        <v>2489</v>
      </c>
      <c r="D49" s="3105"/>
      <c r="E49" s="3106">
        <v>1</v>
      </c>
      <c r="F49" s="3103" t="s">
        <v>2490</v>
      </c>
      <c r="G49" s="3103"/>
    </row>
    <row r="50" spans="1:7" ht="19.5" customHeight="1">
      <c r="A50" s="3815"/>
      <c r="B50" s="3808"/>
      <c r="C50" s="3104" t="s">
        <v>2491</v>
      </c>
      <c r="D50" s="3105"/>
      <c r="E50" s="3106">
        <v>1</v>
      </c>
      <c r="F50" s="3103" t="s">
        <v>2492</v>
      </c>
      <c r="G50" s="3103"/>
    </row>
    <row r="51" spans="1:7" ht="19.5" customHeight="1" thickBot="1">
      <c r="A51" s="3816"/>
      <c r="B51" s="3809"/>
      <c r="C51" s="3107" t="s">
        <v>2493</v>
      </c>
      <c r="D51" s="3108"/>
      <c r="E51" s="3109">
        <v>1</v>
      </c>
      <c r="F51" s="3103" t="s">
        <v>2494</v>
      </c>
      <c r="G51" s="3103"/>
    </row>
    <row r="52" spans="1:7" ht="19.5" customHeight="1">
      <c r="A52" s="3116"/>
      <c r="B52" s="3116"/>
      <c r="C52" s="3116"/>
      <c r="D52" s="3116"/>
      <c r="E52" s="3116"/>
      <c r="F52" s="3116"/>
      <c r="G52" s="3116"/>
    </row>
    <row r="54" spans="1:7" ht="19.5" customHeight="1">
      <c r="A54" s="3117"/>
      <c r="B54" s="3089" t="s">
        <v>2633</v>
      </c>
      <c r="C54" s="3089" t="s">
        <v>2633</v>
      </c>
      <c r="D54" s="3089" t="s">
        <v>2633</v>
      </c>
      <c r="E54" s="3092" t="s">
        <v>2633</v>
      </c>
      <c r="F54" s="3092" t="s">
        <v>2634</v>
      </c>
      <c r="G54" s="3092" t="s">
        <v>2635</v>
      </c>
    </row>
    <row r="55" spans="1:7" ht="19.5" customHeight="1">
      <c r="A55" s="3118"/>
      <c r="B55" s="3092" t="s">
        <v>2602</v>
      </c>
      <c r="C55" s="3092" t="s">
        <v>2602</v>
      </c>
      <c r="D55" s="3092" t="s">
        <v>2602</v>
      </c>
      <c r="E55" s="3089" t="s">
        <v>2603</v>
      </c>
      <c r="F55" s="3089" t="s">
        <v>2605</v>
      </c>
      <c r="G55" s="3089" t="s">
        <v>2636</v>
      </c>
    </row>
    <row r="56" spans="1:7" ht="19.5" customHeight="1">
      <c r="A56" s="3119"/>
      <c r="B56" s="3089">
        <v>1</v>
      </c>
      <c r="C56" s="3089">
        <v>2</v>
      </c>
      <c r="D56" s="3089">
        <v>3</v>
      </c>
      <c r="E56" s="3120" t="s">
        <v>2637</v>
      </c>
      <c r="F56" s="3120" t="s">
        <v>2637</v>
      </c>
      <c r="G56" s="3120" t="s">
        <v>2637</v>
      </c>
    </row>
    <row r="57" spans="1:7" ht="19.5" customHeight="1">
      <c r="A57" s="3121" t="s">
        <v>2590</v>
      </c>
      <c r="B57" s="3089">
        <v>0.7</v>
      </c>
      <c r="C57" s="3089">
        <v>0.4</v>
      </c>
      <c r="D57" s="3089">
        <v>0.3</v>
      </c>
      <c r="E57" s="3120">
        <v>0.3</v>
      </c>
      <c r="F57" s="3089">
        <v>0.3</v>
      </c>
      <c r="G57" s="3089">
        <v>0.2</v>
      </c>
    </row>
    <row r="58" spans="1:7" ht="19.5" customHeight="1">
      <c r="A58" s="3121" t="s">
        <v>2591</v>
      </c>
      <c r="B58" s="3089">
        <v>0.7</v>
      </c>
      <c r="C58" s="3089">
        <v>0.4</v>
      </c>
      <c r="D58" s="3089">
        <v>0.3</v>
      </c>
      <c r="E58" s="3089">
        <v>0.3</v>
      </c>
      <c r="F58" s="3089">
        <v>0.3</v>
      </c>
      <c r="G58" s="3089">
        <v>0.2</v>
      </c>
    </row>
    <row r="59" spans="1:7" ht="19.5" customHeight="1">
      <c r="A59" s="3121" t="s">
        <v>2592</v>
      </c>
      <c r="B59" s="3089">
        <v>0.6</v>
      </c>
      <c r="C59" s="3089">
        <v>0.3</v>
      </c>
      <c r="D59" s="3089">
        <v>0.25</v>
      </c>
      <c r="E59" s="3089">
        <v>0.25</v>
      </c>
      <c r="F59" s="3089">
        <v>0.25</v>
      </c>
      <c r="G59" s="3089">
        <v>0.15</v>
      </c>
    </row>
    <row r="60" spans="1:7" ht="19.5" customHeight="1">
      <c r="A60" s="3121" t="s">
        <v>2593</v>
      </c>
      <c r="B60" s="3089">
        <v>0.6</v>
      </c>
      <c r="C60" s="3089">
        <v>0.3</v>
      </c>
      <c r="D60" s="3089">
        <v>0.25</v>
      </c>
      <c r="E60" s="3089">
        <v>0.25</v>
      </c>
      <c r="F60" s="3089">
        <v>0.25</v>
      </c>
      <c r="G60" s="3089">
        <v>0.15</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0.5</v>
      </c>
      <c r="C64" s="3089">
        <v>0.2</v>
      </c>
      <c r="D64" s="3089">
        <v>0.2</v>
      </c>
      <c r="E64" s="3089">
        <v>0.2</v>
      </c>
      <c r="F64" s="3089">
        <v>0.2</v>
      </c>
      <c r="G64" s="3089">
        <v>0.1</v>
      </c>
    </row>
    <row r="65" spans="1:7" ht="19.5" customHeight="1">
      <c r="A65" s="3121" t="s">
        <v>2598</v>
      </c>
      <c r="B65" s="3089">
        <v>0.5</v>
      </c>
      <c r="C65" s="3089">
        <v>0.2</v>
      </c>
      <c r="D65" s="3089">
        <v>0.2</v>
      </c>
      <c r="E65" s="3089">
        <v>0.2</v>
      </c>
      <c r="F65" s="3089">
        <v>0.2</v>
      </c>
      <c r="G65" s="3089">
        <v>0.1</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70" spans="1:7" ht="19.5" customHeight="1">
      <c r="A70" s="3122"/>
      <c r="B70" s="3123"/>
      <c r="C70" s="3123"/>
      <c r="D70" s="3123" t="s">
        <v>2638</v>
      </c>
      <c r="E70" s="3123"/>
      <c r="F70" s="3123"/>
    </row>
    <row r="71" spans="1:7" ht="19.5" customHeight="1">
      <c r="A71" s="3115" t="s">
        <v>2639</v>
      </c>
      <c r="B71" s="3115" t="s">
        <v>2640</v>
      </c>
      <c r="C71" s="3115" t="s">
        <v>2641</v>
      </c>
      <c r="D71" s="3115" t="s">
        <v>2642</v>
      </c>
      <c r="E71" s="3115" t="s">
        <v>2643</v>
      </c>
      <c r="F71" s="3115" t="s">
        <v>2644</v>
      </c>
    </row>
    <row r="72" spans="1:7" ht="13.5">
      <c r="A72" s="3115"/>
      <c r="B72" s="3115"/>
      <c r="C72" s="3115" t="s">
        <v>2645</v>
      </c>
      <c r="D72" s="3115"/>
      <c r="E72" s="3115" t="s">
        <v>2616</v>
      </c>
      <c r="F72" s="3115" t="s">
        <v>2616</v>
      </c>
    </row>
    <row r="73" spans="1:7" ht="13.5">
      <c r="A73" s="3115">
        <v>1</v>
      </c>
      <c r="B73" s="3813" t="s">
        <v>2646</v>
      </c>
      <c r="C73" s="3089" t="s">
        <v>2647</v>
      </c>
      <c r="D73" s="3089" t="s">
        <v>2648</v>
      </c>
      <c r="E73" s="3115">
        <v>0.2</v>
      </c>
      <c r="F73" s="3115">
        <v>25</v>
      </c>
    </row>
    <row r="74" spans="1:7" ht="24">
      <c r="A74" s="3115">
        <v>2</v>
      </c>
      <c r="B74" s="3808"/>
      <c r="C74" s="3089" t="s">
        <v>2649</v>
      </c>
      <c r="D74" s="3089" t="s">
        <v>2650</v>
      </c>
      <c r="E74" s="3115">
        <v>0.2</v>
      </c>
      <c r="F74" s="3115">
        <v>25</v>
      </c>
    </row>
    <row r="75" spans="1:7" ht="24">
      <c r="A75" s="3115">
        <v>3</v>
      </c>
      <c r="B75" s="3808"/>
      <c r="C75" s="3089" t="s">
        <v>2651</v>
      </c>
      <c r="D75" s="3089" t="s">
        <v>2652</v>
      </c>
      <c r="E75" s="3115">
        <v>0.2</v>
      </c>
      <c r="F75" s="3115">
        <v>25</v>
      </c>
    </row>
    <row r="76" spans="1:7" ht="13.5">
      <c r="A76" s="3115">
        <v>4</v>
      </c>
      <c r="B76" s="3808"/>
      <c r="C76" s="3089" t="s">
        <v>2653</v>
      </c>
      <c r="D76" s="3089" t="s">
        <v>2654</v>
      </c>
      <c r="E76" s="3115">
        <v>0.15</v>
      </c>
      <c r="F76" s="3115">
        <v>20</v>
      </c>
    </row>
    <row r="77" spans="1:7" ht="24">
      <c r="A77" s="3115">
        <v>5</v>
      </c>
      <c r="B77" s="3808"/>
      <c r="C77" s="3089" t="s">
        <v>2655</v>
      </c>
      <c r="D77" s="3089" t="s">
        <v>2656</v>
      </c>
      <c r="E77" s="3115">
        <v>0.15</v>
      </c>
      <c r="F77" s="3115">
        <v>20</v>
      </c>
    </row>
    <row r="78" spans="1:7" ht="24">
      <c r="A78" s="3115">
        <v>6</v>
      </c>
      <c r="B78" s="3808"/>
      <c r="C78" s="3089" t="s">
        <v>2657</v>
      </c>
      <c r="D78" s="3089" t="s">
        <v>2658</v>
      </c>
      <c r="E78" s="3115">
        <v>0.15</v>
      </c>
      <c r="F78" s="3115">
        <v>20</v>
      </c>
    </row>
    <row r="79" spans="1:7" ht="24">
      <c r="A79" s="3115">
        <v>7</v>
      </c>
      <c r="B79" s="3808"/>
      <c r="C79" s="3089" t="s">
        <v>2659</v>
      </c>
      <c r="D79" s="3089" t="s">
        <v>2660</v>
      </c>
      <c r="E79" s="3115">
        <v>0.15</v>
      </c>
      <c r="F79" s="3115">
        <v>20</v>
      </c>
    </row>
    <row r="80" spans="1:7" ht="24">
      <c r="A80" s="3115">
        <v>8</v>
      </c>
      <c r="B80" s="3808"/>
      <c r="C80" s="3089" t="s">
        <v>2661</v>
      </c>
      <c r="D80" s="3089" t="s">
        <v>2662</v>
      </c>
      <c r="E80" s="3115">
        <v>0.1</v>
      </c>
      <c r="F80" s="3115">
        <v>15</v>
      </c>
    </row>
    <row r="81" spans="1:6" ht="24">
      <c r="A81" s="3115">
        <v>9</v>
      </c>
      <c r="B81" s="3808"/>
      <c r="C81" s="3089" t="s">
        <v>2663</v>
      </c>
      <c r="D81" s="3089" t="s">
        <v>2664</v>
      </c>
      <c r="E81" s="3115">
        <v>0.1</v>
      </c>
      <c r="F81" s="3115">
        <v>15</v>
      </c>
    </row>
    <row r="82" spans="1:6" ht="24">
      <c r="A82" s="3115">
        <v>10</v>
      </c>
      <c r="B82" s="3808"/>
      <c r="C82" s="3089" t="s">
        <v>2665</v>
      </c>
      <c r="D82" s="3089" t="s">
        <v>2666</v>
      </c>
      <c r="E82" s="3115">
        <v>0.1</v>
      </c>
      <c r="F82" s="3115">
        <v>15</v>
      </c>
    </row>
    <row r="83" spans="1:6" ht="24">
      <c r="A83" s="3115">
        <v>11</v>
      </c>
      <c r="B83" s="3808"/>
      <c r="C83" s="3089" t="s">
        <v>2667</v>
      </c>
      <c r="D83" s="3089" t="s">
        <v>2668</v>
      </c>
      <c r="E83" s="3115">
        <v>0.1</v>
      </c>
      <c r="F83" s="3115">
        <v>15</v>
      </c>
    </row>
    <row r="84" spans="1:6" ht="24">
      <c r="A84" s="3115">
        <v>12</v>
      </c>
      <c r="B84" s="3808"/>
      <c r="C84" s="3089" t="s">
        <v>2669</v>
      </c>
      <c r="D84" s="3089" t="s">
        <v>2670</v>
      </c>
      <c r="E84" s="3115">
        <v>0.1</v>
      </c>
      <c r="F84" s="3115">
        <v>15</v>
      </c>
    </row>
    <row r="85" spans="1:6" ht="13.5">
      <c r="A85" s="3115">
        <v>13</v>
      </c>
      <c r="B85" s="3808"/>
      <c r="C85" s="3089" t="s">
        <v>2671</v>
      </c>
      <c r="D85" s="3089" t="s">
        <v>2672</v>
      </c>
      <c r="E85" s="3115">
        <v>0.1</v>
      </c>
      <c r="F85" s="3115">
        <v>15</v>
      </c>
    </row>
    <row r="86" spans="1:6" ht="13.5">
      <c r="A86" s="3115">
        <v>14</v>
      </c>
      <c r="B86" s="3808"/>
      <c r="C86" s="3089" t="s">
        <v>2673</v>
      </c>
      <c r="D86" s="3089" t="s">
        <v>2674</v>
      </c>
      <c r="E86" s="3115">
        <v>0.1</v>
      </c>
      <c r="F86" s="3115">
        <v>15</v>
      </c>
    </row>
    <row r="87" spans="1:6" ht="13.5">
      <c r="A87" s="3115">
        <v>15</v>
      </c>
      <c r="B87" s="3808"/>
      <c r="C87" s="3089" t="s">
        <v>2675</v>
      </c>
      <c r="D87" s="3089" t="s">
        <v>2676</v>
      </c>
      <c r="E87" s="3115">
        <v>0.1</v>
      </c>
      <c r="F87" s="3115">
        <v>15</v>
      </c>
    </row>
    <row r="88" spans="1:6" ht="24">
      <c r="A88" s="3115">
        <v>16</v>
      </c>
      <c r="B88" s="3808"/>
      <c r="C88" s="3089" t="s">
        <v>2677</v>
      </c>
      <c r="D88" s="3089" t="s">
        <v>2678</v>
      </c>
      <c r="E88" s="3115">
        <v>0.1</v>
      </c>
      <c r="F88" s="3115">
        <v>15</v>
      </c>
    </row>
    <row r="89" spans="1:6" ht="24">
      <c r="A89" s="3115">
        <v>17</v>
      </c>
      <c r="B89" s="3817"/>
      <c r="C89" s="3089" t="s">
        <v>2679</v>
      </c>
      <c r="D89" s="3089" t="s">
        <v>2680</v>
      </c>
      <c r="E89" s="3115">
        <v>0.1</v>
      </c>
      <c r="F89" s="3115">
        <v>15</v>
      </c>
    </row>
    <row r="90" spans="1:6" ht="13.5">
      <c r="A90" s="3115">
        <v>18</v>
      </c>
      <c r="B90" s="3813" t="s">
        <v>2681</v>
      </c>
      <c r="C90" s="3089" t="s">
        <v>2682</v>
      </c>
      <c r="D90" s="3089" t="s">
        <v>2683</v>
      </c>
      <c r="E90" s="3115">
        <v>0.2</v>
      </c>
      <c r="F90" s="3115">
        <v>25</v>
      </c>
    </row>
    <row r="91" spans="1:6" ht="24">
      <c r="A91" s="3115">
        <v>19</v>
      </c>
      <c r="B91" s="3808"/>
      <c r="C91" s="3089" t="s">
        <v>2684</v>
      </c>
      <c r="D91" s="3089" t="s">
        <v>2685</v>
      </c>
      <c r="E91" s="3115">
        <v>0.2</v>
      </c>
      <c r="F91" s="3115">
        <v>25</v>
      </c>
    </row>
    <row r="92" spans="1:6" ht="13.5">
      <c r="A92" s="3115">
        <v>20</v>
      </c>
      <c r="B92" s="3808"/>
      <c r="C92" s="3089" t="s">
        <v>2686</v>
      </c>
      <c r="D92" s="3089" t="s">
        <v>2687</v>
      </c>
      <c r="E92" s="3115">
        <v>0.15</v>
      </c>
      <c r="F92" s="3115">
        <v>20</v>
      </c>
    </row>
    <row r="93" spans="1:6" ht="13.5">
      <c r="A93" s="3115">
        <v>21</v>
      </c>
      <c r="B93" s="3808"/>
      <c r="C93" s="3089" t="s">
        <v>2688</v>
      </c>
      <c r="D93" s="3089" t="s">
        <v>2689</v>
      </c>
      <c r="E93" s="3115">
        <v>0.15</v>
      </c>
      <c r="F93" s="3115">
        <v>20</v>
      </c>
    </row>
    <row r="94" spans="1:6" ht="13.5">
      <c r="A94" s="3115">
        <v>22</v>
      </c>
      <c r="B94" s="3808"/>
      <c r="C94" s="3089" t="s">
        <v>2690</v>
      </c>
      <c r="D94" s="3089" t="s">
        <v>2691</v>
      </c>
      <c r="E94" s="3115">
        <v>0.15</v>
      </c>
      <c r="F94" s="3115">
        <v>20</v>
      </c>
    </row>
    <row r="95" spans="1:6" ht="36">
      <c r="A95" s="3115">
        <v>23</v>
      </c>
      <c r="B95" s="3808"/>
      <c r="C95" s="3089" t="s">
        <v>2692</v>
      </c>
      <c r="D95" s="3089" t="s">
        <v>2693</v>
      </c>
      <c r="E95" s="3115">
        <v>0.15</v>
      </c>
      <c r="F95" s="3115">
        <v>20</v>
      </c>
    </row>
    <row r="96" spans="1:6" ht="13.5">
      <c r="A96" s="3115">
        <v>24</v>
      </c>
      <c r="B96" s="3808"/>
      <c r="C96" s="3089" t="s">
        <v>2694</v>
      </c>
      <c r="D96" s="3089" t="s">
        <v>2695</v>
      </c>
      <c r="E96" s="3115">
        <v>0.1</v>
      </c>
      <c r="F96" s="3115">
        <v>15</v>
      </c>
    </row>
    <row r="97" spans="1:6" ht="13.5">
      <c r="A97" s="3115">
        <v>25</v>
      </c>
      <c r="B97" s="3808"/>
      <c r="C97" s="3089" t="s">
        <v>2696</v>
      </c>
      <c r="D97" s="3089" t="s">
        <v>2697</v>
      </c>
      <c r="E97" s="3115">
        <v>0.1</v>
      </c>
      <c r="F97" s="3115">
        <v>15</v>
      </c>
    </row>
    <row r="98" spans="1:6" ht="24">
      <c r="A98" s="3115">
        <v>26</v>
      </c>
      <c r="B98" s="3808"/>
      <c r="C98" s="3089" t="s">
        <v>2698</v>
      </c>
      <c r="D98" s="3089" t="s">
        <v>2699</v>
      </c>
      <c r="E98" s="3115">
        <v>0.1</v>
      </c>
      <c r="F98" s="3115">
        <v>15</v>
      </c>
    </row>
    <row r="99" spans="1:6" ht="24">
      <c r="A99" s="3115">
        <v>27</v>
      </c>
      <c r="B99" s="3808"/>
      <c r="C99" s="3089" t="s">
        <v>2700</v>
      </c>
      <c r="D99" s="3089" t="s">
        <v>2701</v>
      </c>
      <c r="E99" s="3115">
        <v>0.1</v>
      </c>
      <c r="F99" s="3115">
        <v>15</v>
      </c>
    </row>
    <row r="100" spans="1:6" ht="13.5">
      <c r="A100" s="3115">
        <v>28</v>
      </c>
      <c r="B100" s="3808"/>
      <c r="C100" s="3089" t="s">
        <v>2702</v>
      </c>
      <c r="D100" s="3089" t="s">
        <v>2703</v>
      </c>
      <c r="E100" s="3115">
        <v>0.1</v>
      </c>
      <c r="F100" s="3115">
        <v>15</v>
      </c>
    </row>
    <row r="101" spans="1:6" ht="13.5">
      <c r="A101" s="3115">
        <v>29</v>
      </c>
      <c r="B101" s="3808"/>
      <c r="C101" s="3089" t="s">
        <v>2704</v>
      </c>
      <c r="D101" s="3089" t="s">
        <v>2705</v>
      </c>
      <c r="E101" s="3115">
        <v>0.1</v>
      </c>
      <c r="F101" s="3115">
        <v>15</v>
      </c>
    </row>
    <row r="102" spans="1:6" ht="13.5">
      <c r="A102" s="3115">
        <v>30</v>
      </c>
      <c r="B102" s="3808"/>
      <c r="C102" s="3089" t="s">
        <v>2706</v>
      </c>
      <c r="D102" s="3089" t="s">
        <v>2707</v>
      </c>
      <c r="E102" s="3115">
        <v>0.1</v>
      </c>
      <c r="F102" s="3115">
        <v>15</v>
      </c>
    </row>
    <row r="103" spans="1:6" ht="24">
      <c r="A103" s="3115">
        <v>31</v>
      </c>
      <c r="B103" s="3808"/>
      <c r="C103" s="3089" t="s">
        <v>2708</v>
      </c>
      <c r="D103" s="3089" t="s">
        <v>2709</v>
      </c>
      <c r="E103" s="3115">
        <v>0.1</v>
      </c>
      <c r="F103" s="3115">
        <v>15</v>
      </c>
    </row>
    <row r="104" spans="1:6" ht="24">
      <c r="A104" s="3115">
        <v>32</v>
      </c>
      <c r="B104" s="3808"/>
      <c r="C104" s="3089" t="s">
        <v>2710</v>
      </c>
      <c r="D104" s="3089" t="s">
        <v>2711</v>
      </c>
      <c r="E104" s="3115">
        <v>0.1</v>
      </c>
      <c r="F104" s="3115">
        <v>15</v>
      </c>
    </row>
    <row r="105" spans="1:6" ht="24">
      <c r="A105" s="3115">
        <v>33</v>
      </c>
      <c r="B105" s="3808"/>
      <c r="C105" s="3089" t="s">
        <v>2712</v>
      </c>
      <c r="D105" s="3089" t="s">
        <v>2713</v>
      </c>
      <c r="E105" s="3115">
        <v>0.1</v>
      </c>
      <c r="F105" s="3115">
        <v>15</v>
      </c>
    </row>
    <row r="106" spans="1:6" ht="24">
      <c r="A106" s="3115">
        <v>34</v>
      </c>
      <c r="B106" s="3817"/>
      <c r="C106" s="3089" t="s">
        <v>2714</v>
      </c>
      <c r="D106" s="3089" t="s">
        <v>2715</v>
      </c>
      <c r="E106" s="3115">
        <v>0.1</v>
      </c>
      <c r="F106" s="3115">
        <v>15</v>
      </c>
    </row>
    <row r="107" spans="1:6" ht="24">
      <c r="A107" s="3115">
        <v>35</v>
      </c>
      <c r="B107" s="3813" t="s">
        <v>2716</v>
      </c>
      <c r="C107" s="3115" t="s">
        <v>2717</v>
      </c>
      <c r="D107" s="3089" t="s">
        <v>2718</v>
      </c>
      <c r="E107" s="3115">
        <v>0.15</v>
      </c>
      <c r="F107" s="3115">
        <v>20</v>
      </c>
    </row>
    <row r="108" spans="1:6" ht="13.5">
      <c r="A108" s="3115">
        <v>36</v>
      </c>
      <c r="B108" s="3808"/>
      <c r="C108" s="3115" t="s">
        <v>2719</v>
      </c>
      <c r="D108" s="3089" t="s">
        <v>2720</v>
      </c>
      <c r="E108" s="3115">
        <v>0.15</v>
      </c>
      <c r="F108" s="3115">
        <v>20</v>
      </c>
    </row>
    <row r="109" spans="1:6" ht="13.5">
      <c r="A109" s="3115">
        <v>37</v>
      </c>
      <c r="B109" s="3808"/>
      <c r="C109" s="3115" t="s">
        <v>2721</v>
      </c>
      <c r="D109" s="3089" t="s">
        <v>2722</v>
      </c>
      <c r="E109" s="3115">
        <v>0.15</v>
      </c>
      <c r="F109" s="3115">
        <v>20</v>
      </c>
    </row>
    <row r="110" spans="1:6" ht="13.5">
      <c r="A110" s="3115">
        <v>38</v>
      </c>
      <c r="B110" s="3808"/>
      <c r="C110" s="3115" t="s">
        <v>2723</v>
      </c>
      <c r="D110" s="3089" t="s">
        <v>2724</v>
      </c>
      <c r="E110" s="3115">
        <v>0.1</v>
      </c>
      <c r="F110" s="3115">
        <v>15</v>
      </c>
    </row>
    <row r="111" spans="1:6" ht="24">
      <c r="A111" s="3115">
        <v>39</v>
      </c>
      <c r="B111" s="3808"/>
      <c r="C111" s="3115" t="s">
        <v>2725</v>
      </c>
      <c r="D111" s="3089" t="s">
        <v>2726</v>
      </c>
      <c r="E111" s="3115">
        <v>0.1</v>
      </c>
      <c r="F111" s="3115">
        <v>15</v>
      </c>
    </row>
    <row r="112" spans="1:6" ht="24">
      <c r="A112" s="3115">
        <v>40</v>
      </c>
      <c r="B112" s="3817"/>
      <c r="C112" s="3115" t="s">
        <v>2727</v>
      </c>
      <c r="D112" s="3089" t="s">
        <v>2728</v>
      </c>
      <c r="E112" s="3115">
        <v>0.1</v>
      </c>
      <c r="F112" s="3115">
        <v>15</v>
      </c>
    </row>
    <row r="113" spans="1:6" ht="13.5">
      <c r="A113" s="3115">
        <v>41</v>
      </c>
      <c r="B113" s="3818" t="s">
        <v>2729</v>
      </c>
      <c r="C113" s="3115" t="s">
        <v>2730</v>
      </c>
      <c r="D113" s="3089" t="s">
        <v>2731</v>
      </c>
      <c r="E113" s="3115">
        <v>0.1</v>
      </c>
      <c r="F113" s="3115">
        <v>15</v>
      </c>
    </row>
    <row r="114" spans="1:6" ht="13.5">
      <c r="A114" s="3115">
        <v>42</v>
      </c>
      <c r="B114" s="3818"/>
      <c r="C114" s="3115" t="s">
        <v>2732</v>
      </c>
      <c r="D114" s="3089" t="s">
        <v>2733</v>
      </c>
      <c r="E114" s="3115">
        <v>0.1</v>
      </c>
      <c r="F114" s="3115">
        <v>15</v>
      </c>
    </row>
    <row r="115" spans="1:6" ht="24">
      <c r="A115" s="3115">
        <v>43</v>
      </c>
      <c r="B115" s="3818"/>
      <c r="C115" s="3115" t="s">
        <v>2734</v>
      </c>
      <c r="D115" s="3089" t="s">
        <v>2735</v>
      </c>
      <c r="E115" s="3115">
        <v>0.1</v>
      </c>
      <c r="F115" s="3115">
        <v>15</v>
      </c>
    </row>
    <row r="116" spans="1:6" ht="13.5">
      <c r="A116" s="3115">
        <v>44</v>
      </c>
      <c r="B116" s="3813" t="s">
        <v>2736</v>
      </c>
      <c r="C116" s="3115" t="s">
        <v>2737</v>
      </c>
      <c r="D116" s="3089" t="s">
        <v>2738</v>
      </c>
      <c r="E116" s="3115">
        <v>0.1</v>
      </c>
      <c r="F116" s="3115">
        <v>15</v>
      </c>
    </row>
    <row r="117" spans="1:6" ht="24">
      <c r="A117" s="3115">
        <v>45</v>
      </c>
      <c r="B117" s="3817"/>
      <c r="C117" s="3089" t="s">
        <v>2739</v>
      </c>
      <c r="D117" s="3089" t="s">
        <v>2740</v>
      </c>
      <c r="E117" s="3115">
        <v>0.1</v>
      </c>
      <c r="F117" s="3115">
        <v>15</v>
      </c>
    </row>
    <row r="118" spans="1:6" ht="24">
      <c r="A118" s="3115">
        <v>46</v>
      </c>
      <c r="B118" s="3813" t="s">
        <v>2741</v>
      </c>
      <c r="C118" s="3115" t="s">
        <v>2742</v>
      </c>
      <c r="D118" s="3089" t="s">
        <v>2743</v>
      </c>
      <c r="E118" s="3115">
        <v>0.1</v>
      </c>
      <c r="F118" s="3115">
        <v>15</v>
      </c>
    </row>
    <row r="119" spans="1:6" ht="24">
      <c r="A119" s="3115">
        <v>47</v>
      </c>
      <c r="B119" s="3817"/>
      <c r="C119" s="3115" t="s">
        <v>2744</v>
      </c>
      <c r="D119" s="3089" t="s">
        <v>2745</v>
      </c>
      <c r="E119" s="3115">
        <v>0.1</v>
      </c>
      <c r="F119" s="3115">
        <v>15</v>
      </c>
    </row>
    <row r="120" spans="1:6" ht="13.5">
      <c r="A120" s="3115">
        <v>48</v>
      </c>
      <c r="B120" s="3813" t="s">
        <v>2746</v>
      </c>
      <c r="C120" s="3115" t="s">
        <v>2747</v>
      </c>
      <c r="D120" s="3089" t="s">
        <v>2748</v>
      </c>
      <c r="E120" s="3115">
        <v>0.1</v>
      </c>
      <c r="F120" s="3115">
        <v>15</v>
      </c>
    </row>
    <row r="121" spans="1:6" ht="13.5">
      <c r="A121" s="3115">
        <v>49</v>
      </c>
      <c r="B121" s="3817"/>
      <c r="C121" s="3115" t="s">
        <v>2749</v>
      </c>
      <c r="D121" s="3089" t="s">
        <v>2750</v>
      </c>
      <c r="E121" s="3115">
        <v>0.1</v>
      </c>
      <c r="F121" s="3115">
        <v>15</v>
      </c>
    </row>
    <row r="122" spans="1:6" ht="24">
      <c r="A122" s="3115">
        <v>50</v>
      </c>
      <c r="B122" s="3818" t="s">
        <v>2751</v>
      </c>
      <c r="C122" s="3115" t="s">
        <v>2752</v>
      </c>
      <c r="D122" s="3089" t="s">
        <v>2753</v>
      </c>
      <c r="E122" s="3115">
        <v>0.1</v>
      </c>
      <c r="F122" s="3115">
        <v>15</v>
      </c>
    </row>
    <row r="123" spans="1:6" ht="24">
      <c r="A123" s="3115">
        <v>51</v>
      </c>
      <c r="B123" s="3818"/>
      <c r="C123" s="3115" t="s">
        <v>2754</v>
      </c>
      <c r="D123" s="3089" t="s">
        <v>2755</v>
      </c>
      <c r="E123" s="3115">
        <v>0.1</v>
      </c>
      <c r="F123" s="3115">
        <v>15</v>
      </c>
    </row>
    <row r="124" spans="1:6" ht="24">
      <c r="A124" s="3115">
        <v>52</v>
      </c>
      <c r="B124" s="3818" t="s">
        <v>2756</v>
      </c>
      <c r="C124" s="3115" t="s">
        <v>2757</v>
      </c>
      <c r="D124" s="3089" t="s">
        <v>2758</v>
      </c>
      <c r="E124" s="3115">
        <v>0.1</v>
      </c>
      <c r="F124" s="3115">
        <v>15</v>
      </c>
    </row>
    <row r="125" spans="1:6" ht="24">
      <c r="A125" s="3115">
        <v>53</v>
      </c>
      <c r="B125" s="3818"/>
      <c r="C125" s="3115" t="s">
        <v>2759</v>
      </c>
      <c r="D125" s="3089" t="s">
        <v>2760</v>
      </c>
      <c r="E125" s="3115">
        <v>0.1</v>
      </c>
      <c r="F125" s="3115">
        <v>15</v>
      </c>
    </row>
    <row r="126" spans="1:6" ht="13.5">
      <c r="A126" s="3115">
        <v>54</v>
      </c>
      <c r="B126" s="3115" t="s">
        <v>2761</v>
      </c>
      <c r="C126" s="3115" t="s">
        <v>2762</v>
      </c>
      <c r="D126" s="3089" t="s">
        <v>2763</v>
      </c>
      <c r="E126" s="3115">
        <v>0.1</v>
      </c>
      <c r="F126" s="3115">
        <v>15</v>
      </c>
    </row>
    <row r="127" spans="1:6" ht="13.5">
      <c r="A127" s="3115">
        <v>55</v>
      </c>
      <c r="B127" s="3818" t="s">
        <v>2764</v>
      </c>
      <c r="C127" s="3115" t="s">
        <v>2765</v>
      </c>
      <c r="D127" s="3089" t="s">
        <v>2766</v>
      </c>
      <c r="E127" s="3115">
        <v>0.1</v>
      </c>
      <c r="F127" s="3115">
        <v>15</v>
      </c>
    </row>
    <row r="128" spans="1:6" ht="13.5">
      <c r="A128" s="3115">
        <v>56</v>
      </c>
      <c r="B128" s="3818"/>
      <c r="C128" s="3115" t="s">
        <v>2767</v>
      </c>
      <c r="D128" s="3089" t="s">
        <v>2768</v>
      </c>
      <c r="E128" s="3115">
        <v>0.1</v>
      </c>
      <c r="F128" s="3115">
        <v>15</v>
      </c>
    </row>
    <row r="129" spans="1:6" ht="24">
      <c r="A129" s="3115">
        <v>57</v>
      </c>
      <c r="B129" s="3818"/>
      <c r="C129" s="3115" t="s">
        <v>2769</v>
      </c>
      <c r="D129" s="3089" t="s">
        <v>2770</v>
      </c>
      <c r="E129" s="3115">
        <v>0.1</v>
      </c>
      <c r="F129" s="3115">
        <v>15</v>
      </c>
    </row>
    <row r="130" spans="1:6" ht="24">
      <c r="A130" s="3115">
        <v>58</v>
      </c>
      <c r="B130" s="3818" t="s">
        <v>2771</v>
      </c>
      <c r="C130" s="3115" t="s">
        <v>2772</v>
      </c>
      <c r="D130" s="3089" t="s">
        <v>2773</v>
      </c>
      <c r="E130" s="3115">
        <v>0.1</v>
      </c>
      <c r="F130" s="3115">
        <v>15</v>
      </c>
    </row>
    <row r="131" spans="1:6" ht="13.5">
      <c r="A131" s="3115">
        <v>59</v>
      </c>
      <c r="B131" s="3818"/>
      <c r="C131" s="3115" t="s">
        <v>2774</v>
      </c>
      <c r="D131" s="3089" t="s">
        <v>2775</v>
      </c>
      <c r="E131" s="3115">
        <v>0.1</v>
      </c>
      <c r="F131" s="3115">
        <v>15</v>
      </c>
    </row>
    <row r="132" spans="1:6" ht="13.5">
      <c r="A132" s="3115">
        <v>60</v>
      </c>
      <c r="B132" s="3813" t="s">
        <v>2776</v>
      </c>
      <c r="C132" s="3115" t="s">
        <v>2777</v>
      </c>
      <c r="D132" s="3089" t="s">
        <v>2778</v>
      </c>
      <c r="E132" s="3115">
        <v>0.1</v>
      </c>
      <c r="F132" s="3115">
        <v>15</v>
      </c>
    </row>
    <row r="133" spans="1:6" ht="13.5">
      <c r="A133" s="3115">
        <v>61</v>
      </c>
      <c r="B133" s="3817"/>
      <c r="C133" s="3115" t="s">
        <v>2779</v>
      </c>
      <c r="D133" s="3089" t="s">
        <v>2780</v>
      </c>
      <c r="E133" s="3115">
        <v>0.1</v>
      </c>
      <c r="F133" s="3115">
        <v>15</v>
      </c>
    </row>
    <row r="134" spans="1:6" ht="24">
      <c r="A134" s="3115">
        <v>62</v>
      </c>
      <c r="B134" s="3115" t="s">
        <v>2781</v>
      </c>
      <c r="C134" s="3115" t="s">
        <v>2782</v>
      </c>
      <c r="D134" s="3089" t="s">
        <v>2783</v>
      </c>
      <c r="E134" s="3115">
        <v>0.1</v>
      </c>
      <c r="F134" s="3115">
        <v>15</v>
      </c>
    </row>
    <row r="135" spans="1:6" ht="13.5">
      <c r="A135" s="3115">
        <v>63</v>
      </c>
      <c r="B135" s="3818" t="s">
        <v>2784</v>
      </c>
      <c r="C135" s="3115" t="s">
        <v>2785</v>
      </c>
      <c r="D135" s="3089" t="s">
        <v>2786</v>
      </c>
      <c r="E135" s="3115">
        <v>0.1</v>
      </c>
      <c r="F135" s="3115">
        <v>15</v>
      </c>
    </row>
    <row r="136" spans="1:6" ht="13.5">
      <c r="A136" s="3115">
        <v>64</v>
      </c>
      <c r="B136" s="3818"/>
      <c r="C136" s="3115" t="s">
        <v>2787</v>
      </c>
      <c r="D136" s="3089" t="s">
        <v>2788</v>
      </c>
      <c r="E136" s="3115">
        <v>0.1</v>
      </c>
      <c r="F136" s="3115">
        <v>15</v>
      </c>
    </row>
    <row r="137" spans="1:6" ht="13.5">
      <c r="A137" s="3115">
        <v>65</v>
      </c>
      <c r="B137" s="3115" t="s">
        <v>2789</v>
      </c>
      <c r="C137" s="3115" t="s">
        <v>2790</v>
      </c>
      <c r="D137" s="3089" t="s">
        <v>2791</v>
      </c>
      <c r="E137" s="3115">
        <v>0.1</v>
      </c>
      <c r="F137" s="3115">
        <v>15</v>
      </c>
    </row>
    <row r="138" spans="1:6" ht="13.5">
      <c r="A138" s="3115"/>
      <c r="B138" s="3115"/>
      <c r="C138" s="3115"/>
      <c r="D138" s="3115"/>
      <c r="E138" s="3115" t="s">
        <v>2792</v>
      </c>
      <c r="F138" s="311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2793</v>
      </c>
      <c r="B1" s="3124"/>
      <c r="C1" s="3124"/>
      <c r="D1" s="3124"/>
      <c r="E1" s="3124"/>
      <c r="F1" s="3124"/>
      <c r="G1" s="3124"/>
      <c r="H1" s="3124"/>
      <c r="I1" s="3124"/>
      <c r="J1" s="3124"/>
      <c r="K1" s="3124"/>
      <c r="L1" s="3124"/>
      <c r="M1" s="3124"/>
      <c r="N1" s="747"/>
    </row>
    <row r="2" spans="1:20">
      <c r="A2" s="3125" t="s">
        <v>2794</v>
      </c>
      <c r="B2" s="3126" t="s">
        <v>2590</v>
      </c>
      <c r="C2" s="3126" t="s">
        <v>2591</v>
      </c>
      <c r="D2" s="3126" t="s">
        <v>2592</v>
      </c>
      <c r="E2" s="3126" t="s">
        <v>2593</v>
      </c>
      <c r="F2" s="3126" t="s">
        <v>2594</v>
      </c>
      <c r="G2" s="3126" t="s">
        <v>2595</v>
      </c>
      <c r="H2" s="3127" t="s">
        <v>2596</v>
      </c>
      <c r="I2" s="3127" t="s">
        <v>2597</v>
      </c>
      <c r="J2" s="3128" t="s">
        <v>2598</v>
      </c>
      <c r="K2" s="3128" t="s">
        <v>2599</v>
      </c>
      <c r="L2" s="3128" t="s">
        <v>2600</v>
      </c>
      <c r="M2" s="3129" t="s">
        <v>2601</v>
      </c>
      <c r="Q2" s="3139" t="s">
        <v>2799</v>
      </c>
      <c r="R2" s="3139" t="s">
        <v>2800</v>
      </c>
      <c r="S2" s="3139" t="s">
        <v>2801</v>
      </c>
      <c r="T2" s="3139" t="s">
        <v>2802</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2795</v>
      </c>
      <c r="B93" s="3124"/>
      <c r="C93" s="3124"/>
      <c r="D93" s="3124"/>
      <c r="E93" s="3124"/>
      <c r="F93" s="3124"/>
      <c r="G93" s="3124"/>
      <c r="H93" s="3124"/>
      <c r="I93" s="3124"/>
      <c r="J93" s="3124"/>
      <c r="K93" s="3124"/>
      <c r="L93" s="3124"/>
      <c r="M93" s="3124"/>
    </row>
    <row r="94" spans="1:20">
      <c r="A94" s="3125" t="s">
        <v>2794</v>
      </c>
      <c r="B94" s="3126" t="s">
        <v>2590</v>
      </c>
      <c r="C94" s="3126" t="s">
        <v>2591</v>
      </c>
      <c r="D94" s="3126" t="s">
        <v>2592</v>
      </c>
      <c r="E94" s="3126" t="s">
        <v>2593</v>
      </c>
      <c r="F94" s="3126" t="s">
        <v>2594</v>
      </c>
      <c r="G94" s="3126" t="s">
        <v>2595</v>
      </c>
      <c r="H94" s="3127" t="s">
        <v>2596</v>
      </c>
      <c r="I94" s="3127" t="s">
        <v>2597</v>
      </c>
      <c r="J94" s="3128" t="s">
        <v>2598</v>
      </c>
      <c r="K94" s="3128" t="s">
        <v>2599</v>
      </c>
      <c r="L94" s="3128" t="s">
        <v>2600</v>
      </c>
      <c r="M94" s="3129" t="s">
        <v>2601</v>
      </c>
      <c r="N94" s="748">
        <f>SUMPRODUCT((A95:A184=ROUNDDOWN(基准地价修正!G3,1))*(B94:M94=基准地价修正!G2)*(B95:M184))</f>
        <v>0.9415</v>
      </c>
      <c r="Q94" s="3139" t="s">
        <v>2799</v>
      </c>
      <c r="R94" s="3139" t="s">
        <v>2800</v>
      </c>
      <c r="S94" s="3139" t="s">
        <v>2801</v>
      </c>
      <c r="T94" s="3139" t="s">
        <v>2802</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2796</v>
      </c>
      <c r="B185" s="3124"/>
      <c r="C185" s="3124"/>
      <c r="D185" s="3124"/>
      <c r="E185" s="3124"/>
      <c r="F185" s="3124"/>
      <c r="G185" s="3124"/>
      <c r="H185" s="3124"/>
      <c r="I185" s="3124"/>
      <c r="J185" s="3124"/>
      <c r="K185" s="3124"/>
      <c r="L185" s="3124"/>
      <c r="M185" s="3124"/>
    </row>
    <row r="186" spans="1:20">
      <c r="A186" s="3125" t="s">
        <v>2794</v>
      </c>
      <c r="B186" s="3126" t="s">
        <v>2590</v>
      </c>
      <c r="C186" s="3126" t="s">
        <v>2591</v>
      </c>
      <c r="D186" s="3126" t="s">
        <v>2592</v>
      </c>
      <c r="E186" s="3126" t="s">
        <v>2593</v>
      </c>
      <c r="F186" s="3126" t="s">
        <v>2594</v>
      </c>
      <c r="G186" s="3126" t="s">
        <v>2595</v>
      </c>
      <c r="H186" s="3127" t="s">
        <v>2596</v>
      </c>
      <c r="I186" s="3127" t="s">
        <v>2597</v>
      </c>
      <c r="J186" s="3128" t="s">
        <v>2598</v>
      </c>
      <c r="K186" s="3128" t="s">
        <v>2599</v>
      </c>
      <c r="L186" s="3128" t="s">
        <v>2600</v>
      </c>
      <c r="M186" s="3129" t="s">
        <v>2601</v>
      </c>
      <c r="Q186" s="3139" t="s">
        <v>2799</v>
      </c>
      <c r="R186" s="3139" t="s">
        <v>2800</v>
      </c>
      <c r="S186" s="3139" t="s">
        <v>2801</v>
      </c>
      <c r="T186" s="3139" t="s">
        <v>2802</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2797</v>
      </c>
      <c r="B277" s="3124"/>
      <c r="C277" s="3124"/>
      <c r="D277" s="3124"/>
      <c r="E277" s="3124"/>
      <c r="F277" s="3124"/>
      <c r="G277" s="3124"/>
      <c r="H277" s="3124"/>
      <c r="I277" s="3124"/>
      <c r="J277" s="3124"/>
      <c r="K277" s="3124"/>
      <c r="L277" s="3124"/>
      <c r="M277" s="3124"/>
    </row>
    <row r="278" spans="1:21">
      <c r="A278" s="3125" t="s">
        <v>2794</v>
      </c>
      <c r="B278" s="3126" t="s">
        <v>2590</v>
      </c>
      <c r="C278" s="3126" t="s">
        <v>2591</v>
      </c>
      <c r="D278" s="3126" t="s">
        <v>2592</v>
      </c>
      <c r="E278" s="3126" t="s">
        <v>2593</v>
      </c>
      <c r="F278" s="3126" t="s">
        <v>2594</v>
      </c>
      <c r="G278" s="3126" t="s">
        <v>2595</v>
      </c>
      <c r="H278" s="3127" t="s">
        <v>2596</v>
      </c>
      <c r="I278" s="3127" t="s">
        <v>2597</v>
      </c>
      <c r="J278" s="3128" t="s">
        <v>2598</v>
      </c>
      <c r="K278" s="3128" t="s">
        <v>2599</v>
      </c>
      <c r="L278" s="3128" t="s">
        <v>2600</v>
      </c>
      <c r="M278" s="3129" t="s">
        <v>2601</v>
      </c>
      <c r="Q278" s="3139" t="s">
        <v>2799</v>
      </c>
      <c r="R278" s="3139" t="s">
        <v>2800</v>
      </c>
      <c r="S278" s="3139" t="s">
        <v>2803</v>
      </c>
      <c r="T278" s="3139" t="s">
        <v>2804</v>
      </c>
      <c r="U278" s="3139" t="s">
        <v>2802</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2798</v>
      </c>
      <c r="B369" s="3137"/>
      <c r="C369" s="3137"/>
      <c r="D369" s="3137"/>
      <c r="E369" s="3137"/>
      <c r="F369" s="3137"/>
      <c r="G369" s="3137"/>
      <c r="H369" s="3137"/>
      <c r="I369" s="3137"/>
      <c r="J369" s="3137"/>
      <c r="K369" s="3137"/>
      <c r="L369" s="3137"/>
      <c r="M369" s="3137"/>
    </row>
    <row r="370" spans="1:20">
      <c r="A370" s="3125" t="s">
        <v>2794</v>
      </c>
      <c r="B370" s="3126" t="s">
        <v>2590</v>
      </c>
      <c r="C370" s="3126" t="s">
        <v>2591</v>
      </c>
      <c r="D370" s="3126" t="s">
        <v>2592</v>
      </c>
      <c r="E370" s="3126" t="s">
        <v>2593</v>
      </c>
      <c r="F370" s="3126" t="s">
        <v>2594</v>
      </c>
      <c r="G370" s="3126" t="s">
        <v>2595</v>
      </c>
      <c r="H370" s="3127" t="s">
        <v>2596</v>
      </c>
      <c r="I370" s="3127" t="s">
        <v>2597</v>
      </c>
      <c r="J370" s="3128" t="s">
        <v>2598</v>
      </c>
      <c r="K370" s="3128" t="s">
        <v>2599</v>
      </c>
      <c r="L370" s="3128" t="s">
        <v>2600</v>
      </c>
      <c r="M370" s="3129" t="s">
        <v>2601</v>
      </c>
      <c r="N370" s="748">
        <f>SUMPRODUCT((A371:A460=ROUNDDOWN(基准地价修正!G3,1))*(B370:M370=基准地价修正!G2)*(B371:M460))</f>
        <v>0.89559999999999995</v>
      </c>
      <c r="Q370" s="3139" t="s">
        <v>2799</v>
      </c>
      <c r="R370" s="3139" t="s">
        <v>2800</v>
      </c>
      <c r="S370" s="3139" t="s">
        <v>2801</v>
      </c>
      <c r="T370" s="3139" t="s">
        <v>2802</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128052</v>
      </c>
      <c r="C2" s="2" t="s">
        <v>106</v>
      </c>
      <c r="D2" s="197"/>
      <c r="E2" s="197"/>
      <c r="F2" s="197"/>
      <c r="G2" s="197"/>
    </row>
    <row r="3" spans="1:7" s="198" customFormat="1" ht="18" customHeight="1" thickBot="1">
      <c r="A3" s="201" t="s">
        <v>58</v>
      </c>
      <c r="B3" s="202">
        <f ca="1">ROUND(B2*10000/'数据-汇总表'!E3,0)</f>
        <v>10674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2399</v>
      </c>
      <c r="D10" s="843">
        <f>'数据-汇总表'!E6</f>
        <v>119963.53</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2399</v>
      </c>
      <c r="D19" s="847">
        <f>'数据-汇总表'!E3</f>
        <v>119963.53</v>
      </c>
      <c r="E19" s="209">
        <f>'数据-取费表'!B31</f>
        <v>200</v>
      </c>
      <c r="F19" s="229"/>
      <c r="G19" s="1" t="s">
        <v>436</v>
      </c>
    </row>
    <row r="20" spans="1:7" s="212" customFormat="1" ht="13.5" customHeight="1">
      <c r="A20" s="775" t="s">
        <v>419</v>
      </c>
      <c r="B20" s="208" t="s">
        <v>77</v>
      </c>
      <c r="C20" s="230">
        <f>ROUND((C5+C19)*F20,0)</f>
        <v>690</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2501</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257</v>
      </c>
      <c r="D24" s="236"/>
      <c r="E24" s="236"/>
      <c r="F24" s="237"/>
      <c r="G24" s="238" t="s">
        <v>82</v>
      </c>
    </row>
    <row r="25" spans="1:7" s="212" customFormat="1" ht="24">
      <c r="A25" s="778" t="s">
        <v>348</v>
      </c>
      <c r="B25" s="213" t="s">
        <v>420</v>
      </c>
      <c r="C25" s="1103">
        <f ca="1">ROUND(IF('数据-取费表'!B22&lt;=1,C20*F22*'数据-取费表'!B23/2,C20*(POWER((1+F22),'数据-取费表'!B23/2)-1)),0)</f>
        <v>36</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5925</v>
      </c>
      <c r="D27" s="233">
        <f>C29</f>
        <v>7.4999999999999997E-3</v>
      </c>
      <c r="E27" s="234" t="s">
        <v>99</v>
      </c>
      <c r="F27" s="244">
        <f>'数据-取费表'!Q16</f>
        <v>0.25</v>
      </c>
      <c r="G27" s="245" t="s">
        <v>431</v>
      </c>
    </row>
    <row r="28" spans="1:7" s="212" customFormat="1" ht="13.5" customHeight="1">
      <c r="A28" s="778" t="s">
        <v>349</v>
      </c>
      <c r="B28" s="246" t="s">
        <v>424</v>
      </c>
      <c r="C28" s="247">
        <f>ROUND((C5+C19+C20)*F27*'数据-取费表'!B21/'数据-取费表'!B20,0)</f>
        <v>5925</v>
      </c>
      <c r="D28" s="233"/>
      <c r="E28" s="234"/>
      <c r="F28" s="244"/>
      <c r="G28" s="245"/>
    </row>
    <row r="29" spans="1:7" s="212" customFormat="1" ht="13.5" customHeight="1">
      <c r="A29" s="778" t="s">
        <v>347</v>
      </c>
      <c r="B29" s="246" t="s">
        <v>425</v>
      </c>
      <c r="C29" s="236">
        <f>ROUND(C21*F27*'数据-取费表'!B21/'数据-取费表'!B20,4)</f>
        <v>7.4999999999999997E-3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35360</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71348</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65980</v>
      </c>
      <c r="D34" s="215"/>
      <c r="E34" s="218"/>
      <c r="F34" s="255">
        <f>IF('数据-取费表'!B24=0,1,'数据-取费表'!N16)</f>
        <v>1</v>
      </c>
      <c r="G34" s="217" t="s">
        <v>89</v>
      </c>
    </row>
    <row r="35" spans="1:7" ht="13.5" customHeight="1">
      <c r="A35" s="778" t="s">
        <v>351</v>
      </c>
      <c r="B35" s="213" t="s">
        <v>33</v>
      </c>
      <c r="C35" s="218">
        <f>ROUND(C34*F35,0)</f>
        <v>1979</v>
      </c>
      <c r="D35" s="218"/>
      <c r="E35" s="218"/>
      <c r="F35" s="257">
        <f>'数据-取费表'!B33</f>
        <v>0.03</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2399</v>
      </c>
      <c r="D37" s="215">
        <f>'数据-汇总表'!E3</f>
        <v>119963.53</v>
      </c>
      <c r="E37" s="247">
        <f>'数据-取费表'!B35</f>
        <v>200</v>
      </c>
      <c r="F37" s="257"/>
      <c r="G37" s="259" t="s">
        <v>92</v>
      </c>
    </row>
    <row r="38" spans="1:7" ht="13.5" customHeight="1">
      <c r="A38" s="778" t="s">
        <v>354</v>
      </c>
      <c r="B38" s="213" t="s">
        <v>36</v>
      </c>
      <c r="C38" s="218">
        <f>ROUND(C34*F38,0)</f>
        <v>990</v>
      </c>
      <c r="D38" s="218"/>
      <c r="E38" s="218"/>
      <c r="F38" s="257">
        <f>'数据-取费表'!B36</f>
        <v>1.4999999999999999E-2</v>
      </c>
      <c r="G38" s="217" t="s">
        <v>90</v>
      </c>
    </row>
    <row r="39" spans="1:7" s="212" customFormat="1" ht="13.5" customHeight="1">
      <c r="A39" s="775" t="s">
        <v>338</v>
      </c>
      <c r="B39" s="208" t="s">
        <v>77</v>
      </c>
      <c r="C39" s="230">
        <f>ROUND(C33*F20,0)</f>
        <v>2140</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3836</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3724</v>
      </c>
      <c r="D42" s="236"/>
      <c r="E42" s="236"/>
      <c r="F42" s="237"/>
      <c r="G42" s="3683" t="s">
        <v>94</v>
      </c>
    </row>
    <row r="43" spans="1:7" ht="13.5" customHeight="1">
      <c r="A43" s="778" t="s">
        <v>347</v>
      </c>
      <c r="B43" s="213" t="s">
        <v>426</v>
      </c>
      <c r="C43" s="236">
        <f ca="1">ROUND(IF('数据-取费表'!B22&lt;=1,C39*F22*'数据-取费表'!B21/2,C39*(POWER((1+F22),'数据-取费表'!B21/2)-1)),0)</f>
        <v>112</v>
      </c>
      <c r="D43" s="236"/>
      <c r="E43" s="236"/>
      <c r="F43" s="237"/>
      <c r="G43" s="3684"/>
    </row>
    <row r="44" spans="1:7" ht="13.5" customHeight="1">
      <c r="A44" s="778" t="s">
        <v>348</v>
      </c>
      <c r="B44" s="213" t="s">
        <v>428</v>
      </c>
      <c r="C44" s="236">
        <f ca="1">ROUND(IF('数据-取费表'!B22&lt;=1,C40*F22*'数据-取费表'!B21/2,C40*(POWER((1+F22),'数据-取费表'!B21/2)-1)),4)</f>
        <v>1.6000000000000001E-3</v>
      </c>
      <c r="D44" s="236"/>
      <c r="E44" s="236"/>
      <c r="F44" s="237"/>
      <c r="G44" s="3685"/>
    </row>
    <row r="45" spans="1:7" s="212" customFormat="1" ht="13.5" customHeight="1">
      <c r="A45" s="775" t="s">
        <v>341</v>
      </c>
      <c r="B45" s="242" t="s">
        <v>85</v>
      </c>
      <c r="C45" s="243">
        <f>C46</f>
        <v>18372</v>
      </c>
      <c r="D45" s="233">
        <f>C47</f>
        <v>7.4999999999999997E-3</v>
      </c>
      <c r="E45" s="234" t="s">
        <v>102</v>
      </c>
      <c r="F45" s="244"/>
      <c r="G45" s="245" t="s">
        <v>434</v>
      </c>
    </row>
    <row r="46" spans="1:7" s="212" customFormat="1" ht="13.5" customHeight="1">
      <c r="A46" s="778" t="s">
        <v>349</v>
      </c>
      <c r="B46" s="246" t="s">
        <v>427</v>
      </c>
      <c r="C46" s="247">
        <f>ROUND((C33+C39)*F27,0)</f>
        <v>18372</v>
      </c>
      <c r="D46" s="261"/>
      <c r="E46" s="234"/>
      <c r="F46" s="244"/>
      <c r="G46" s="245"/>
    </row>
    <row r="47" spans="1:7" s="212" customFormat="1" ht="13.5" customHeight="1">
      <c r="A47" s="778" t="s">
        <v>347</v>
      </c>
      <c r="B47" s="246" t="s">
        <v>429</v>
      </c>
      <c r="C47" s="236">
        <f>ROUND(C40*F27,4)</f>
        <v>7.4999999999999997E-3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105332</v>
      </c>
      <c r="D49" s="230"/>
      <c r="E49" s="230"/>
      <c r="F49" s="262"/>
      <c r="G49" s="232" t="s">
        <v>435</v>
      </c>
    </row>
    <row r="50" spans="1:7" s="256" customFormat="1" ht="24">
      <c r="A50" s="775" t="s">
        <v>344</v>
      </c>
      <c r="B50" s="208" t="s">
        <v>97</v>
      </c>
      <c r="C50" s="230"/>
      <c r="D50" s="230"/>
      <c r="E50" s="230"/>
      <c r="F50" s="262">
        <f>IF('数据-取费表'!B24=0,'数据-取费表'!N16,1)</f>
        <v>0.88</v>
      </c>
      <c r="G50" s="245" t="s">
        <v>98</v>
      </c>
    </row>
    <row r="51" spans="1:7" ht="16.5" customHeight="1">
      <c r="A51" s="775" t="s">
        <v>345</v>
      </c>
      <c r="B51" s="208" t="s">
        <v>105</v>
      </c>
      <c r="C51" s="230">
        <f ca="1">ROUND(C49*F50,0)</f>
        <v>92692</v>
      </c>
      <c r="D51" s="230"/>
      <c r="E51" s="230"/>
      <c r="F51" s="262"/>
      <c r="G51" s="232" t="s">
        <v>37</v>
      </c>
    </row>
    <row r="52" spans="1:7" s="206" customFormat="1" ht="16.5" thickBot="1">
      <c r="A52" s="263" t="s">
        <v>38</v>
      </c>
      <c r="B52" s="264"/>
      <c r="C52" s="265">
        <f ca="1">C31+C51</f>
        <v>128052</v>
      </c>
      <c r="D52" s="264"/>
      <c r="E52" s="264"/>
      <c r="F52" s="264"/>
      <c r="G52" s="266"/>
    </row>
    <row r="55" spans="1:7" ht="15">
      <c r="B55" s="268" t="s">
        <v>39</v>
      </c>
      <c r="C55" s="269"/>
    </row>
    <row r="56" spans="1:7">
      <c r="B56" s="271" t="s">
        <v>40</v>
      </c>
      <c r="C56" s="272">
        <f ca="1">ROUND(C51/C52,3)</f>
        <v>0.72399999999999998</v>
      </c>
    </row>
    <row r="57" spans="1:7">
      <c r="B57" s="271" t="s">
        <v>41</v>
      </c>
      <c r="C57" s="273">
        <f ca="1">1-C56</f>
        <v>0.27600000000000002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1" t="s">
        <v>2834</v>
      </c>
      <c r="B1" s="3821"/>
      <c r="C1" s="3821"/>
      <c r="D1" s="3821"/>
      <c r="E1" s="3821"/>
      <c r="F1" s="3821"/>
      <c r="G1" s="3822"/>
      <c r="I1" s="3220" t="s">
        <v>2835</v>
      </c>
      <c r="J1" s="3221" t="s">
        <v>2836</v>
      </c>
      <c r="K1" s="3221" t="s">
        <v>2837</v>
      </c>
      <c r="L1" s="3221" t="s">
        <v>2838</v>
      </c>
      <c r="M1" s="3221" t="s">
        <v>2839</v>
      </c>
      <c r="N1" s="3221" t="s">
        <v>2840</v>
      </c>
      <c r="O1" s="3221" t="s">
        <v>2841</v>
      </c>
      <c r="P1" s="3221" t="s">
        <v>2842</v>
      </c>
      <c r="Q1" s="3221" t="s">
        <v>2843</v>
      </c>
      <c r="R1" s="3221" t="s">
        <v>2844</v>
      </c>
      <c r="S1" s="3221" t="s">
        <v>2845</v>
      </c>
      <c r="T1" s="3222" t="s">
        <v>2846</v>
      </c>
    </row>
    <row r="2" spans="1:20" ht="12" thickBot="1">
      <c r="A2" s="3224" t="s">
        <v>2847</v>
      </c>
      <c r="B2" s="3224"/>
      <c r="C2" s="3224"/>
      <c r="D2" s="3224"/>
      <c r="E2" s="3224"/>
      <c r="F2" s="3224"/>
      <c r="G2" s="3225" t="s">
        <v>2848</v>
      </c>
      <c r="I2" s="3226" t="s">
        <v>2849</v>
      </c>
      <c r="J2" s="3226" t="s">
        <v>2850</v>
      </c>
      <c r="K2" s="3226" t="s">
        <v>2851</v>
      </c>
      <c r="L2" s="3226" t="s">
        <v>2852</v>
      </c>
      <c r="M2" s="3226" t="s">
        <v>2853</v>
      </c>
      <c r="N2" s="3226" t="s">
        <v>2854</v>
      </c>
      <c r="O2" s="3226" t="s">
        <v>2855</v>
      </c>
      <c r="P2" s="3226" t="s">
        <v>2856</v>
      </c>
      <c r="Q2" s="3226" t="s">
        <v>2857</v>
      </c>
      <c r="R2" s="3226" t="s">
        <v>2858</v>
      </c>
      <c r="S2" s="3226" t="s">
        <v>2859</v>
      </c>
      <c r="T2" s="3226" t="s">
        <v>2860</v>
      </c>
    </row>
    <row r="3" spans="1:20" s="3232" customFormat="1">
      <c r="A3" s="3819" t="s">
        <v>2861</v>
      </c>
      <c r="B3" s="3227"/>
      <c r="C3" s="3228" t="s">
        <v>2806</v>
      </c>
      <c r="D3" s="3228" t="s">
        <v>2862</v>
      </c>
      <c r="E3" s="3228" t="s">
        <v>2808</v>
      </c>
      <c r="F3" s="3228" t="s">
        <v>2863</v>
      </c>
      <c r="G3" s="3228" t="s">
        <v>2626</v>
      </c>
      <c r="H3" s="3229"/>
      <c r="I3" s="3230" t="s">
        <v>2864</v>
      </c>
      <c r="J3" s="3231" t="s">
        <v>128</v>
      </c>
      <c r="K3" s="3231" t="s">
        <v>129</v>
      </c>
      <c r="L3" s="3230" t="s">
        <v>130</v>
      </c>
      <c r="M3" s="3230" t="s">
        <v>131</v>
      </c>
      <c r="N3" s="3230" t="s">
        <v>132</v>
      </c>
      <c r="O3" s="3230" t="s">
        <v>133</v>
      </c>
      <c r="P3" s="3230" t="s">
        <v>134</v>
      </c>
      <c r="Q3" s="3230" t="s">
        <v>135</v>
      </c>
      <c r="R3" s="3230" t="s">
        <v>136</v>
      </c>
      <c r="S3" s="3230" t="s">
        <v>2865</v>
      </c>
      <c r="T3" s="3230" t="s">
        <v>2866</v>
      </c>
    </row>
    <row r="4" spans="1:20" s="3232" customFormat="1" ht="12" thickBot="1">
      <c r="A4" s="3820"/>
      <c r="B4" s="3233" t="s">
        <v>2867</v>
      </c>
      <c r="C4" s="3233" t="s">
        <v>2868</v>
      </c>
      <c r="D4" s="3233" t="s">
        <v>2868</v>
      </c>
      <c r="E4" s="3233" t="s">
        <v>2868</v>
      </c>
      <c r="F4" s="3234" t="s">
        <v>2868</v>
      </c>
      <c r="G4" s="3234" t="s">
        <v>2868</v>
      </c>
      <c r="H4" s="3229"/>
      <c r="I4" s="3231" t="s">
        <v>137</v>
      </c>
      <c r="J4" s="3231" t="s">
        <v>111</v>
      </c>
      <c r="K4" s="3231" t="s">
        <v>138</v>
      </c>
      <c r="L4" s="3230" t="s">
        <v>139</v>
      </c>
      <c r="M4" s="3230" t="s">
        <v>140</v>
      </c>
      <c r="N4" s="3230" t="s">
        <v>141</v>
      </c>
      <c r="O4" s="3230" t="s">
        <v>142</v>
      </c>
      <c r="P4" s="3230" t="s">
        <v>143</v>
      </c>
      <c r="Q4" s="3230" t="s">
        <v>2869</v>
      </c>
      <c r="R4" s="3230" t="s">
        <v>2870</v>
      </c>
      <c r="S4" s="3230" t="s">
        <v>2871</v>
      </c>
      <c r="T4" s="3230" t="s">
        <v>2872</v>
      </c>
    </row>
    <row r="5" spans="1:20">
      <c r="A5" s="3235" t="s">
        <v>2835</v>
      </c>
      <c r="B5" s="3226" t="s">
        <v>2849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2873</v>
      </c>
      <c r="R5" s="3230" t="s">
        <v>2874</v>
      </c>
      <c r="S5" s="3230" t="s">
        <v>153</v>
      </c>
      <c r="T5" s="3230" t="s">
        <v>2875</v>
      </c>
    </row>
    <row r="6" spans="1:20" ht="12" thickBot="1">
      <c r="A6" s="3230" t="s">
        <v>144</v>
      </c>
      <c r="B6" s="3230" t="s">
        <v>2864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2876</v>
      </c>
      <c r="Q6" s="3230" t="s">
        <v>2877</v>
      </c>
      <c r="R6" s="3230" t="s">
        <v>161</v>
      </c>
      <c r="S6" s="3230" t="s">
        <v>2878</v>
      </c>
      <c r="T6" s="3230" t="s">
        <v>2879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2880</v>
      </c>
      <c r="Q7" s="3230" t="s">
        <v>2881</v>
      </c>
      <c r="R7" s="3230" t="s">
        <v>2882</v>
      </c>
      <c r="S7" s="3230" t="s">
        <v>2883</v>
      </c>
      <c r="T7" s="3230" t="s">
        <v>2884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2885</v>
      </c>
      <c r="Q8" s="3230" t="s">
        <v>174</v>
      </c>
      <c r="R8" s="3230" t="s">
        <v>2886</v>
      </c>
      <c r="S8" s="3230" t="s">
        <v>2887</v>
      </c>
      <c r="T8" s="3237" t="s">
        <v>2888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2889</v>
      </c>
      <c r="Q9" s="3230" t="s">
        <v>182</v>
      </c>
      <c r="R9" s="3230" t="s">
        <v>183</v>
      </c>
      <c r="S9" s="3230" t="s">
        <v>200</v>
      </c>
    </row>
    <row r="10" spans="1:20">
      <c r="A10" s="3235" t="s">
        <v>184</v>
      </c>
      <c r="B10" s="3226" t="s">
        <v>2850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2891</v>
      </c>
      <c r="P11" s="3230" t="s">
        <v>191</v>
      </c>
      <c r="Q11" s="3230" t="s">
        <v>199</v>
      </c>
      <c r="R11" s="3230" t="s">
        <v>2892</v>
      </c>
      <c r="S11" s="3230" t="s">
        <v>2893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2894</v>
      </c>
      <c r="P12" s="3230" t="s">
        <v>2895</v>
      </c>
      <c r="Q12" s="3230" t="s">
        <v>2896</v>
      </c>
      <c r="R12" s="3230" t="s">
        <v>2897</v>
      </c>
      <c r="S12" s="3230" t="s">
        <v>2898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2900</v>
      </c>
      <c r="K14" s="3231" t="s">
        <v>215</v>
      </c>
      <c r="L14" s="3230" t="s">
        <v>216</v>
      </c>
      <c r="M14" s="3230" t="s">
        <v>217</v>
      </c>
      <c r="N14" s="3230" t="s">
        <v>218</v>
      </c>
      <c r="O14" s="3230" t="s">
        <v>240</v>
      </c>
      <c r="P14" s="3230" t="s">
        <v>213</v>
      </c>
      <c r="Q14" s="3230" t="s">
        <v>2901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2902</v>
      </c>
      <c r="P15" s="3230" t="s">
        <v>2903</v>
      </c>
      <c r="Q15" s="3230" t="s">
        <v>242</v>
      </c>
      <c r="R15" s="3230" t="s">
        <v>2904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2905</v>
      </c>
      <c r="P16" s="3230" t="s">
        <v>227</v>
      </c>
      <c r="Q16" s="3230" t="s">
        <v>250</v>
      </c>
      <c r="R16" s="3230" t="s">
        <v>207</v>
      </c>
      <c r="S16" s="3230" t="s">
        <v>2906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2907</v>
      </c>
      <c r="P17" s="3230" t="s">
        <v>2908</v>
      </c>
      <c r="Q17" s="3230" t="s">
        <v>256</v>
      </c>
      <c r="R17" s="3230" t="s">
        <v>2909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2910</v>
      </c>
      <c r="P18" s="3230" t="s">
        <v>241</v>
      </c>
      <c r="Q18" s="3230" t="s">
        <v>2911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2912</v>
      </c>
      <c r="P19" s="3230" t="s">
        <v>249</v>
      </c>
      <c r="Q19" s="3230" t="s">
        <v>2913</v>
      </c>
      <c r="R19" s="3230" t="s">
        <v>265</v>
      </c>
      <c r="S19" s="3230" t="s">
        <v>2914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2915</v>
      </c>
      <c r="P20" s="3230" t="s">
        <v>2916</v>
      </c>
      <c r="Q20" s="3230" t="s">
        <v>290</v>
      </c>
      <c r="R20" s="3230" t="s">
        <v>2917</v>
      </c>
      <c r="S20" s="3230" t="s">
        <v>277</v>
      </c>
    </row>
    <row r="21" spans="1:19" ht="14.25" customHeight="1" thickBot="1">
      <c r="A21" s="3230" t="s">
        <v>184</v>
      </c>
      <c r="B21" s="3231" t="s">
        <v>208</v>
      </c>
      <c r="C21" s="3230">
        <v>32370</v>
      </c>
      <c r="D21" s="3230">
        <v>26730</v>
      </c>
      <c r="E21" s="3230">
        <v>26640</v>
      </c>
      <c r="F21" s="3230"/>
      <c r="G21" s="3230">
        <v>19440</v>
      </c>
      <c r="J21" s="3237" t="s">
        <v>2918</v>
      </c>
      <c r="K21" s="3231" t="s">
        <v>267</v>
      </c>
      <c r="L21" s="3230" t="s">
        <v>268</v>
      </c>
      <c r="M21" s="3230" t="s">
        <v>269</v>
      </c>
      <c r="N21" s="3230" t="s">
        <v>270</v>
      </c>
      <c r="O21" s="3230" t="s">
        <v>264</v>
      </c>
      <c r="P21" s="3230" t="s">
        <v>283</v>
      </c>
      <c r="Q21" s="3230" t="s">
        <v>293</v>
      </c>
      <c r="R21" s="3230" t="s">
        <v>2919</v>
      </c>
      <c r="S21" s="3237" t="s">
        <v>2920</v>
      </c>
    </row>
    <row r="22" spans="1:19" ht="14.25" customHeight="1">
      <c r="A22" s="3230" t="s">
        <v>184</v>
      </c>
      <c r="B22" s="3231" t="s">
        <v>2900</v>
      </c>
      <c r="C22" s="3230">
        <v>29830</v>
      </c>
      <c r="D22" s="3230">
        <v>27600</v>
      </c>
      <c r="E22" s="3230">
        <v>28150</v>
      </c>
      <c r="F22" s="3230"/>
      <c r="G22" s="3230">
        <v>20080</v>
      </c>
      <c r="K22" s="3231" t="s">
        <v>2921</v>
      </c>
      <c r="L22" s="3230" t="s">
        <v>272</v>
      </c>
      <c r="M22" s="3230" t="s">
        <v>273</v>
      </c>
      <c r="N22" s="3230" t="s">
        <v>274</v>
      </c>
      <c r="O22" s="3230" t="s">
        <v>2922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2923</v>
      </c>
      <c r="L23" s="3230" t="s">
        <v>278</v>
      </c>
      <c r="M23" s="3230" t="s">
        <v>279</v>
      </c>
      <c r="N23" s="3230" t="s">
        <v>2924</v>
      </c>
      <c r="O23" s="3230" t="s">
        <v>2925</v>
      </c>
      <c r="P23" s="3230" t="s">
        <v>289</v>
      </c>
      <c r="Q23" s="3230" t="s">
        <v>298</v>
      </c>
      <c r="R23" s="3230" t="s">
        <v>2926</v>
      </c>
    </row>
    <row r="24" spans="1:19" ht="14.25" customHeight="1">
      <c r="A24" s="3230" t="s">
        <v>184</v>
      </c>
      <c r="B24" s="3231" t="s">
        <v>230</v>
      </c>
      <c r="C24" s="3230">
        <v>27930</v>
      </c>
      <c r="D24" s="3230">
        <v>32260</v>
      </c>
      <c r="E24" s="3230">
        <v>32120</v>
      </c>
      <c r="F24" s="3230"/>
      <c r="G24" s="3230">
        <v>23470</v>
      </c>
      <c r="K24" s="3231" t="s">
        <v>2927</v>
      </c>
      <c r="L24" s="3230" t="s">
        <v>281</v>
      </c>
      <c r="M24" s="3230" t="s">
        <v>282</v>
      </c>
      <c r="N24" s="3230" t="s">
        <v>2928</v>
      </c>
      <c r="O24" s="3230" t="s">
        <v>285</v>
      </c>
      <c r="P24" s="3230" t="s">
        <v>2929</v>
      </c>
      <c r="Q24" s="3239" t="s">
        <v>2930</v>
      </c>
      <c r="R24" s="3230" t="s">
        <v>2931</v>
      </c>
    </row>
    <row r="25" spans="1:19" ht="14.25" customHeight="1">
      <c r="A25" s="3230" t="s">
        <v>184</v>
      </c>
      <c r="B25" s="3231" t="s">
        <v>235</v>
      </c>
      <c r="C25" s="3230">
        <v>32230</v>
      </c>
      <c r="D25" s="3230">
        <v>29640</v>
      </c>
      <c r="E25" s="3230">
        <v>29510</v>
      </c>
      <c r="F25" s="3230"/>
      <c r="G25" s="3230">
        <v>21560</v>
      </c>
      <c r="K25" s="3231" t="s">
        <v>2932</v>
      </c>
      <c r="L25" s="3230" t="s">
        <v>2933</v>
      </c>
      <c r="M25" s="3230" t="s">
        <v>284</v>
      </c>
      <c r="N25" s="3230" t="s">
        <v>292</v>
      </c>
      <c r="O25" s="3230" t="s">
        <v>288</v>
      </c>
      <c r="P25" s="3230" t="s">
        <v>275</v>
      </c>
      <c r="Q25" s="3239" t="s">
        <v>271</v>
      </c>
      <c r="R25" s="3230" t="s">
        <v>2934</v>
      </c>
    </row>
    <row r="26" spans="1:19" ht="14.25" customHeight="1" thickBot="1">
      <c r="A26" s="3230" t="s">
        <v>184</v>
      </c>
      <c r="B26" s="3231" t="s">
        <v>244</v>
      </c>
      <c r="C26" s="3230">
        <v>31690</v>
      </c>
      <c r="D26" s="3230">
        <v>27650</v>
      </c>
      <c r="E26" s="3230">
        <v>28200</v>
      </c>
      <c r="F26" s="3230"/>
      <c r="G26" s="3230">
        <v>20110</v>
      </c>
      <c r="K26" s="3236" t="s">
        <v>2935</v>
      </c>
      <c r="L26" s="3230" t="s">
        <v>2936</v>
      </c>
      <c r="M26" s="3230" t="s">
        <v>287</v>
      </c>
      <c r="N26" s="3230" t="s">
        <v>294</v>
      </c>
      <c r="O26" s="3230" t="s">
        <v>2937</v>
      </c>
      <c r="P26" s="3230" t="s">
        <v>2938</v>
      </c>
      <c r="Q26" s="3239" t="s">
        <v>276</v>
      </c>
      <c r="R26" s="3230" t="s">
        <v>2939</v>
      </c>
    </row>
    <row r="27" spans="1:19" ht="14.25" customHeight="1">
      <c r="A27" s="3230" t="s">
        <v>184</v>
      </c>
      <c r="B27" s="3231" t="s">
        <v>251</v>
      </c>
      <c r="C27" s="3230">
        <v>29610</v>
      </c>
      <c r="D27" s="3230">
        <v>27770</v>
      </c>
      <c r="E27" s="3230">
        <v>28300</v>
      </c>
      <c r="F27" s="3230"/>
      <c r="G27" s="3230">
        <v>20210</v>
      </c>
      <c r="L27" s="3230" t="s">
        <v>2940</v>
      </c>
      <c r="M27" s="3230" t="s">
        <v>291</v>
      </c>
      <c r="N27" s="3230" t="s">
        <v>297</v>
      </c>
      <c r="O27" s="3230" t="s">
        <v>2941</v>
      </c>
      <c r="P27" s="3230" t="s">
        <v>2942</v>
      </c>
      <c r="Q27" s="3230" t="s">
        <v>2943</v>
      </c>
      <c r="R27" s="3230" t="s">
        <v>2944</v>
      </c>
    </row>
    <row r="28" spans="1:19" ht="14.25" customHeight="1">
      <c r="A28" s="3230" t="s">
        <v>184</v>
      </c>
      <c r="B28" s="3231" t="s">
        <v>259</v>
      </c>
      <c r="C28" s="3230"/>
      <c r="D28" s="3230">
        <v>31520</v>
      </c>
      <c r="E28" s="3230">
        <v>31410</v>
      </c>
      <c r="F28" s="3230"/>
      <c r="G28" s="3230">
        <v>22940</v>
      </c>
      <c r="L28" s="3230" t="s">
        <v>2945</v>
      </c>
      <c r="M28" s="3230" t="s">
        <v>2946</v>
      </c>
      <c r="N28" s="3230" t="s">
        <v>2947</v>
      </c>
      <c r="O28" s="3230" t="s">
        <v>2948</v>
      </c>
      <c r="P28" s="3230" t="s">
        <v>2949</v>
      </c>
      <c r="Q28" s="3230" t="s">
        <v>2950</v>
      </c>
      <c r="R28" s="3230" t="s">
        <v>2951</v>
      </c>
    </row>
    <row r="29" spans="1:19" ht="14.25" customHeight="1" thickBot="1">
      <c r="A29" s="3238" t="s">
        <v>184</v>
      </c>
      <c r="B29" s="3240" t="s">
        <v>2918</v>
      </c>
      <c r="C29" s="3241"/>
      <c r="D29" s="3241">
        <v>29460</v>
      </c>
      <c r="E29" s="3241">
        <v>28640</v>
      </c>
      <c r="F29" s="3241"/>
      <c r="G29" s="3241">
        <v>21430</v>
      </c>
      <c r="L29" s="3230" t="s">
        <v>2952</v>
      </c>
      <c r="M29" s="3230" t="s">
        <v>2953</v>
      </c>
      <c r="N29" s="3230" t="s">
        <v>2954</v>
      </c>
      <c r="O29" s="3230" t="s">
        <v>2955</v>
      </c>
      <c r="P29" s="3230" t="s">
        <v>2956</v>
      </c>
      <c r="Q29" s="3230" t="s">
        <v>2957</v>
      </c>
      <c r="R29" s="3230" t="s">
        <v>280</v>
      </c>
    </row>
    <row r="30" spans="1:19" ht="14.25" customHeight="1">
      <c r="A30" s="3235" t="s">
        <v>296</v>
      </c>
      <c r="B30" s="3226" t="s">
        <v>2851</v>
      </c>
      <c r="C30" s="3226">
        <v>26890</v>
      </c>
      <c r="D30" s="3226">
        <v>26770</v>
      </c>
      <c r="E30" s="3226">
        <v>25700</v>
      </c>
      <c r="F30" s="3226">
        <v>8180</v>
      </c>
      <c r="G30" s="3242">
        <v>18740</v>
      </c>
      <c r="L30" s="3230" t="s">
        <v>2958</v>
      </c>
      <c r="M30" s="3230" t="s">
        <v>2959</v>
      </c>
      <c r="N30" s="3230" t="s">
        <v>2960</v>
      </c>
      <c r="O30" s="3230" t="s">
        <v>2961</v>
      </c>
      <c r="P30" s="3230" t="s">
        <v>2962</v>
      </c>
      <c r="Q30" s="3230" t="s">
        <v>2963</v>
      </c>
      <c r="R30" s="3230" t="s">
        <v>2964</v>
      </c>
    </row>
    <row r="31" spans="1:19" ht="14.25" customHeight="1">
      <c r="A31" s="3230" t="s">
        <v>296</v>
      </c>
      <c r="B31" s="3231" t="s">
        <v>129</v>
      </c>
      <c r="C31" s="3230">
        <v>24550</v>
      </c>
      <c r="D31" s="3230">
        <v>23990</v>
      </c>
      <c r="E31" s="3230">
        <v>22930</v>
      </c>
      <c r="F31" s="3230">
        <v>7470</v>
      </c>
      <c r="G31" s="3243">
        <v>16790</v>
      </c>
      <c r="L31" s="3230" t="s">
        <v>2965</v>
      </c>
      <c r="M31" s="3230" t="s">
        <v>2966</v>
      </c>
      <c r="N31" s="3230" t="s">
        <v>2967</v>
      </c>
      <c r="O31" s="3230" t="s">
        <v>2968</v>
      </c>
      <c r="P31" s="3230" t="s">
        <v>2969</v>
      </c>
      <c r="Q31" s="3230" t="s">
        <v>2970</v>
      </c>
      <c r="R31" s="3230" t="s">
        <v>2971</v>
      </c>
    </row>
    <row r="32" spans="1:19" ht="14.25" customHeight="1" thickBot="1">
      <c r="A32" s="3230" t="s">
        <v>296</v>
      </c>
      <c r="B32" s="3231" t="s">
        <v>138</v>
      </c>
      <c r="C32" s="3230">
        <v>27210</v>
      </c>
      <c r="D32" s="3230">
        <v>23240</v>
      </c>
      <c r="E32" s="3230">
        <v>23260</v>
      </c>
      <c r="F32" s="3230">
        <v>7130</v>
      </c>
      <c r="G32" s="3243">
        <v>16270</v>
      </c>
      <c r="L32" s="3230" t="s">
        <v>2972</v>
      </c>
      <c r="M32" s="3230" t="s">
        <v>2973</v>
      </c>
      <c r="N32" s="3230" t="s">
        <v>300</v>
      </c>
      <c r="O32" s="3230" t="s">
        <v>2974</v>
      </c>
      <c r="P32" s="3230" t="s">
        <v>299</v>
      </c>
      <c r="Q32" s="3230" t="s">
        <v>2975</v>
      </c>
      <c r="R32" s="3237" t="s">
        <v>2976</v>
      </c>
    </row>
    <row r="33" spans="1:17" ht="14.25" customHeight="1" thickBot="1">
      <c r="A33" s="3230" t="s">
        <v>296</v>
      </c>
      <c r="B33" s="3231" t="s">
        <v>147</v>
      </c>
      <c r="C33" s="3230">
        <v>27300</v>
      </c>
      <c r="D33" s="3230">
        <v>22980</v>
      </c>
      <c r="E33" s="3230">
        <v>24260</v>
      </c>
      <c r="F33" s="3230">
        <v>5860</v>
      </c>
      <c r="G33" s="3243">
        <v>16090</v>
      </c>
      <c r="L33" s="3237" t="s">
        <v>2977</v>
      </c>
      <c r="M33" s="3230" t="s">
        <v>2978</v>
      </c>
      <c r="N33" s="3230" t="s">
        <v>301</v>
      </c>
      <c r="O33" s="3230" t="s">
        <v>2979</v>
      </c>
      <c r="P33" s="3230" t="s">
        <v>2980</v>
      </c>
      <c r="Q33" s="3230" t="s">
        <v>2981</v>
      </c>
    </row>
    <row r="34" spans="1:17" ht="14.25" customHeight="1">
      <c r="A34" s="3230" t="s">
        <v>296</v>
      </c>
      <c r="B34" s="3231" t="s">
        <v>156</v>
      </c>
      <c r="C34" s="3230">
        <v>23090</v>
      </c>
      <c r="D34" s="3230">
        <v>23390</v>
      </c>
      <c r="E34" s="3230">
        <v>23510</v>
      </c>
      <c r="F34" s="3230">
        <v>6700</v>
      </c>
      <c r="G34" s="3243">
        <v>16370</v>
      </c>
      <c r="M34" s="3230" t="s">
        <v>2982</v>
      </c>
      <c r="N34" s="3230" t="s">
        <v>302</v>
      </c>
      <c r="O34" s="3230" t="s">
        <v>2983</v>
      </c>
      <c r="P34" s="3230" t="s">
        <v>2984</v>
      </c>
      <c r="Q34" s="3230" t="s">
        <v>2985</v>
      </c>
    </row>
    <row r="35" spans="1:17" ht="14.25" customHeight="1">
      <c r="A35" s="3230" t="s">
        <v>296</v>
      </c>
      <c r="B35" s="3231" t="s">
        <v>163</v>
      </c>
      <c r="C35" s="3230">
        <v>27270</v>
      </c>
      <c r="D35" s="3230">
        <v>24270</v>
      </c>
      <c r="E35" s="3230">
        <v>24950</v>
      </c>
      <c r="F35" s="3230">
        <v>6600</v>
      </c>
      <c r="G35" s="3243">
        <v>16990</v>
      </c>
      <c r="M35" s="3230" t="s">
        <v>2986</v>
      </c>
      <c r="N35" s="3230" t="s">
        <v>2987</v>
      </c>
      <c r="O35" s="3230" t="s">
        <v>2988</v>
      </c>
      <c r="P35" s="3230" t="s">
        <v>2989</v>
      </c>
      <c r="Q35" s="3230" t="s">
        <v>2990</v>
      </c>
    </row>
    <row r="36" spans="1:17" ht="14.25" customHeight="1">
      <c r="A36" s="3230" t="s">
        <v>296</v>
      </c>
      <c r="B36" s="3231" t="s">
        <v>169</v>
      </c>
      <c r="C36" s="3230">
        <v>23490</v>
      </c>
      <c r="D36" s="3230">
        <v>23020</v>
      </c>
      <c r="E36" s="3230">
        <v>25230</v>
      </c>
      <c r="F36" s="3230">
        <v>6780</v>
      </c>
      <c r="G36" s="3243">
        <v>16120</v>
      </c>
      <c r="M36" s="3230" t="s">
        <v>2991</v>
      </c>
      <c r="N36" s="3230" t="s">
        <v>2992</v>
      </c>
      <c r="O36" s="3230" t="s">
        <v>2993</v>
      </c>
      <c r="P36" s="3230" t="s">
        <v>2994</v>
      </c>
      <c r="Q36" s="3230" t="s">
        <v>2995</v>
      </c>
    </row>
    <row r="37" spans="1:17" ht="14.25" customHeight="1">
      <c r="A37" s="3230" t="s">
        <v>296</v>
      </c>
      <c r="B37" s="3231" t="s">
        <v>176</v>
      </c>
      <c r="C37" s="3230">
        <v>24380</v>
      </c>
      <c r="D37" s="3230">
        <v>22240</v>
      </c>
      <c r="E37" s="3230">
        <v>25980</v>
      </c>
      <c r="F37" s="3230">
        <v>8160</v>
      </c>
      <c r="G37" s="3243">
        <v>15570</v>
      </c>
      <c r="M37" s="3230" t="s">
        <v>2996</v>
      </c>
      <c r="N37" s="3230" t="s">
        <v>2997</v>
      </c>
      <c r="O37" s="3230" t="s">
        <v>2998</v>
      </c>
      <c r="P37" s="3230" t="s">
        <v>2999</v>
      </c>
      <c r="Q37" s="3230" t="s">
        <v>3000</v>
      </c>
    </row>
    <row r="38" spans="1:17" ht="14.25" customHeight="1">
      <c r="A38" s="3230" t="s">
        <v>296</v>
      </c>
      <c r="B38" s="3231" t="s">
        <v>186</v>
      </c>
      <c r="C38" s="3230">
        <v>23120</v>
      </c>
      <c r="D38" s="3230">
        <v>24630</v>
      </c>
      <c r="E38" s="3230">
        <v>25030</v>
      </c>
      <c r="F38" s="3230">
        <v>7710</v>
      </c>
      <c r="G38" s="3243">
        <v>17240</v>
      </c>
      <c r="M38" s="3230" t="s">
        <v>3001</v>
      </c>
      <c r="N38" s="3230" t="s">
        <v>3002</v>
      </c>
      <c r="O38" s="3230" t="s">
        <v>3003</v>
      </c>
      <c r="P38" s="3230" t="s">
        <v>3004</v>
      </c>
      <c r="Q38" s="3230" t="s">
        <v>3005</v>
      </c>
    </row>
    <row r="39" spans="1:17" ht="14.25" customHeight="1">
      <c r="A39" s="3230" t="s">
        <v>296</v>
      </c>
      <c r="B39" s="3231" t="s">
        <v>195</v>
      </c>
      <c r="C39" s="3230">
        <v>22330</v>
      </c>
      <c r="D39" s="3230">
        <v>21140</v>
      </c>
      <c r="E39" s="3230">
        <v>23970</v>
      </c>
      <c r="F39" s="3230">
        <v>7940</v>
      </c>
      <c r="G39" s="3243">
        <v>14790</v>
      </c>
      <c r="M39" s="3230" t="s">
        <v>3006</v>
      </c>
      <c r="N39" s="3230" t="s">
        <v>3007</v>
      </c>
      <c r="O39" s="3230" t="s">
        <v>3008</v>
      </c>
      <c r="P39" s="3230" t="s">
        <v>3009</v>
      </c>
      <c r="Q39" s="3230" t="s">
        <v>3010</v>
      </c>
    </row>
    <row r="40" spans="1:17" ht="14.25" customHeight="1">
      <c r="A40" s="3230" t="s">
        <v>296</v>
      </c>
      <c r="B40" s="3231" t="s">
        <v>202</v>
      </c>
      <c r="C40" s="3230">
        <v>24740</v>
      </c>
      <c r="D40" s="3230">
        <v>24690</v>
      </c>
      <c r="E40" s="3230">
        <v>22610</v>
      </c>
      <c r="F40" s="3230"/>
      <c r="G40" s="3243">
        <v>17280</v>
      </c>
      <c r="M40" s="3230" t="s">
        <v>3011</v>
      </c>
      <c r="N40" s="3230" t="s">
        <v>3012</v>
      </c>
      <c r="O40" s="3230" t="s">
        <v>3013</v>
      </c>
      <c r="P40" s="3230" t="s">
        <v>3014</v>
      </c>
      <c r="Q40" s="3230" t="s">
        <v>3015</v>
      </c>
    </row>
    <row r="41" spans="1:17" ht="14.25" customHeight="1" thickBot="1">
      <c r="A41" s="3230" t="s">
        <v>296</v>
      </c>
      <c r="B41" s="3231" t="s">
        <v>209</v>
      </c>
      <c r="C41" s="3230">
        <v>21220</v>
      </c>
      <c r="D41" s="3230">
        <v>21120</v>
      </c>
      <c r="E41" s="3230">
        <v>22590</v>
      </c>
      <c r="F41" s="3230"/>
      <c r="G41" s="3243">
        <v>14780</v>
      </c>
      <c r="M41" s="3237" t="s">
        <v>3016</v>
      </c>
      <c r="N41" s="3230" t="s">
        <v>3017</v>
      </c>
      <c r="O41" s="3230" t="s">
        <v>3018</v>
      </c>
      <c r="P41" s="3230" t="s">
        <v>3019</v>
      </c>
      <c r="Q41" s="3230" t="s">
        <v>3020</v>
      </c>
    </row>
    <row r="42" spans="1:17" ht="14.25" customHeight="1">
      <c r="A42" s="3230" t="s">
        <v>296</v>
      </c>
      <c r="B42" s="3231" t="s">
        <v>215</v>
      </c>
      <c r="C42" s="3230">
        <v>24800</v>
      </c>
      <c r="D42" s="3230">
        <v>22280</v>
      </c>
      <c r="E42" s="3230">
        <v>24350</v>
      </c>
      <c r="F42" s="3230"/>
      <c r="G42" s="3243">
        <v>15590</v>
      </c>
      <c r="N42" s="3230" t="s">
        <v>3021</v>
      </c>
      <c r="O42" s="3230" t="s">
        <v>3022</v>
      </c>
      <c r="P42" s="3230" t="s">
        <v>3023</v>
      </c>
      <c r="Q42" s="3230" t="s">
        <v>3024</v>
      </c>
    </row>
    <row r="43" spans="1:17" ht="14.25" customHeight="1">
      <c r="A43" s="3230" t="s">
        <v>3025</v>
      </c>
      <c r="B43" s="3231" t="s">
        <v>223</v>
      </c>
      <c r="C43" s="3230">
        <v>21210</v>
      </c>
      <c r="D43" s="3230">
        <v>21160</v>
      </c>
      <c r="E43" s="3230">
        <v>22650</v>
      </c>
      <c r="F43" s="3230"/>
      <c r="G43" s="3243">
        <v>14800</v>
      </c>
      <c r="N43" s="3230" t="s">
        <v>3026</v>
      </c>
      <c r="O43" s="3230" t="s">
        <v>3027</v>
      </c>
      <c r="P43" s="3230" t="s">
        <v>3028</v>
      </c>
      <c r="Q43" s="3230" t="s">
        <v>3029</v>
      </c>
    </row>
    <row r="44" spans="1:17" ht="14.25" customHeight="1" thickBot="1">
      <c r="A44" s="3230" t="s">
        <v>296</v>
      </c>
      <c r="B44" s="3231" t="s">
        <v>231</v>
      </c>
      <c r="C44" s="3230">
        <v>22370</v>
      </c>
      <c r="D44" s="3230">
        <v>23140</v>
      </c>
      <c r="E44" s="3230">
        <v>25090</v>
      </c>
      <c r="F44" s="3230"/>
      <c r="G44" s="3243">
        <v>16190</v>
      </c>
      <c r="N44" s="3230" t="s">
        <v>3030</v>
      </c>
      <c r="O44" s="3230" t="s">
        <v>3031</v>
      </c>
      <c r="P44" s="3237" t="s">
        <v>3032</v>
      </c>
      <c r="Q44" s="3230" t="s">
        <v>3033</v>
      </c>
    </row>
    <row r="45" spans="1:17" ht="14.25" customHeight="1" thickBot="1">
      <c r="A45" s="3230" t="s">
        <v>296</v>
      </c>
      <c r="B45" s="3231" t="s">
        <v>236</v>
      </c>
      <c r="C45" s="3230">
        <v>21240</v>
      </c>
      <c r="D45" s="3230">
        <v>27050</v>
      </c>
      <c r="E45" s="3230">
        <v>28000</v>
      </c>
      <c r="F45" s="3230"/>
      <c r="G45" s="3243">
        <v>18940</v>
      </c>
      <c r="N45" s="3230" t="s">
        <v>3034</v>
      </c>
      <c r="O45" s="3237" t="s">
        <v>3035</v>
      </c>
      <c r="Q45" s="3230" t="s">
        <v>3036</v>
      </c>
    </row>
    <row r="46" spans="1:17" ht="14.25" customHeight="1">
      <c r="A46" s="3230" t="s">
        <v>296</v>
      </c>
      <c r="B46" s="3231" t="s">
        <v>245</v>
      </c>
      <c r="C46" s="3230">
        <v>23240</v>
      </c>
      <c r="D46" s="3230">
        <v>23000</v>
      </c>
      <c r="E46" s="3230">
        <v>24980</v>
      </c>
      <c r="F46" s="3230"/>
      <c r="G46" s="3243">
        <v>16100</v>
      </c>
      <c r="N46" s="3230" t="s">
        <v>3037</v>
      </c>
      <c r="Q46" s="3230" t="s">
        <v>3038</v>
      </c>
    </row>
    <row r="47" spans="1:17" ht="14.25" customHeight="1">
      <c r="A47" s="3230" t="s">
        <v>296</v>
      </c>
      <c r="B47" s="3231" t="s">
        <v>252</v>
      </c>
      <c r="C47" s="3230">
        <v>27150</v>
      </c>
      <c r="D47" s="3230">
        <v>23310</v>
      </c>
      <c r="E47" s="3230">
        <v>25150</v>
      </c>
      <c r="F47" s="3230"/>
      <c r="G47" s="3243">
        <v>16310</v>
      </c>
      <c r="N47" s="3230" t="s">
        <v>3039</v>
      </c>
      <c r="Q47" s="3230" t="s">
        <v>3040</v>
      </c>
    </row>
    <row r="48" spans="1:17" ht="14.25" customHeight="1">
      <c r="A48" s="3230" t="s">
        <v>296</v>
      </c>
      <c r="B48" s="3231" t="s">
        <v>260</v>
      </c>
      <c r="C48" s="3230">
        <v>23100</v>
      </c>
      <c r="D48" s="3230">
        <v>21110</v>
      </c>
      <c r="E48" s="3230">
        <v>23080</v>
      </c>
      <c r="F48" s="3230"/>
      <c r="G48" s="3243">
        <v>14780</v>
      </c>
      <c r="N48" s="3230" t="s">
        <v>3041</v>
      </c>
      <c r="Q48" s="3230" t="s">
        <v>3042</v>
      </c>
    </row>
    <row r="49" spans="1:17" ht="14.25" customHeight="1">
      <c r="A49" s="3230" t="s">
        <v>296</v>
      </c>
      <c r="B49" s="3231" t="s">
        <v>267</v>
      </c>
      <c r="C49" s="3230">
        <v>23400</v>
      </c>
      <c r="D49" s="3230">
        <v>22920</v>
      </c>
      <c r="E49" s="3230">
        <v>24900</v>
      </c>
      <c r="F49" s="3230"/>
      <c r="G49" s="3243">
        <v>16040</v>
      </c>
      <c r="N49" s="3230" t="s">
        <v>3043</v>
      </c>
      <c r="Q49" s="3230" t="s">
        <v>3044</v>
      </c>
    </row>
    <row r="50" spans="1:17" ht="14.25" customHeight="1">
      <c r="A50" s="3230" t="s">
        <v>296</v>
      </c>
      <c r="B50" s="3231" t="s">
        <v>2921</v>
      </c>
      <c r="C50" s="3230">
        <v>21200</v>
      </c>
      <c r="D50" s="3230">
        <v>26540</v>
      </c>
      <c r="E50" s="3230">
        <v>23200</v>
      </c>
      <c r="F50" s="3230"/>
      <c r="G50" s="3243">
        <v>18580</v>
      </c>
      <c r="N50" s="3230" t="s">
        <v>3045</v>
      </c>
      <c r="Q50" s="3231" t="s">
        <v>3046</v>
      </c>
    </row>
    <row r="51" spans="1:17" ht="14.25" customHeight="1" thickBot="1">
      <c r="A51" s="3230" t="s">
        <v>296</v>
      </c>
      <c r="B51" s="3231" t="s">
        <v>2923</v>
      </c>
      <c r="C51" s="3230">
        <v>23000</v>
      </c>
      <c r="D51" s="3230">
        <v>23460</v>
      </c>
      <c r="E51" s="3230">
        <v>25290</v>
      </c>
      <c r="F51" s="3230"/>
      <c r="G51" s="3243">
        <v>16420</v>
      </c>
      <c r="N51" s="3230" t="s">
        <v>3047</v>
      </c>
      <c r="Q51" s="3237" t="s">
        <v>3048</v>
      </c>
    </row>
    <row r="52" spans="1:17" ht="14.25" customHeight="1">
      <c r="A52" s="3230" t="s">
        <v>296</v>
      </c>
      <c r="B52" s="3231" t="s">
        <v>2927</v>
      </c>
      <c r="C52" s="3230">
        <v>26660</v>
      </c>
      <c r="D52" s="3230">
        <v>22350</v>
      </c>
      <c r="E52" s="3230">
        <v>22920</v>
      </c>
      <c r="F52" s="3230"/>
      <c r="G52" s="3243">
        <v>15640</v>
      </c>
      <c r="N52" s="3230" t="s">
        <v>3049</v>
      </c>
    </row>
    <row r="53" spans="1:17" ht="14.25" customHeight="1">
      <c r="A53" s="3230" t="s">
        <v>296</v>
      </c>
      <c r="B53" s="3231" t="s">
        <v>2932</v>
      </c>
      <c r="C53" s="3230">
        <v>23580</v>
      </c>
      <c r="D53" s="3230"/>
      <c r="E53" s="3230">
        <v>24280</v>
      </c>
      <c r="F53" s="3230"/>
      <c r="G53" s="3243"/>
      <c r="N53" s="3230" t="s">
        <v>3050</v>
      </c>
    </row>
    <row r="54" spans="1:17" ht="14.25" customHeight="1" thickBot="1">
      <c r="A54" s="3244" t="s">
        <v>296</v>
      </c>
      <c r="B54" s="3236" t="s">
        <v>2935</v>
      </c>
      <c r="C54" s="3237">
        <v>22460</v>
      </c>
      <c r="D54" s="3237"/>
      <c r="E54" s="3237"/>
      <c r="F54" s="3237"/>
      <c r="G54" s="3245"/>
      <c r="N54" s="3230" t="s">
        <v>3051</v>
      </c>
    </row>
    <row r="55" spans="1:17" ht="14.25" customHeight="1">
      <c r="A55" s="3235" t="s">
        <v>110</v>
      </c>
      <c r="B55" s="3226" t="s">
        <v>3052</v>
      </c>
      <c r="C55" s="3230">
        <v>21970</v>
      </c>
      <c r="D55" s="3230">
        <v>20370</v>
      </c>
      <c r="E55" s="3230">
        <v>20180</v>
      </c>
      <c r="F55" s="3230">
        <v>5730</v>
      </c>
      <c r="G55" s="3230">
        <v>13820</v>
      </c>
      <c r="N55" s="3230" t="s">
        <v>3053</v>
      </c>
    </row>
    <row r="56" spans="1:17" ht="14.25" customHeight="1">
      <c r="A56" s="3230" t="s">
        <v>110</v>
      </c>
      <c r="B56" s="3230" t="s">
        <v>130</v>
      </c>
      <c r="C56" s="3230">
        <v>20470</v>
      </c>
      <c r="D56" s="3230">
        <v>20700</v>
      </c>
      <c r="E56" s="3230">
        <v>20380</v>
      </c>
      <c r="F56" s="3230">
        <v>4760</v>
      </c>
      <c r="G56" s="3230">
        <v>14050</v>
      </c>
      <c r="N56" s="3230" t="s">
        <v>3054</v>
      </c>
    </row>
    <row r="57" spans="1:17" ht="14.25" customHeight="1">
      <c r="A57" s="3230" t="s">
        <v>110</v>
      </c>
      <c r="B57" s="3230" t="s">
        <v>139</v>
      </c>
      <c r="C57" s="3230">
        <v>20790</v>
      </c>
      <c r="D57" s="3230">
        <v>21370</v>
      </c>
      <c r="E57" s="3230">
        <v>20890</v>
      </c>
      <c r="F57" s="3230">
        <v>4910</v>
      </c>
      <c r="G57" s="3230">
        <v>14510</v>
      </c>
      <c r="N57" s="3230" t="s">
        <v>3055</v>
      </c>
    </row>
    <row r="58" spans="1:17" ht="14.25" customHeight="1">
      <c r="A58" s="3230" t="s">
        <v>110</v>
      </c>
      <c r="B58" s="3230" t="s">
        <v>148</v>
      </c>
      <c r="C58" s="3230">
        <v>21460</v>
      </c>
      <c r="D58" s="3230">
        <v>20920</v>
      </c>
      <c r="E58" s="3230">
        <v>23410</v>
      </c>
      <c r="F58" s="3230">
        <v>5100</v>
      </c>
      <c r="G58" s="3230">
        <v>14200</v>
      </c>
      <c r="N58" s="3230" t="s">
        <v>3056</v>
      </c>
    </row>
    <row r="59" spans="1:17" ht="14.25" customHeight="1">
      <c r="A59" s="3230" t="s">
        <v>110</v>
      </c>
      <c r="B59" s="3230" t="s">
        <v>157</v>
      </c>
      <c r="C59" s="3230">
        <v>21000</v>
      </c>
      <c r="D59" s="3230">
        <v>21550</v>
      </c>
      <c r="E59" s="3230">
        <v>21150</v>
      </c>
      <c r="F59" s="3230">
        <v>5250</v>
      </c>
      <c r="G59" s="3230">
        <v>14630</v>
      </c>
      <c r="N59" s="3230" t="s">
        <v>3057</v>
      </c>
    </row>
    <row r="60" spans="1:17" ht="14.25" customHeight="1">
      <c r="A60" s="3230" t="s">
        <v>110</v>
      </c>
      <c r="B60" s="3230" t="s">
        <v>164</v>
      </c>
      <c r="C60" s="3230">
        <v>21640</v>
      </c>
      <c r="D60" s="3230">
        <v>21260</v>
      </c>
      <c r="E60" s="3230">
        <v>24040</v>
      </c>
      <c r="F60" s="3230">
        <v>4470</v>
      </c>
      <c r="G60" s="3230">
        <v>14430</v>
      </c>
      <c r="N60" s="3230" t="s">
        <v>3058</v>
      </c>
    </row>
    <row r="61" spans="1:17" ht="14.25" customHeight="1">
      <c r="A61" s="3230" t="s">
        <v>110</v>
      </c>
      <c r="B61" s="3230" t="s">
        <v>170</v>
      </c>
      <c r="C61" s="3230">
        <v>21330</v>
      </c>
      <c r="D61" s="3230">
        <v>18640</v>
      </c>
      <c r="E61" s="3230">
        <v>21190</v>
      </c>
      <c r="F61" s="3230">
        <v>4180</v>
      </c>
      <c r="G61" s="3230">
        <v>12650</v>
      </c>
      <c r="N61" s="3230" t="s">
        <v>3059</v>
      </c>
    </row>
    <row r="62" spans="1:17" ht="14.25" customHeight="1">
      <c r="A62" s="3230" t="s">
        <v>110</v>
      </c>
      <c r="B62" s="3230" t="s">
        <v>177</v>
      </c>
      <c r="C62" s="3230">
        <v>18710</v>
      </c>
      <c r="D62" s="3230">
        <v>19400</v>
      </c>
      <c r="E62" s="3230">
        <v>23750</v>
      </c>
      <c r="F62" s="3230">
        <v>4860</v>
      </c>
      <c r="G62" s="3230">
        <v>13170</v>
      </c>
      <c r="N62" s="3230" t="s">
        <v>3060</v>
      </c>
    </row>
    <row r="63" spans="1:17" ht="14.25" customHeight="1">
      <c r="A63" s="3230" t="s">
        <v>110</v>
      </c>
      <c r="B63" s="3230" t="s">
        <v>187</v>
      </c>
      <c r="C63" s="3230">
        <v>19480</v>
      </c>
      <c r="D63" s="3230">
        <v>16830</v>
      </c>
      <c r="E63" s="3230">
        <v>21590</v>
      </c>
      <c r="F63" s="3230">
        <v>4560</v>
      </c>
      <c r="G63" s="3230">
        <v>11420</v>
      </c>
      <c r="N63" s="3230" t="s">
        <v>3061</v>
      </c>
    </row>
    <row r="64" spans="1:17" ht="14.25" customHeight="1" thickBot="1">
      <c r="A64" s="3230" t="s">
        <v>110</v>
      </c>
      <c r="B64" s="3230" t="s">
        <v>196</v>
      </c>
      <c r="C64" s="3230">
        <v>16920</v>
      </c>
      <c r="D64" s="3230">
        <v>19190</v>
      </c>
      <c r="E64" s="3230">
        <v>22200</v>
      </c>
      <c r="F64" s="3230">
        <v>4390</v>
      </c>
      <c r="G64" s="3230">
        <v>13030</v>
      </c>
      <c r="N64" s="3237" t="s">
        <v>3062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2933</v>
      </c>
      <c r="C78" s="3230">
        <v>19820</v>
      </c>
      <c r="D78" s="3230">
        <v>19780</v>
      </c>
      <c r="E78" s="3230">
        <v>18560</v>
      </c>
      <c r="F78" s="3230"/>
      <c r="G78" s="3230">
        <v>13430</v>
      </c>
    </row>
    <row r="79" spans="1:7" s="3219" customFormat="1" ht="14.25" customHeight="1">
      <c r="A79" s="3230" t="s">
        <v>110</v>
      </c>
      <c r="B79" s="3230" t="s">
        <v>2936</v>
      </c>
      <c r="C79" s="3230">
        <v>21660</v>
      </c>
      <c r="D79" s="3230">
        <v>18000</v>
      </c>
      <c r="E79" s="3230">
        <v>22570</v>
      </c>
      <c r="F79" s="3230"/>
      <c r="G79" s="3230">
        <v>12220</v>
      </c>
    </row>
    <row r="80" spans="1:7" s="3219" customFormat="1" ht="14.25" customHeight="1">
      <c r="A80" s="3230" t="s">
        <v>110</v>
      </c>
      <c r="B80" s="3230" t="s">
        <v>2940</v>
      </c>
      <c r="C80" s="3230">
        <v>19850</v>
      </c>
      <c r="D80" s="3230"/>
      <c r="E80" s="3230">
        <v>21700</v>
      </c>
      <c r="F80" s="3230"/>
      <c r="G80" s="3230"/>
    </row>
    <row r="81" spans="1:7" s="3219" customFormat="1" ht="14.25" customHeight="1">
      <c r="A81" s="3230" t="s">
        <v>110</v>
      </c>
      <c r="B81" s="3230" t="s">
        <v>2945</v>
      </c>
      <c r="C81" s="3230">
        <v>18080</v>
      </c>
      <c r="D81" s="3230"/>
      <c r="E81" s="3230">
        <v>20900</v>
      </c>
      <c r="F81" s="3230"/>
      <c r="G81" s="3230"/>
    </row>
    <row r="82" spans="1:7" s="3219" customFormat="1" ht="14.25" customHeight="1">
      <c r="A82" s="3230" t="s">
        <v>110</v>
      </c>
      <c r="B82" s="3230" t="s">
        <v>2952</v>
      </c>
      <c r="C82" s="3230"/>
      <c r="D82" s="3230"/>
      <c r="E82" s="3230">
        <v>20840</v>
      </c>
      <c r="F82" s="3230"/>
      <c r="G82" s="3230"/>
    </row>
    <row r="83" spans="1:7" s="3219" customFormat="1" ht="14.25" customHeight="1">
      <c r="A83" s="3230" t="s">
        <v>110</v>
      </c>
      <c r="B83" s="3230" t="s">
        <v>3063</v>
      </c>
      <c r="C83" s="3230"/>
      <c r="D83" s="3230"/>
      <c r="E83" s="3230"/>
      <c r="F83" s="3230">
        <v>4770</v>
      </c>
      <c r="G83" s="3230"/>
    </row>
    <row r="84" spans="1:7" s="3219" customFormat="1" ht="14.25" customHeight="1">
      <c r="A84" s="3230" t="s">
        <v>110</v>
      </c>
      <c r="B84" s="3230" t="s">
        <v>3064</v>
      </c>
      <c r="C84" s="3230"/>
      <c r="D84" s="3230"/>
      <c r="E84" s="3230"/>
      <c r="F84" s="3230">
        <v>4600</v>
      </c>
      <c r="G84" s="3230"/>
    </row>
    <row r="85" spans="1:7" s="3219" customFormat="1" ht="14.25" customHeight="1">
      <c r="A85" s="3230" t="s">
        <v>110</v>
      </c>
      <c r="B85" s="3230" t="s">
        <v>3065</v>
      </c>
      <c r="C85" s="3230"/>
      <c r="D85" s="3230"/>
      <c r="E85" s="3230"/>
      <c r="F85" s="3230">
        <v>4680</v>
      </c>
      <c r="G85" s="3230"/>
    </row>
    <row r="86" spans="1:7" s="3219" customFormat="1" ht="14.25" customHeight="1" thickBot="1">
      <c r="A86" s="3238" t="s">
        <v>110</v>
      </c>
      <c r="B86" s="3240" t="s">
        <v>3066</v>
      </c>
      <c r="C86" s="3241">
        <v>16610</v>
      </c>
      <c r="D86" s="3241">
        <v>16540</v>
      </c>
      <c r="E86" s="3241">
        <v>18850</v>
      </c>
      <c r="F86" s="3241"/>
      <c r="G86" s="3241">
        <v>11220</v>
      </c>
    </row>
    <row r="87" spans="1:7" s="3219" customFormat="1" ht="14.25" customHeight="1">
      <c r="A87" s="3235" t="s">
        <v>303</v>
      </c>
      <c r="B87" s="3226" t="s">
        <v>3067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2946</v>
      </c>
      <c r="C113" s="3230">
        <v>15520</v>
      </c>
      <c r="D113" s="3230">
        <v>15450</v>
      </c>
      <c r="E113" s="3230"/>
      <c r="F113" s="3230"/>
      <c r="G113" s="3243">
        <v>10210</v>
      </c>
    </row>
    <row r="114" spans="1:7" s="3219" customFormat="1" ht="14.25" customHeight="1">
      <c r="A114" s="3230" t="s">
        <v>303</v>
      </c>
      <c r="B114" s="3230" t="s">
        <v>2953</v>
      </c>
      <c r="C114" s="3230">
        <v>13110</v>
      </c>
      <c r="D114" s="3230">
        <v>13050</v>
      </c>
      <c r="E114" s="3230"/>
      <c r="F114" s="3230"/>
      <c r="G114" s="3243">
        <v>8620</v>
      </c>
    </row>
    <row r="115" spans="1:7" s="3219" customFormat="1" ht="14.25" customHeight="1">
      <c r="A115" s="3230" t="s">
        <v>303</v>
      </c>
      <c r="B115" s="3230" t="s">
        <v>2959</v>
      </c>
      <c r="C115" s="3230">
        <v>12460</v>
      </c>
      <c r="D115" s="3230">
        <v>12390</v>
      </c>
      <c r="E115" s="3230"/>
      <c r="F115" s="3230"/>
      <c r="G115" s="3243">
        <v>8190</v>
      </c>
    </row>
    <row r="116" spans="1:7" s="3219" customFormat="1" ht="14.25" customHeight="1">
      <c r="A116" s="3230" t="s">
        <v>303</v>
      </c>
      <c r="B116" s="3230" t="s">
        <v>2966</v>
      </c>
      <c r="C116" s="3230">
        <v>13580</v>
      </c>
      <c r="D116" s="3230">
        <v>13520</v>
      </c>
      <c r="E116" s="3230"/>
      <c r="F116" s="3230"/>
      <c r="G116" s="3243">
        <v>8930</v>
      </c>
    </row>
    <row r="117" spans="1:7" s="3219" customFormat="1" ht="14.25" customHeight="1">
      <c r="A117" s="3230" t="s">
        <v>303</v>
      </c>
      <c r="B117" s="3230" t="s">
        <v>2973</v>
      </c>
      <c r="C117" s="3230">
        <v>17120</v>
      </c>
      <c r="D117" s="3230">
        <v>17040</v>
      </c>
      <c r="E117" s="3230"/>
      <c r="F117" s="3230"/>
      <c r="G117" s="3243">
        <v>11260</v>
      </c>
    </row>
    <row r="118" spans="1:7" s="3219" customFormat="1" ht="14.25" customHeight="1">
      <c r="A118" s="3230" t="s">
        <v>303</v>
      </c>
      <c r="B118" s="3230" t="s">
        <v>2978</v>
      </c>
      <c r="C118" s="3230">
        <v>14860</v>
      </c>
      <c r="D118" s="3230">
        <v>14790</v>
      </c>
      <c r="E118" s="3230"/>
      <c r="F118" s="3230"/>
      <c r="G118" s="3243">
        <v>9780</v>
      </c>
    </row>
    <row r="119" spans="1:7" s="3219" customFormat="1" ht="14.25" customHeight="1">
      <c r="A119" s="3230" t="s">
        <v>303</v>
      </c>
      <c r="B119" s="3230" t="s">
        <v>2982</v>
      </c>
      <c r="C119" s="3230">
        <v>16470</v>
      </c>
      <c r="D119" s="3230">
        <v>16400</v>
      </c>
      <c r="E119" s="3230"/>
      <c r="F119" s="3230"/>
      <c r="G119" s="3243">
        <v>10840</v>
      </c>
    </row>
    <row r="120" spans="1:7" s="3219" customFormat="1" ht="14.25" customHeight="1">
      <c r="A120" s="3230" t="s">
        <v>303</v>
      </c>
      <c r="B120" s="3230" t="s">
        <v>3068</v>
      </c>
      <c r="C120" s="3230"/>
      <c r="D120" s="3230"/>
      <c r="E120" s="3230"/>
      <c r="F120" s="3230">
        <v>4160</v>
      </c>
      <c r="G120" s="3243"/>
    </row>
    <row r="121" spans="1:7" s="3219" customFormat="1" ht="14.25" customHeight="1">
      <c r="A121" s="3230" t="s">
        <v>303</v>
      </c>
      <c r="B121" s="3230" t="s">
        <v>3069</v>
      </c>
      <c r="C121" s="3230"/>
      <c r="D121" s="3230"/>
      <c r="E121" s="3230"/>
      <c r="F121" s="3230">
        <v>3880</v>
      </c>
      <c r="G121" s="3243"/>
    </row>
    <row r="122" spans="1:7" s="3219" customFormat="1" ht="14.25" customHeight="1">
      <c r="A122" s="3230" t="s">
        <v>303</v>
      </c>
      <c r="B122" s="3230" t="s">
        <v>3070</v>
      </c>
      <c r="C122" s="3230">
        <v>13750</v>
      </c>
      <c r="D122" s="3230">
        <v>13680</v>
      </c>
      <c r="E122" s="3230">
        <v>16460</v>
      </c>
      <c r="F122" s="3230">
        <v>2880</v>
      </c>
      <c r="G122" s="3243">
        <v>9040</v>
      </c>
    </row>
    <row r="123" spans="1:7" s="3219" customFormat="1" ht="14.25" customHeight="1">
      <c r="A123" s="3230" t="s">
        <v>303</v>
      </c>
      <c r="B123" s="3230" t="s">
        <v>3001</v>
      </c>
      <c r="C123" s="3230">
        <v>13590</v>
      </c>
      <c r="D123" s="3230">
        <v>13520</v>
      </c>
      <c r="E123" s="3230">
        <v>16290</v>
      </c>
      <c r="F123" s="3230">
        <v>2790</v>
      </c>
      <c r="G123" s="3243">
        <v>8930</v>
      </c>
    </row>
    <row r="124" spans="1:7" s="3219" customFormat="1" ht="14.25" customHeight="1">
      <c r="A124" s="3230" t="s">
        <v>303</v>
      </c>
      <c r="B124" s="3230" t="s">
        <v>3006</v>
      </c>
      <c r="C124" s="3230">
        <v>13400</v>
      </c>
      <c r="D124" s="3230">
        <v>13320</v>
      </c>
      <c r="E124" s="3230">
        <v>16100</v>
      </c>
      <c r="F124" s="3230">
        <v>2320</v>
      </c>
      <c r="G124" s="3243">
        <v>8800</v>
      </c>
    </row>
    <row r="125" spans="1:7" s="3219" customFormat="1" ht="14.25" customHeight="1">
      <c r="A125" s="3230" t="s">
        <v>303</v>
      </c>
      <c r="B125" s="3230" t="s">
        <v>3011</v>
      </c>
      <c r="C125" s="3230">
        <v>12860</v>
      </c>
      <c r="D125" s="3230">
        <v>12790</v>
      </c>
      <c r="E125" s="3230">
        <v>15370</v>
      </c>
      <c r="F125" s="3230">
        <v>2280</v>
      </c>
      <c r="G125" s="3243">
        <v>8450</v>
      </c>
    </row>
    <row r="126" spans="1:7" s="3219" customFormat="1" ht="14.25" customHeight="1" thickBot="1">
      <c r="A126" s="3244" t="s">
        <v>303</v>
      </c>
      <c r="B126" s="3237" t="s">
        <v>3016</v>
      </c>
      <c r="C126" s="3237">
        <v>12960</v>
      </c>
      <c r="D126" s="3237">
        <v>12890</v>
      </c>
      <c r="E126" s="3237">
        <v>15530</v>
      </c>
      <c r="F126" s="3237">
        <v>2910</v>
      </c>
      <c r="G126" s="3245">
        <v>8520</v>
      </c>
    </row>
    <row r="127" spans="1:7" s="3219" customFormat="1" ht="14.25" customHeight="1">
      <c r="A127" s="3235" t="s">
        <v>29</v>
      </c>
      <c r="B127" s="3226" t="s">
        <v>3071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3072</v>
      </c>
      <c r="C148" s="3230">
        <v>10370</v>
      </c>
      <c r="D148" s="3230">
        <v>10310</v>
      </c>
      <c r="E148" s="3230">
        <v>12970</v>
      </c>
      <c r="F148" s="3230"/>
      <c r="G148" s="3230">
        <v>6630</v>
      </c>
    </row>
    <row r="149" spans="1:7" s="3219" customFormat="1" ht="14.25" customHeight="1">
      <c r="A149" s="3230" t="s">
        <v>29</v>
      </c>
      <c r="B149" s="3230" t="s">
        <v>3073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2947</v>
      </c>
      <c r="C153" s="3230">
        <v>10880</v>
      </c>
      <c r="D153" s="3230">
        <v>10820</v>
      </c>
      <c r="E153" s="3230">
        <v>13660</v>
      </c>
      <c r="F153" s="3230">
        <v>2260</v>
      </c>
      <c r="G153" s="3230">
        <v>6970</v>
      </c>
    </row>
    <row r="154" spans="1:7" s="3219" customFormat="1" ht="14.25" customHeight="1">
      <c r="A154" s="3230" t="s">
        <v>29</v>
      </c>
      <c r="B154" s="3230" t="s">
        <v>3074</v>
      </c>
      <c r="C154" s="3230">
        <v>11220</v>
      </c>
      <c r="D154" s="3230">
        <v>11160</v>
      </c>
      <c r="E154" s="3230">
        <v>14130</v>
      </c>
      <c r="F154" s="3230">
        <v>2230</v>
      </c>
      <c r="G154" s="3230">
        <v>7180</v>
      </c>
    </row>
    <row r="155" spans="1:7" s="3219" customFormat="1" ht="14.25" customHeight="1">
      <c r="A155" s="3230" t="s">
        <v>29</v>
      </c>
      <c r="B155" s="3230" t="s">
        <v>2960</v>
      </c>
      <c r="C155" s="3230">
        <v>10430</v>
      </c>
      <c r="D155" s="3230">
        <v>10380</v>
      </c>
      <c r="E155" s="3230">
        <v>13140</v>
      </c>
      <c r="F155" s="3230">
        <v>2080</v>
      </c>
      <c r="G155" s="3230">
        <v>6650</v>
      </c>
    </row>
    <row r="156" spans="1:7" s="3219" customFormat="1" ht="14.25" customHeight="1">
      <c r="A156" s="3230" t="s">
        <v>29</v>
      </c>
      <c r="B156" s="3230" t="s">
        <v>3075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3076</v>
      </c>
      <c r="C160" s="3230">
        <v>11180</v>
      </c>
      <c r="D160" s="3230">
        <v>11140</v>
      </c>
      <c r="E160" s="3230">
        <v>14050</v>
      </c>
      <c r="F160" s="3230">
        <v>2270</v>
      </c>
      <c r="G160" s="3230">
        <v>7170</v>
      </c>
    </row>
    <row r="161" spans="1:7" s="3219" customFormat="1" ht="14.25" customHeight="1">
      <c r="A161" s="3230" t="s">
        <v>29</v>
      </c>
      <c r="B161" s="3230" t="s">
        <v>2992</v>
      </c>
      <c r="C161" s="3230">
        <v>11160</v>
      </c>
      <c r="D161" s="3230">
        <v>11120</v>
      </c>
      <c r="E161" s="3230">
        <v>14020</v>
      </c>
      <c r="F161" s="3230">
        <v>2150</v>
      </c>
      <c r="G161" s="3230">
        <v>7160</v>
      </c>
    </row>
    <row r="162" spans="1:7" s="3219" customFormat="1" ht="14.25" customHeight="1">
      <c r="A162" s="3230" t="s">
        <v>29</v>
      </c>
      <c r="B162" s="3230" t="s">
        <v>2997</v>
      </c>
      <c r="C162" s="3230">
        <v>9620</v>
      </c>
      <c r="D162" s="3230">
        <v>9570</v>
      </c>
      <c r="E162" s="3230">
        <v>12320</v>
      </c>
      <c r="F162" s="3230">
        <v>2010</v>
      </c>
      <c r="G162" s="3230">
        <v>6160</v>
      </c>
    </row>
    <row r="163" spans="1:7" s="3219" customFormat="1" ht="14.25" customHeight="1">
      <c r="A163" s="3230" t="s">
        <v>29</v>
      </c>
      <c r="B163" s="3230" t="s">
        <v>3002</v>
      </c>
      <c r="C163" s="3230">
        <v>9320</v>
      </c>
      <c r="D163" s="3230">
        <v>9270</v>
      </c>
      <c r="E163" s="3230">
        <v>11790</v>
      </c>
      <c r="F163" s="3230">
        <v>1920</v>
      </c>
      <c r="G163" s="3230">
        <v>5960</v>
      </c>
    </row>
    <row r="164" spans="1:7" s="3219" customFormat="1" ht="14.25" customHeight="1">
      <c r="A164" s="3230" t="s">
        <v>29</v>
      </c>
      <c r="B164" s="3230" t="s">
        <v>3007</v>
      </c>
      <c r="C164" s="3230"/>
      <c r="D164" s="3230"/>
      <c r="E164" s="3230"/>
      <c r="F164" s="3230">
        <v>1980</v>
      </c>
      <c r="G164" s="3230"/>
    </row>
    <row r="165" spans="1:7" s="3219" customFormat="1" ht="14.25" customHeight="1">
      <c r="A165" s="3230" t="s">
        <v>29</v>
      </c>
      <c r="B165" s="3230" t="s">
        <v>3077</v>
      </c>
      <c r="C165" s="3230">
        <v>11060</v>
      </c>
      <c r="D165" s="3230">
        <v>11030</v>
      </c>
      <c r="E165" s="3230">
        <v>13850</v>
      </c>
      <c r="F165" s="3230">
        <v>2170</v>
      </c>
      <c r="G165" s="3230">
        <v>7090</v>
      </c>
    </row>
    <row r="166" spans="1:7" s="3219" customFormat="1" ht="14.25" customHeight="1">
      <c r="A166" s="3230" t="s">
        <v>29</v>
      </c>
      <c r="B166" s="3230" t="s">
        <v>3017</v>
      </c>
      <c r="C166" s="3230">
        <v>11050</v>
      </c>
      <c r="D166" s="3230">
        <v>11010</v>
      </c>
      <c r="E166" s="3230">
        <v>13920</v>
      </c>
      <c r="F166" s="3230">
        <v>2140</v>
      </c>
      <c r="G166" s="3230">
        <v>7080</v>
      </c>
    </row>
    <row r="167" spans="1:7" s="3219" customFormat="1" ht="14.25" customHeight="1">
      <c r="A167" s="3230" t="s">
        <v>29</v>
      </c>
      <c r="B167" s="3230" t="s">
        <v>3021</v>
      </c>
      <c r="C167" s="3230">
        <v>10930</v>
      </c>
      <c r="D167" s="3230">
        <v>10890</v>
      </c>
      <c r="E167" s="3230">
        <v>13790</v>
      </c>
      <c r="F167" s="3230">
        <v>2010</v>
      </c>
      <c r="G167" s="3230">
        <v>7000</v>
      </c>
    </row>
    <row r="168" spans="1:7" s="3219" customFormat="1" ht="14.25" customHeight="1">
      <c r="A168" s="3230" t="s">
        <v>29</v>
      </c>
      <c r="B168" s="3230" t="s">
        <v>3026</v>
      </c>
      <c r="C168" s="3230">
        <v>9420</v>
      </c>
      <c r="D168" s="3230">
        <v>9380</v>
      </c>
      <c r="E168" s="3230">
        <v>11970</v>
      </c>
      <c r="F168" s="3230"/>
      <c r="G168" s="3230">
        <v>6040</v>
      </c>
    </row>
    <row r="169" spans="1:7" s="3219" customFormat="1" ht="14.25" customHeight="1">
      <c r="A169" s="3230" t="s">
        <v>29</v>
      </c>
      <c r="B169" s="3230" t="s">
        <v>3078</v>
      </c>
      <c r="C169" s="3230"/>
      <c r="D169" s="3230"/>
      <c r="E169" s="3230"/>
      <c r="F169" s="3230">
        <v>2880</v>
      </c>
      <c r="G169" s="3230"/>
    </row>
    <row r="170" spans="1:7" s="3219" customFormat="1" ht="14.25" customHeight="1">
      <c r="A170" s="3230" t="s">
        <v>29</v>
      </c>
      <c r="B170" s="3230" t="s">
        <v>3034</v>
      </c>
      <c r="C170" s="3230"/>
      <c r="D170" s="3230"/>
      <c r="E170" s="3230"/>
      <c r="F170" s="3230">
        <v>2880</v>
      </c>
      <c r="G170" s="3230"/>
    </row>
    <row r="171" spans="1:7" s="3219" customFormat="1" ht="14.25" customHeight="1">
      <c r="A171" s="3230" t="s">
        <v>29</v>
      </c>
      <c r="B171" s="3230" t="s">
        <v>3037</v>
      </c>
      <c r="C171" s="3230"/>
      <c r="D171" s="3230"/>
      <c r="E171" s="3230"/>
      <c r="F171" s="3230">
        <v>2880</v>
      </c>
      <c r="G171" s="3230"/>
    </row>
    <row r="172" spans="1:7" s="3219" customFormat="1" ht="14.25" customHeight="1">
      <c r="A172" s="3230" t="s">
        <v>29</v>
      </c>
      <c r="B172" s="3230" t="s">
        <v>3039</v>
      </c>
      <c r="C172" s="3230"/>
      <c r="D172" s="3230"/>
      <c r="E172" s="3230"/>
      <c r="F172" s="3230">
        <v>2880</v>
      </c>
      <c r="G172" s="3230"/>
    </row>
    <row r="173" spans="1:7" s="3219" customFormat="1" ht="14.25" customHeight="1">
      <c r="A173" s="3230" t="s">
        <v>29</v>
      </c>
      <c r="B173" s="3230" t="s">
        <v>3041</v>
      </c>
      <c r="C173" s="3230"/>
      <c r="D173" s="3230"/>
      <c r="E173" s="3230"/>
      <c r="F173" s="3230">
        <v>2150</v>
      </c>
      <c r="G173" s="3230"/>
    </row>
    <row r="174" spans="1:7" s="3219" customFormat="1" ht="14.25" customHeight="1">
      <c r="A174" s="3230" t="s">
        <v>29</v>
      </c>
      <c r="B174" s="3230" t="s">
        <v>3043</v>
      </c>
      <c r="C174" s="3230"/>
      <c r="D174" s="3230"/>
      <c r="E174" s="3230"/>
      <c r="F174" s="3230">
        <v>2030</v>
      </c>
      <c r="G174" s="3230"/>
    </row>
    <row r="175" spans="1:7" s="3219" customFormat="1" ht="14.25" customHeight="1">
      <c r="A175" s="3230" t="s">
        <v>29</v>
      </c>
      <c r="B175" s="3230" t="s">
        <v>3045</v>
      </c>
      <c r="C175" s="3230"/>
      <c r="D175" s="3230"/>
      <c r="E175" s="3230"/>
      <c r="F175" s="3230">
        <v>2780</v>
      </c>
      <c r="G175" s="3230"/>
    </row>
    <row r="176" spans="1:7" s="3219" customFormat="1" ht="14.25" customHeight="1">
      <c r="A176" s="3230" t="s">
        <v>29</v>
      </c>
      <c r="B176" s="3230" t="s">
        <v>3047</v>
      </c>
      <c r="C176" s="3230"/>
      <c r="D176" s="3230"/>
      <c r="E176" s="3230"/>
      <c r="F176" s="3230">
        <v>2780</v>
      </c>
      <c r="G176" s="3230"/>
    </row>
    <row r="177" spans="1:7" s="3219" customFormat="1" ht="14.25" customHeight="1">
      <c r="A177" s="3230" t="s">
        <v>29</v>
      </c>
      <c r="B177" s="3230" t="s">
        <v>3079</v>
      </c>
      <c r="C177" s="3230"/>
      <c r="D177" s="3230"/>
      <c r="E177" s="3230"/>
      <c r="F177" s="3230">
        <v>2780</v>
      </c>
      <c r="G177" s="3230"/>
    </row>
    <row r="178" spans="1:7" s="3219" customFormat="1" ht="14.25" customHeight="1">
      <c r="A178" s="3230" t="s">
        <v>29</v>
      </c>
      <c r="B178" s="3230" t="s">
        <v>3080</v>
      </c>
      <c r="C178" s="3230"/>
      <c r="D178" s="3230"/>
      <c r="E178" s="3230"/>
      <c r="F178" s="3230">
        <v>2060</v>
      </c>
      <c r="G178" s="3230"/>
    </row>
    <row r="179" spans="1:7" s="3219" customFormat="1" ht="14.25" customHeight="1">
      <c r="A179" s="3230" t="s">
        <v>29</v>
      </c>
      <c r="B179" s="3230" t="s">
        <v>3081</v>
      </c>
      <c r="C179" s="3230"/>
      <c r="D179" s="3230"/>
      <c r="E179" s="3230"/>
      <c r="F179" s="3230">
        <v>2120</v>
      </c>
      <c r="G179" s="3230"/>
    </row>
    <row r="180" spans="1:7" s="3219" customFormat="1" ht="14.25" customHeight="1">
      <c r="A180" s="3230" t="s">
        <v>29</v>
      </c>
      <c r="B180" s="3230" t="s">
        <v>3053</v>
      </c>
      <c r="C180" s="3230"/>
      <c r="D180" s="3230"/>
      <c r="E180" s="3230"/>
      <c r="F180" s="3230">
        <v>2340</v>
      </c>
      <c r="G180" s="3230"/>
    </row>
    <row r="181" spans="1:7" s="3219" customFormat="1" ht="14.25" customHeight="1">
      <c r="A181" s="3230" t="s">
        <v>29</v>
      </c>
      <c r="B181" s="3230" t="s">
        <v>3054</v>
      </c>
      <c r="C181" s="3230"/>
      <c r="D181" s="3230"/>
      <c r="E181" s="3230"/>
      <c r="F181" s="3230">
        <v>2340</v>
      </c>
      <c r="G181" s="3230"/>
    </row>
    <row r="182" spans="1:7" s="3219" customFormat="1" ht="14.25" customHeight="1">
      <c r="A182" s="3230" t="s">
        <v>29</v>
      </c>
      <c r="B182" s="3230" t="s">
        <v>3055</v>
      </c>
      <c r="C182" s="3230"/>
      <c r="D182" s="3230"/>
      <c r="E182" s="3230"/>
      <c r="F182" s="3230">
        <v>2340</v>
      </c>
      <c r="G182" s="3230"/>
    </row>
    <row r="183" spans="1:7" s="3219" customFormat="1" ht="14.25" customHeight="1">
      <c r="A183" s="3230" t="s">
        <v>29</v>
      </c>
      <c r="B183" s="3230" t="s">
        <v>3056</v>
      </c>
      <c r="C183" s="3230"/>
      <c r="D183" s="3230"/>
      <c r="E183" s="3230"/>
      <c r="F183" s="3230">
        <v>2340</v>
      </c>
      <c r="G183" s="3230"/>
    </row>
    <row r="184" spans="1:7" s="3219" customFormat="1" ht="14.25" customHeight="1">
      <c r="A184" s="3230" t="s">
        <v>29</v>
      </c>
      <c r="B184" s="3230" t="s">
        <v>3057</v>
      </c>
      <c r="C184" s="3230"/>
      <c r="D184" s="3230"/>
      <c r="E184" s="3230"/>
      <c r="F184" s="3230">
        <v>2340</v>
      </c>
      <c r="G184" s="3230"/>
    </row>
    <row r="185" spans="1:7" s="3219" customFormat="1" ht="14.25" customHeight="1">
      <c r="A185" s="3230" t="s">
        <v>29</v>
      </c>
      <c r="B185" s="3230" t="s">
        <v>3058</v>
      </c>
      <c r="C185" s="3230"/>
      <c r="D185" s="3230"/>
      <c r="E185" s="3230"/>
      <c r="F185" s="3230">
        <v>2530</v>
      </c>
      <c r="G185" s="3230"/>
    </row>
    <row r="186" spans="1:7" s="3219" customFormat="1" ht="14.25" customHeight="1">
      <c r="A186" s="3230" t="s">
        <v>29</v>
      </c>
      <c r="B186" s="3230" t="s">
        <v>3059</v>
      </c>
      <c r="C186" s="3230"/>
      <c r="D186" s="3230"/>
      <c r="E186" s="3230"/>
      <c r="F186" s="3230">
        <v>2550</v>
      </c>
      <c r="G186" s="3230"/>
    </row>
    <row r="187" spans="1:7" s="3219" customFormat="1" ht="14.25" customHeight="1">
      <c r="A187" s="3230" t="s">
        <v>29</v>
      </c>
      <c r="B187" s="3230" t="s">
        <v>3060</v>
      </c>
      <c r="C187" s="3230"/>
      <c r="D187" s="3230"/>
      <c r="E187" s="3230"/>
      <c r="F187" s="3230">
        <v>2070</v>
      </c>
      <c r="G187" s="3230"/>
    </row>
    <row r="188" spans="1:7" s="3219" customFormat="1" ht="14.25" customHeight="1">
      <c r="A188" s="3230" t="s">
        <v>29</v>
      </c>
      <c r="B188" s="3230" t="s">
        <v>3061</v>
      </c>
      <c r="C188" s="3230"/>
      <c r="D188" s="3230"/>
      <c r="E188" s="3230"/>
      <c r="F188" s="3230">
        <v>2340</v>
      </c>
      <c r="G188" s="3230"/>
    </row>
    <row r="189" spans="1:7" s="3219" customFormat="1" ht="14.25" customHeight="1" thickBot="1">
      <c r="A189" s="3238" t="s">
        <v>29</v>
      </c>
      <c r="B189" s="3241" t="s">
        <v>3062</v>
      </c>
      <c r="C189" s="3241"/>
      <c r="D189" s="3241"/>
      <c r="E189" s="3241"/>
      <c r="F189" s="3241">
        <v>2050</v>
      </c>
      <c r="G189" s="3241"/>
    </row>
    <row r="190" spans="1:7" s="3219" customFormat="1" ht="14.25" customHeight="1">
      <c r="A190" s="3235" t="s">
        <v>304</v>
      </c>
      <c r="B190" s="3226" t="s">
        <v>3082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3083</v>
      </c>
      <c r="C199" s="3230">
        <v>8690</v>
      </c>
      <c r="D199" s="3230">
        <v>8630</v>
      </c>
      <c r="E199" s="3230">
        <v>11350</v>
      </c>
      <c r="F199" s="3230">
        <v>1600</v>
      </c>
      <c r="G199" s="3243">
        <v>5450</v>
      </c>
    </row>
    <row r="200" spans="1:7" s="3219" customFormat="1" ht="14.25" customHeight="1">
      <c r="A200" s="3230" t="s">
        <v>304</v>
      </c>
      <c r="B200" s="3230" t="s">
        <v>2894</v>
      </c>
      <c r="C200" s="3230"/>
      <c r="D200" s="3230"/>
      <c r="E200" s="3230"/>
      <c r="F200" s="3230">
        <v>1510</v>
      </c>
      <c r="G200" s="3243"/>
    </row>
    <row r="201" spans="1:7" s="3219" customFormat="1" ht="14.25" customHeight="1">
      <c r="A201" s="3230" t="s">
        <v>304</v>
      </c>
      <c r="B201" s="3230" t="s">
        <v>3084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3085</v>
      </c>
      <c r="C203" s="3230">
        <v>8130</v>
      </c>
      <c r="D203" s="3230">
        <v>8070</v>
      </c>
      <c r="E203" s="3230">
        <v>10820</v>
      </c>
      <c r="F203" s="3230">
        <v>1690</v>
      </c>
      <c r="G203" s="3243">
        <v>5100</v>
      </c>
    </row>
    <row r="204" spans="1:7" s="3219" customFormat="1" ht="14.25" customHeight="1">
      <c r="A204" s="3230" t="s">
        <v>304</v>
      </c>
      <c r="B204" s="3230" t="s">
        <v>2905</v>
      </c>
      <c r="C204" s="3230">
        <v>8350</v>
      </c>
      <c r="D204" s="3230">
        <v>8290</v>
      </c>
      <c r="E204" s="3230">
        <v>11080</v>
      </c>
      <c r="F204" s="3230">
        <v>1450</v>
      </c>
      <c r="G204" s="3243">
        <v>5240</v>
      </c>
    </row>
    <row r="205" spans="1:7" s="3219" customFormat="1" ht="14.25" customHeight="1">
      <c r="A205" s="3230" t="s">
        <v>304</v>
      </c>
      <c r="B205" s="3230" t="s">
        <v>2907</v>
      </c>
      <c r="C205" s="3230">
        <v>7190</v>
      </c>
      <c r="D205" s="3230">
        <v>7130</v>
      </c>
      <c r="E205" s="3230">
        <v>9490</v>
      </c>
      <c r="F205" s="3230">
        <v>1470</v>
      </c>
      <c r="G205" s="3243">
        <v>4510</v>
      </c>
    </row>
    <row r="206" spans="1:7" s="3219" customFormat="1" ht="14.25" customHeight="1">
      <c r="A206" s="3230" t="s">
        <v>304</v>
      </c>
      <c r="B206" s="3230" t="s">
        <v>2910</v>
      </c>
      <c r="C206" s="3230">
        <v>7000</v>
      </c>
      <c r="D206" s="3230">
        <v>6950</v>
      </c>
      <c r="E206" s="3230">
        <v>9170</v>
      </c>
      <c r="F206" s="3230">
        <v>1400</v>
      </c>
      <c r="G206" s="3243">
        <v>4380</v>
      </c>
    </row>
    <row r="207" spans="1:7" s="3219" customFormat="1" ht="14.25" customHeight="1">
      <c r="A207" s="3230" t="s">
        <v>304</v>
      </c>
      <c r="B207" s="3230" t="s">
        <v>2912</v>
      </c>
      <c r="C207" s="3230">
        <v>6950</v>
      </c>
      <c r="D207" s="3230">
        <v>6900</v>
      </c>
      <c r="E207" s="3230">
        <v>9110</v>
      </c>
      <c r="F207" s="3230">
        <v>1790</v>
      </c>
      <c r="G207" s="3243">
        <v>4360</v>
      </c>
    </row>
    <row r="208" spans="1:7" s="3219" customFormat="1" ht="14.25" customHeight="1">
      <c r="A208" s="3230" t="s">
        <v>304</v>
      </c>
      <c r="B208" s="3230" t="s">
        <v>3086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2922</v>
      </c>
      <c r="C210" s="3230">
        <v>8710</v>
      </c>
      <c r="D210" s="3230">
        <v>8660</v>
      </c>
      <c r="E210" s="3230">
        <v>11440</v>
      </c>
      <c r="F210" s="3230">
        <v>1740</v>
      </c>
      <c r="G210" s="3243">
        <v>5470</v>
      </c>
    </row>
    <row r="211" spans="1:7" s="3219" customFormat="1" ht="14.25" customHeight="1">
      <c r="A211" s="3230" t="s">
        <v>304</v>
      </c>
      <c r="B211" s="3230" t="s">
        <v>3087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3088</v>
      </c>
      <c r="C214" s="3230">
        <v>8090</v>
      </c>
      <c r="D214" s="3230">
        <v>8030</v>
      </c>
      <c r="E214" s="3230">
        <v>10780</v>
      </c>
      <c r="F214" s="3230">
        <v>1570</v>
      </c>
      <c r="G214" s="3243">
        <v>5070</v>
      </c>
    </row>
    <row r="215" spans="1:7" s="3219" customFormat="1" ht="14.25" customHeight="1">
      <c r="A215" s="3230" t="s">
        <v>304</v>
      </c>
      <c r="B215" s="3230" t="s">
        <v>3089</v>
      </c>
      <c r="C215" s="3230">
        <v>7950</v>
      </c>
      <c r="D215" s="3230">
        <v>7900</v>
      </c>
      <c r="E215" s="3230">
        <v>10560</v>
      </c>
      <c r="F215" s="3230">
        <v>1630</v>
      </c>
      <c r="G215" s="3243">
        <v>4990</v>
      </c>
    </row>
    <row r="216" spans="1:7" s="3219" customFormat="1" ht="14.25" customHeight="1">
      <c r="A216" s="3230" t="s">
        <v>304</v>
      </c>
      <c r="B216" s="3230" t="s">
        <v>3090</v>
      </c>
      <c r="C216" s="3230">
        <v>8490</v>
      </c>
      <c r="D216" s="3230">
        <v>8440</v>
      </c>
      <c r="E216" s="3230">
        <v>11260</v>
      </c>
      <c r="F216" s="3230">
        <v>1690</v>
      </c>
      <c r="G216" s="3243">
        <v>5330</v>
      </c>
    </row>
    <row r="217" spans="1:7" s="3219" customFormat="1" ht="14.25" customHeight="1">
      <c r="A217" s="3230" t="s">
        <v>304</v>
      </c>
      <c r="B217" s="3230" t="s">
        <v>2955</v>
      </c>
      <c r="C217" s="3230">
        <v>8200</v>
      </c>
      <c r="D217" s="3230">
        <v>8150</v>
      </c>
      <c r="E217" s="3230">
        <v>10910</v>
      </c>
      <c r="F217" s="3230">
        <v>1670</v>
      </c>
      <c r="G217" s="3243">
        <v>5150</v>
      </c>
    </row>
    <row r="218" spans="1:7" s="3219" customFormat="1" ht="14.25" customHeight="1">
      <c r="A218" s="3230" t="s">
        <v>304</v>
      </c>
      <c r="B218" s="3230" t="s">
        <v>3091</v>
      </c>
      <c r="C218" s="3230"/>
      <c r="D218" s="3230"/>
      <c r="E218" s="3230"/>
      <c r="F218" s="3230">
        <v>2040</v>
      </c>
      <c r="G218" s="3243"/>
    </row>
    <row r="219" spans="1:7" s="3219" customFormat="1" ht="14.25" customHeight="1">
      <c r="A219" s="3230" t="s">
        <v>304</v>
      </c>
      <c r="B219" s="3230" t="s">
        <v>3092</v>
      </c>
      <c r="C219" s="3230"/>
      <c r="D219" s="3230"/>
      <c r="E219" s="3230"/>
      <c r="F219" s="3230">
        <v>2040</v>
      </c>
      <c r="G219" s="3243"/>
    </row>
    <row r="220" spans="1:7" s="3219" customFormat="1" ht="14.25" customHeight="1">
      <c r="A220" s="3230" t="s">
        <v>304</v>
      </c>
      <c r="B220" s="3230" t="s">
        <v>3093</v>
      </c>
      <c r="C220" s="3230"/>
      <c r="D220" s="3230"/>
      <c r="E220" s="3230"/>
      <c r="F220" s="3230">
        <v>2040</v>
      </c>
      <c r="G220" s="3243"/>
    </row>
    <row r="221" spans="1:7" s="3219" customFormat="1" ht="14.25" customHeight="1">
      <c r="A221" s="3230" t="s">
        <v>304</v>
      </c>
      <c r="B221" s="3230" t="s">
        <v>3094</v>
      </c>
      <c r="C221" s="3230"/>
      <c r="D221" s="3230"/>
      <c r="E221" s="3230"/>
      <c r="F221" s="3230">
        <v>2040</v>
      </c>
      <c r="G221" s="3243"/>
    </row>
    <row r="222" spans="1:7" s="3219" customFormat="1" ht="14.25" customHeight="1">
      <c r="A222" s="3230" t="s">
        <v>304</v>
      </c>
      <c r="B222" s="3230" t="s">
        <v>3095</v>
      </c>
      <c r="C222" s="3230"/>
      <c r="D222" s="3230"/>
      <c r="E222" s="3230"/>
      <c r="F222" s="3230">
        <v>2040</v>
      </c>
      <c r="G222" s="3243"/>
    </row>
    <row r="223" spans="1:7" s="3219" customFormat="1" ht="14.25" customHeight="1">
      <c r="A223" s="3230" t="s">
        <v>304</v>
      </c>
      <c r="B223" s="3230" t="s">
        <v>3096</v>
      </c>
      <c r="C223" s="3230"/>
      <c r="D223" s="3230"/>
      <c r="E223" s="3230"/>
      <c r="F223" s="3230">
        <v>1930</v>
      </c>
      <c r="G223" s="3243"/>
    </row>
    <row r="224" spans="1:7" s="3219" customFormat="1" ht="14.25" customHeight="1">
      <c r="A224" s="3230" t="s">
        <v>304</v>
      </c>
      <c r="B224" s="3230" t="s">
        <v>3097</v>
      </c>
      <c r="C224" s="3230"/>
      <c r="D224" s="3230"/>
      <c r="E224" s="3230"/>
      <c r="F224" s="3230">
        <v>1930</v>
      </c>
      <c r="G224" s="3243"/>
    </row>
    <row r="225" spans="1:7" s="3219" customFormat="1" ht="14.25" customHeight="1">
      <c r="A225" s="3230" t="s">
        <v>304</v>
      </c>
      <c r="B225" s="3230" t="s">
        <v>3098</v>
      </c>
      <c r="C225" s="3230"/>
      <c r="D225" s="3230"/>
      <c r="E225" s="3230"/>
      <c r="F225" s="3230">
        <v>1930</v>
      </c>
      <c r="G225" s="3243"/>
    </row>
    <row r="226" spans="1:7" s="3219" customFormat="1" ht="14.25" customHeight="1">
      <c r="A226" s="3230" t="s">
        <v>304</v>
      </c>
      <c r="B226" s="3230" t="s">
        <v>3099</v>
      </c>
      <c r="C226" s="3230"/>
      <c r="D226" s="3230"/>
      <c r="E226" s="3230"/>
      <c r="F226" s="3230">
        <v>1700</v>
      </c>
      <c r="G226" s="3243"/>
    </row>
    <row r="227" spans="1:7" s="3219" customFormat="1" ht="14.25" customHeight="1">
      <c r="A227" s="3230" t="s">
        <v>304</v>
      </c>
      <c r="B227" s="3230" t="s">
        <v>3100</v>
      </c>
      <c r="C227" s="3230"/>
      <c r="D227" s="3230"/>
      <c r="E227" s="3230"/>
      <c r="F227" s="3230">
        <v>1520</v>
      </c>
      <c r="G227" s="3243"/>
    </row>
    <row r="228" spans="1:7" s="3219" customFormat="1" ht="14.25" customHeight="1">
      <c r="A228" s="3230" t="s">
        <v>304</v>
      </c>
      <c r="B228" s="3230" t="s">
        <v>3101</v>
      </c>
      <c r="C228" s="3230"/>
      <c r="D228" s="3230"/>
      <c r="E228" s="3230"/>
      <c r="F228" s="3230">
        <v>1520</v>
      </c>
      <c r="G228" s="3243"/>
    </row>
    <row r="229" spans="1:7" s="3219" customFormat="1" ht="14.25" customHeight="1">
      <c r="A229" s="3230" t="s">
        <v>304</v>
      </c>
      <c r="B229" s="3230" t="s">
        <v>3018</v>
      </c>
      <c r="C229" s="3230"/>
      <c r="D229" s="3230"/>
      <c r="E229" s="3230"/>
      <c r="F229" s="3230">
        <v>1520</v>
      </c>
      <c r="G229" s="3243"/>
    </row>
    <row r="230" spans="1:7" s="3219" customFormat="1" ht="14.25" customHeight="1">
      <c r="A230" s="3230" t="s">
        <v>304</v>
      </c>
      <c r="B230" s="3230" t="s">
        <v>3102</v>
      </c>
      <c r="C230" s="3230"/>
      <c r="D230" s="3230"/>
      <c r="E230" s="3230"/>
      <c r="F230" s="3230">
        <v>1820</v>
      </c>
      <c r="G230" s="3243"/>
    </row>
    <row r="231" spans="1:7" s="3219" customFormat="1" ht="14.25" customHeight="1">
      <c r="A231" s="3230" t="s">
        <v>304</v>
      </c>
      <c r="B231" s="3230" t="s">
        <v>3103</v>
      </c>
      <c r="C231" s="3230"/>
      <c r="D231" s="3230"/>
      <c r="E231" s="3230"/>
      <c r="F231" s="3230">
        <v>1760</v>
      </c>
      <c r="G231" s="3243"/>
    </row>
    <row r="232" spans="1:7" s="3219" customFormat="1" ht="14.25" customHeight="1">
      <c r="A232" s="3230" t="s">
        <v>304</v>
      </c>
      <c r="B232" s="3230" t="s">
        <v>3104</v>
      </c>
      <c r="C232" s="3230"/>
      <c r="D232" s="3230"/>
      <c r="E232" s="3230"/>
      <c r="F232" s="3230">
        <v>1840</v>
      </c>
      <c r="G232" s="3243"/>
    </row>
    <row r="233" spans="1:7" s="3219" customFormat="1" ht="14.25" customHeight="1" thickBot="1">
      <c r="A233" s="3244" t="s">
        <v>304</v>
      </c>
      <c r="B233" s="3237" t="s">
        <v>3035</v>
      </c>
      <c r="C233" s="3237"/>
      <c r="D233" s="3237"/>
      <c r="E233" s="3237"/>
      <c r="F233" s="3237">
        <v>1770</v>
      </c>
      <c r="G233" s="3245"/>
    </row>
    <row r="234" spans="1:7" s="3219" customFormat="1" ht="14.25" customHeight="1">
      <c r="A234" s="3235" t="s">
        <v>305</v>
      </c>
      <c r="B234" s="3226" t="s">
        <v>3105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2876</v>
      </c>
      <c r="C238" s="3230">
        <v>6920</v>
      </c>
      <c r="D238" s="3230">
        <v>6890</v>
      </c>
      <c r="E238" s="3230">
        <v>8640</v>
      </c>
      <c r="F238" s="3230">
        <v>1310</v>
      </c>
      <c r="G238" s="3230">
        <v>4230</v>
      </c>
    </row>
    <row r="239" spans="1:7" s="3219" customFormat="1" ht="14.25" customHeight="1">
      <c r="A239" s="3230" t="s">
        <v>305</v>
      </c>
      <c r="B239" s="3230" t="s">
        <v>3106</v>
      </c>
      <c r="C239" s="3230">
        <v>6780</v>
      </c>
      <c r="D239" s="3230">
        <v>6750</v>
      </c>
      <c r="E239" s="3230">
        <v>8440</v>
      </c>
      <c r="F239" s="3230">
        <v>1160</v>
      </c>
      <c r="G239" s="3230">
        <v>4140</v>
      </c>
    </row>
    <row r="240" spans="1:7" s="3219" customFormat="1" ht="14.25" customHeight="1">
      <c r="A240" s="3230" t="s">
        <v>305</v>
      </c>
      <c r="B240" s="3230" t="s">
        <v>3107</v>
      </c>
      <c r="C240" s="3230">
        <v>5420</v>
      </c>
      <c r="D240" s="3230">
        <v>5380</v>
      </c>
      <c r="E240" s="3230">
        <v>6640</v>
      </c>
      <c r="F240" s="3230">
        <v>1020</v>
      </c>
      <c r="G240" s="3230">
        <v>3300</v>
      </c>
    </row>
    <row r="241" spans="1:7" s="3219" customFormat="1" ht="14.25" customHeight="1">
      <c r="A241" s="3230" t="s">
        <v>305</v>
      </c>
      <c r="B241" s="3230" t="s">
        <v>3108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2938</v>
      </c>
      <c r="C258" s="3230">
        <v>6190</v>
      </c>
      <c r="D258" s="3230">
        <v>6160</v>
      </c>
      <c r="E258" s="3230">
        <v>7680</v>
      </c>
      <c r="F258" s="3230">
        <v>1170</v>
      </c>
      <c r="G258" s="3230">
        <v>3780</v>
      </c>
    </row>
    <row r="259" spans="1:7" s="3219" customFormat="1" ht="14.25" customHeight="1">
      <c r="A259" s="3230" t="s">
        <v>305</v>
      </c>
      <c r="B259" s="3230" t="s">
        <v>3114</v>
      </c>
      <c r="C259" s="3230">
        <v>7610</v>
      </c>
      <c r="D259" s="3230">
        <v>7570</v>
      </c>
      <c r="E259" s="3230">
        <v>9350</v>
      </c>
      <c r="F259" s="3230">
        <v>1350</v>
      </c>
      <c r="G259" s="3230">
        <v>4650</v>
      </c>
    </row>
    <row r="260" spans="1:7" s="3219" customFormat="1" ht="14.25" customHeight="1">
      <c r="A260" s="3230" t="s">
        <v>305</v>
      </c>
      <c r="B260" s="3230" t="s">
        <v>3115</v>
      </c>
      <c r="C260" s="3230">
        <v>6920</v>
      </c>
      <c r="D260" s="3230">
        <v>6880</v>
      </c>
      <c r="E260" s="3230">
        <v>8380</v>
      </c>
      <c r="F260" s="3230">
        <v>1160</v>
      </c>
      <c r="G260" s="3230">
        <v>4220</v>
      </c>
    </row>
    <row r="261" spans="1:7" s="3219" customFormat="1" ht="14.25" customHeight="1">
      <c r="A261" s="3230" t="s">
        <v>305</v>
      </c>
      <c r="B261" s="3230" t="s">
        <v>3116</v>
      </c>
      <c r="C261" s="3230">
        <v>6850</v>
      </c>
      <c r="D261" s="3230">
        <v>6810</v>
      </c>
      <c r="E261" s="3230">
        <v>8290</v>
      </c>
      <c r="F261" s="3230">
        <v>1130</v>
      </c>
      <c r="G261" s="3230">
        <v>4180</v>
      </c>
    </row>
    <row r="262" spans="1:7" s="3219" customFormat="1" ht="14.25" customHeight="1">
      <c r="A262" s="3230" t="s">
        <v>305</v>
      </c>
      <c r="B262" s="3230" t="s">
        <v>3117</v>
      </c>
      <c r="C262" s="3230">
        <v>5860</v>
      </c>
      <c r="D262" s="3230">
        <v>5820</v>
      </c>
      <c r="E262" s="3230">
        <v>7640</v>
      </c>
      <c r="F262" s="3230">
        <v>1070</v>
      </c>
      <c r="G262" s="3230">
        <v>3570</v>
      </c>
    </row>
    <row r="263" spans="1:7" s="3219" customFormat="1" ht="14.25" customHeight="1">
      <c r="A263" s="3230" t="s">
        <v>305</v>
      </c>
      <c r="B263" s="3230" t="s">
        <v>3118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3119</v>
      </c>
      <c r="C265" s="3230"/>
      <c r="D265" s="3230"/>
      <c r="E265" s="3230"/>
      <c r="F265" s="3230">
        <v>1500</v>
      </c>
      <c r="G265" s="3230"/>
    </row>
    <row r="266" spans="1:7" s="3219" customFormat="1" ht="14.25" customHeight="1">
      <c r="A266" s="3230" t="s">
        <v>305</v>
      </c>
      <c r="B266" s="3230" t="s">
        <v>3120</v>
      </c>
      <c r="C266" s="3230"/>
      <c r="D266" s="3230"/>
      <c r="E266" s="3230"/>
      <c r="F266" s="3230">
        <v>1500</v>
      </c>
      <c r="G266" s="3230"/>
    </row>
    <row r="267" spans="1:7" s="3219" customFormat="1" ht="14.25" customHeight="1">
      <c r="A267" s="3230" t="s">
        <v>305</v>
      </c>
      <c r="B267" s="3230" t="s">
        <v>3121</v>
      </c>
      <c r="C267" s="3230"/>
      <c r="D267" s="3230"/>
      <c r="E267" s="3230"/>
      <c r="F267" s="3230">
        <v>1500</v>
      </c>
      <c r="G267" s="3230"/>
    </row>
    <row r="268" spans="1:7" s="3219" customFormat="1" ht="14.25" customHeight="1">
      <c r="A268" s="3230" t="s">
        <v>305</v>
      </c>
      <c r="B268" s="3230" t="s">
        <v>3122</v>
      </c>
      <c r="C268" s="3230"/>
      <c r="D268" s="3230"/>
      <c r="E268" s="3230"/>
      <c r="F268" s="3230">
        <v>1290</v>
      </c>
      <c r="G268" s="3230"/>
    </row>
    <row r="269" spans="1:7" s="3219" customFormat="1" ht="14.25" customHeight="1">
      <c r="A269" s="3230" t="s">
        <v>305</v>
      </c>
      <c r="B269" s="3230" t="s">
        <v>3123</v>
      </c>
      <c r="C269" s="3230"/>
      <c r="D269" s="3230"/>
      <c r="E269" s="3230"/>
      <c r="F269" s="3230">
        <v>1150</v>
      </c>
      <c r="G269" s="3230"/>
    </row>
    <row r="270" spans="1:7" s="3219" customFormat="1" ht="14.25" customHeight="1">
      <c r="A270" s="3230" t="s">
        <v>305</v>
      </c>
      <c r="B270" s="3230" t="s">
        <v>3124</v>
      </c>
      <c r="C270" s="3230"/>
      <c r="D270" s="3230"/>
      <c r="E270" s="3230"/>
      <c r="F270" s="3230">
        <v>1380</v>
      </c>
      <c r="G270" s="3230"/>
    </row>
    <row r="271" spans="1:7" s="3219" customFormat="1" ht="14.25" customHeight="1">
      <c r="A271" s="3230" t="s">
        <v>305</v>
      </c>
      <c r="B271" s="3230" t="s">
        <v>3125</v>
      </c>
      <c r="C271" s="3230"/>
      <c r="D271" s="3230"/>
      <c r="E271" s="3230"/>
      <c r="F271" s="3230">
        <v>1460</v>
      </c>
      <c r="G271" s="3230"/>
    </row>
    <row r="272" spans="1:7" s="3219" customFormat="1" ht="14.25" customHeight="1">
      <c r="A272" s="3230" t="s">
        <v>305</v>
      </c>
      <c r="B272" s="3230" t="s">
        <v>3126</v>
      </c>
      <c r="C272" s="3230"/>
      <c r="D272" s="3230"/>
      <c r="E272" s="3230"/>
      <c r="F272" s="3230">
        <v>1460</v>
      </c>
      <c r="G272" s="3230"/>
    </row>
    <row r="273" spans="1:7" s="3219" customFormat="1" ht="14.25" customHeight="1">
      <c r="A273" s="3230" t="s">
        <v>305</v>
      </c>
      <c r="B273" s="3230" t="s">
        <v>3019</v>
      </c>
      <c r="C273" s="3230"/>
      <c r="D273" s="3230"/>
      <c r="E273" s="3230"/>
      <c r="F273" s="3230">
        <v>1490</v>
      </c>
      <c r="G273" s="3230"/>
    </row>
    <row r="274" spans="1:7" s="3219" customFormat="1" ht="14.25" customHeight="1">
      <c r="A274" s="3230" t="s">
        <v>305</v>
      </c>
      <c r="B274" s="3230" t="s">
        <v>3127</v>
      </c>
      <c r="C274" s="3230"/>
      <c r="D274" s="3230"/>
      <c r="E274" s="3230"/>
      <c r="F274" s="3230">
        <v>1490</v>
      </c>
      <c r="G274" s="3230"/>
    </row>
    <row r="275" spans="1:7" s="3219" customFormat="1" ht="14.25" customHeight="1">
      <c r="A275" s="3230" t="s">
        <v>305</v>
      </c>
      <c r="B275" s="3230" t="s">
        <v>3128</v>
      </c>
      <c r="C275" s="3230"/>
      <c r="D275" s="3230"/>
      <c r="E275" s="3230"/>
      <c r="F275" s="3230">
        <v>1220</v>
      </c>
      <c r="G275" s="3230"/>
    </row>
    <row r="276" spans="1:7" s="3219" customFormat="1" ht="14.25" customHeight="1" thickBot="1">
      <c r="A276" s="3238" t="s">
        <v>305</v>
      </c>
      <c r="B276" s="3240" t="s">
        <v>3129</v>
      </c>
      <c r="C276" s="3241"/>
      <c r="D276" s="3241"/>
      <c r="E276" s="3241"/>
      <c r="F276" s="3241">
        <v>1380</v>
      </c>
      <c r="G276" s="3241"/>
    </row>
    <row r="277" spans="1:7" s="3219" customFormat="1" ht="14.25" customHeight="1">
      <c r="A277" s="3235" t="s">
        <v>306</v>
      </c>
      <c r="B277" s="3226" t="s">
        <v>3130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3131</v>
      </c>
      <c r="C279" s="3230">
        <v>4760</v>
      </c>
      <c r="D279" s="3230">
        <v>4720</v>
      </c>
      <c r="E279" s="3230">
        <v>5540</v>
      </c>
      <c r="F279" s="3230">
        <v>810</v>
      </c>
      <c r="G279" s="3243">
        <v>2850</v>
      </c>
    </row>
    <row r="280" spans="1:7" s="3219" customFormat="1" ht="14.25" customHeight="1">
      <c r="A280" s="3230" t="s">
        <v>306</v>
      </c>
      <c r="B280" s="3230" t="s">
        <v>3132</v>
      </c>
      <c r="C280" s="3230">
        <v>4010</v>
      </c>
      <c r="D280" s="3230">
        <v>3950</v>
      </c>
      <c r="E280" s="3230">
        <v>4710</v>
      </c>
      <c r="F280" s="3230">
        <v>800</v>
      </c>
      <c r="G280" s="3243">
        <v>2390</v>
      </c>
    </row>
    <row r="281" spans="1:7" s="3219" customFormat="1" ht="14.25" customHeight="1">
      <c r="A281" s="3230" t="s">
        <v>306</v>
      </c>
      <c r="B281" s="3230" t="s">
        <v>3133</v>
      </c>
      <c r="C281" s="3230">
        <v>4480</v>
      </c>
      <c r="D281" s="3230">
        <v>4420</v>
      </c>
      <c r="E281" s="3230">
        <v>5230</v>
      </c>
      <c r="F281" s="3230">
        <v>870</v>
      </c>
      <c r="G281" s="3243">
        <v>2660</v>
      </c>
    </row>
    <row r="282" spans="1:7" s="3219" customFormat="1" ht="14.25" customHeight="1">
      <c r="A282" s="3230" t="s">
        <v>306</v>
      </c>
      <c r="B282" s="3230" t="s">
        <v>3134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2911</v>
      </c>
      <c r="C293" s="3230">
        <v>5320</v>
      </c>
      <c r="D293" s="3230">
        <v>5270</v>
      </c>
      <c r="E293" s="3230">
        <v>6160</v>
      </c>
      <c r="F293" s="3230">
        <v>990</v>
      </c>
      <c r="G293" s="3243">
        <v>3170</v>
      </c>
    </row>
    <row r="294" spans="1:7" s="3219" customFormat="1" ht="14.25" customHeight="1">
      <c r="A294" s="3230" t="s">
        <v>306</v>
      </c>
      <c r="B294" s="3230" t="s">
        <v>3137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3138</v>
      </c>
      <c r="C302" s="3230">
        <v>5520</v>
      </c>
      <c r="D302" s="3230">
        <v>5470</v>
      </c>
      <c r="E302" s="3230">
        <v>6410</v>
      </c>
      <c r="F302" s="3230">
        <v>950</v>
      </c>
      <c r="G302" s="3243">
        <v>3300</v>
      </c>
    </row>
    <row r="303" spans="1:7" s="3219" customFormat="1" ht="14.25" customHeight="1">
      <c r="A303" s="3230" t="s">
        <v>306</v>
      </c>
      <c r="B303" s="3230" t="s">
        <v>2950</v>
      </c>
      <c r="C303" s="3230">
        <v>5630</v>
      </c>
      <c r="D303" s="3230">
        <v>5590</v>
      </c>
      <c r="E303" s="3230">
        <v>6550</v>
      </c>
      <c r="F303" s="3230">
        <v>1010</v>
      </c>
      <c r="G303" s="3243">
        <v>3370</v>
      </c>
    </row>
    <row r="304" spans="1:7" s="3219" customFormat="1" ht="14.25" customHeight="1">
      <c r="A304" s="3230" t="s">
        <v>306</v>
      </c>
      <c r="B304" s="3230" t="s">
        <v>2957</v>
      </c>
      <c r="C304" s="3230">
        <v>5680</v>
      </c>
      <c r="D304" s="3230">
        <v>5620</v>
      </c>
      <c r="E304" s="3230">
        <v>6620</v>
      </c>
      <c r="F304" s="3230">
        <v>1050</v>
      </c>
      <c r="G304" s="3243">
        <v>3390</v>
      </c>
    </row>
    <row r="305" spans="1:7" s="3219" customFormat="1" ht="14.25" customHeight="1">
      <c r="A305" s="3230" t="s">
        <v>306</v>
      </c>
      <c r="B305" s="3230" t="s">
        <v>2963</v>
      </c>
      <c r="C305" s="3230">
        <v>5590</v>
      </c>
      <c r="D305" s="3230">
        <v>5530</v>
      </c>
      <c r="E305" s="3230">
        <v>6460</v>
      </c>
      <c r="F305" s="3230">
        <v>900</v>
      </c>
      <c r="G305" s="3243">
        <v>3340</v>
      </c>
    </row>
    <row r="306" spans="1:7" s="3219" customFormat="1" ht="14.25" customHeight="1">
      <c r="A306" s="3230" t="s">
        <v>306</v>
      </c>
      <c r="B306" s="3230" t="s">
        <v>3139</v>
      </c>
      <c r="C306" s="3230">
        <v>5560</v>
      </c>
      <c r="D306" s="3230">
        <v>5510</v>
      </c>
      <c r="E306" s="3230">
        <v>6440</v>
      </c>
      <c r="F306" s="3230">
        <v>900</v>
      </c>
      <c r="G306" s="3243">
        <v>3320</v>
      </c>
    </row>
    <row r="307" spans="1:7" s="3219" customFormat="1" ht="14.25" customHeight="1">
      <c r="A307" s="3230" t="s">
        <v>306</v>
      </c>
      <c r="B307" s="3230" t="s">
        <v>2975</v>
      </c>
      <c r="C307" s="3230">
        <v>5650</v>
      </c>
      <c r="D307" s="3230">
        <v>5600</v>
      </c>
      <c r="E307" s="3230">
        <v>6590</v>
      </c>
      <c r="F307" s="3230">
        <v>930</v>
      </c>
      <c r="G307" s="3243">
        <v>3380</v>
      </c>
    </row>
    <row r="308" spans="1:7" s="3219" customFormat="1" ht="14.25" customHeight="1">
      <c r="A308" s="3230" t="s">
        <v>306</v>
      </c>
      <c r="B308" s="3230" t="s">
        <v>3140</v>
      </c>
      <c r="C308" s="3230">
        <v>5620</v>
      </c>
      <c r="D308" s="3230">
        <v>5580</v>
      </c>
      <c r="E308" s="3230">
        <v>6540</v>
      </c>
      <c r="F308" s="3230">
        <v>910</v>
      </c>
      <c r="G308" s="3243">
        <v>3370</v>
      </c>
    </row>
    <row r="309" spans="1:7" s="3219" customFormat="1" ht="14.25" customHeight="1">
      <c r="A309" s="3230" t="s">
        <v>306</v>
      </c>
      <c r="B309" s="3230" t="s">
        <v>3141</v>
      </c>
      <c r="C309" s="3230">
        <v>5060</v>
      </c>
      <c r="D309" s="3230">
        <v>5020</v>
      </c>
      <c r="E309" s="3230">
        <v>6370</v>
      </c>
      <c r="F309" s="3230">
        <v>800</v>
      </c>
      <c r="G309" s="3243">
        <v>3020</v>
      </c>
    </row>
    <row r="310" spans="1:7" s="3219" customFormat="1" ht="14.25" customHeight="1">
      <c r="A310" s="3230" t="s">
        <v>306</v>
      </c>
      <c r="B310" s="3230" t="s">
        <v>2990</v>
      </c>
      <c r="C310" s="3230">
        <v>5150</v>
      </c>
      <c r="D310" s="3230">
        <v>5110</v>
      </c>
      <c r="E310" s="3230">
        <v>6500</v>
      </c>
      <c r="F310" s="3230">
        <v>880</v>
      </c>
      <c r="G310" s="3243">
        <v>3080</v>
      </c>
    </row>
    <row r="311" spans="1:7" s="3219" customFormat="1" ht="14.25" customHeight="1">
      <c r="A311" s="3230" t="s">
        <v>306</v>
      </c>
      <c r="B311" s="3230" t="s">
        <v>3142</v>
      </c>
      <c r="C311" s="3230">
        <v>4750</v>
      </c>
      <c r="D311" s="3230">
        <v>4710</v>
      </c>
      <c r="E311" s="3230">
        <v>5510</v>
      </c>
      <c r="F311" s="3230">
        <v>880</v>
      </c>
      <c r="G311" s="3243">
        <v>2840</v>
      </c>
    </row>
    <row r="312" spans="1:7" s="3219" customFormat="1" ht="14.25" customHeight="1">
      <c r="A312" s="3230" t="s">
        <v>306</v>
      </c>
      <c r="B312" s="3230" t="s">
        <v>3000</v>
      </c>
      <c r="C312" s="3230">
        <v>4690</v>
      </c>
      <c r="D312" s="3230">
        <v>4640</v>
      </c>
      <c r="E312" s="3230">
        <v>5420</v>
      </c>
      <c r="F312" s="3230">
        <v>800</v>
      </c>
      <c r="G312" s="3243">
        <v>2800</v>
      </c>
    </row>
    <row r="313" spans="1:7" s="3219" customFormat="1" ht="14.25" customHeight="1">
      <c r="A313" s="3230" t="s">
        <v>306</v>
      </c>
      <c r="B313" s="3230" t="s">
        <v>3005</v>
      </c>
      <c r="C313" s="3230">
        <v>4810</v>
      </c>
      <c r="D313" s="3230">
        <v>4760</v>
      </c>
      <c r="E313" s="3230">
        <v>5550</v>
      </c>
      <c r="F313" s="3230">
        <v>920</v>
      </c>
      <c r="G313" s="3243">
        <v>2870</v>
      </c>
    </row>
    <row r="314" spans="1:7" s="3219" customFormat="1" ht="14.25" customHeight="1">
      <c r="A314" s="3230" t="s">
        <v>306</v>
      </c>
      <c r="B314" s="3230" t="s">
        <v>3143</v>
      </c>
      <c r="C314" s="3230"/>
      <c r="D314" s="3230"/>
      <c r="E314" s="3230"/>
      <c r="F314" s="3230">
        <v>1020</v>
      </c>
      <c r="G314" s="3243"/>
    </row>
    <row r="315" spans="1:7" s="3219" customFormat="1" ht="14.25" customHeight="1">
      <c r="A315" s="3230" t="s">
        <v>306</v>
      </c>
      <c r="B315" s="3230" t="s">
        <v>3144</v>
      </c>
      <c r="C315" s="3230"/>
      <c r="D315" s="3230"/>
      <c r="E315" s="3230"/>
      <c r="F315" s="3230">
        <v>1050</v>
      </c>
      <c r="G315" s="3243"/>
    </row>
    <row r="316" spans="1:7" s="3219" customFormat="1" ht="14.25" customHeight="1">
      <c r="A316" s="3230" t="s">
        <v>306</v>
      </c>
      <c r="B316" s="3230" t="s">
        <v>3020</v>
      </c>
      <c r="C316" s="3230"/>
      <c r="D316" s="3230"/>
      <c r="E316" s="3230"/>
      <c r="F316" s="3230">
        <v>900</v>
      </c>
      <c r="G316" s="3243"/>
    </row>
    <row r="317" spans="1:7" s="3219" customFormat="1" ht="14.25" customHeight="1">
      <c r="A317" s="3230" t="s">
        <v>306</v>
      </c>
      <c r="B317" s="3230" t="s">
        <v>3145</v>
      </c>
      <c r="C317" s="3230"/>
      <c r="D317" s="3230"/>
      <c r="E317" s="3230"/>
      <c r="F317" s="3230">
        <v>920</v>
      </c>
      <c r="G317" s="3243"/>
    </row>
    <row r="318" spans="1:7" s="3219" customFormat="1" ht="14.25" customHeight="1">
      <c r="A318" s="3230" t="s">
        <v>306</v>
      </c>
      <c r="B318" s="3230" t="s">
        <v>3146</v>
      </c>
      <c r="C318" s="3230"/>
      <c r="D318" s="3230"/>
      <c r="E318" s="3230"/>
      <c r="F318" s="3230">
        <v>1080</v>
      </c>
      <c r="G318" s="3243"/>
    </row>
    <row r="319" spans="1:7" s="3219" customFormat="1" ht="14.25" customHeight="1">
      <c r="A319" s="3230" t="s">
        <v>306</v>
      </c>
      <c r="B319" s="3230" t="s">
        <v>3033</v>
      </c>
      <c r="C319" s="3230"/>
      <c r="D319" s="3230"/>
      <c r="E319" s="3230"/>
      <c r="F319" s="3230">
        <v>1020</v>
      </c>
      <c r="G319" s="3243"/>
    </row>
    <row r="320" spans="1:7" s="3219" customFormat="1" ht="14.25" customHeight="1">
      <c r="A320" s="3230" t="s">
        <v>306</v>
      </c>
      <c r="B320" s="3230" t="s">
        <v>3036</v>
      </c>
      <c r="C320" s="3230"/>
      <c r="D320" s="3230"/>
      <c r="E320" s="3230"/>
      <c r="F320" s="3230">
        <v>1050</v>
      </c>
      <c r="G320" s="3243"/>
    </row>
    <row r="321" spans="1:7" s="3219" customFormat="1" ht="14.25" customHeight="1">
      <c r="A321" s="3230" t="s">
        <v>306</v>
      </c>
      <c r="B321" s="3230" t="s">
        <v>3038</v>
      </c>
      <c r="C321" s="3230"/>
      <c r="D321" s="3230"/>
      <c r="E321" s="3230"/>
      <c r="F321" s="3230">
        <v>960</v>
      </c>
      <c r="G321" s="3243"/>
    </row>
    <row r="322" spans="1:7" s="3219" customFormat="1" ht="14.25" customHeight="1">
      <c r="A322" s="3230" t="s">
        <v>306</v>
      </c>
      <c r="B322" s="3230" t="s">
        <v>3040</v>
      </c>
      <c r="C322" s="3230"/>
      <c r="D322" s="3230"/>
      <c r="E322" s="3230"/>
      <c r="F322" s="3230">
        <v>960</v>
      </c>
      <c r="G322" s="3243"/>
    </row>
    <row r="323" spans="1:7" s="3219" customFormat="1" ht="14.25" customHeight="1">
      <c r="A323" s="3230" t="s">
        <v>306</v>
      </c>
      <c r="B323" s="3230" t="s">
        <v>3042</v>
      </c>
      <c r="C323" s="3230"/>
      <c r="D323" s="3230"/>
      <c r="E323" s="3230"/>
      <c r="F323" s="3230">
        <v>880</v>
      </c>
      <c r="G323" s="3243"/>
    </row>
    <row r="324" spans="1:7" s="3219" customFormat="1" ht="14.25" customHeight="1">
      <c r="A324" s="3230" t="s">
        <v>306</v>
      </c>
      <c r="B324" s="3230" t="s">
        <v>3044</v>
      </c>
      <c r="C324" s="3230"/>
      <c r="D324" s="3230"/>
      <c r="E324" s="3230"/>
      <c r="F324" s="3230">
        <v>930</v>
      </c>
      <c r="G324" s="3243"/>
    </row>
    <row r="325" spans="1:7" s="3219" customFormat="1" ht="14.25" customHeight="1">
      <c r="A325" s="3230" t="s">
        <v>306</v>
      </c>
      <c r="B325" s="3231" t="s">
        <v>3046</v>
      </c>
      <c r="C325" s="3230"/>
      <c r="D325" s="3230"/>
      <c r="E325" s="3230"/>
      <c r="F325" s="3230">
        <v>900</v>
      </c>
      <c r="G325" s="3243"/>
    </row>
    <row r="326" spans="1:7" s="3219" customFormat="1" ht="14.25" customHeight="1" thickBot="1">
      <c r="A326" s="3244" t="s">
        <v>306</v>
      </c>
      <c r="B326" s="3237" t="s">
        <v>3048</v>
      </c>
      <c r="C326" s="3237"/>
      <c r="D326" s="3237"/>
      <c r="E326" s="3237"/>
      <c r="F326" s="3237">
        <v>790</v>
      </c>
      <c r="G326" s="3245"/>
    </row>
    <row r="327" spans="1:7" s="3219" customFormat="1" ht="14.25" customHeight="1">
      <c r="A327" s="3235" t="s">
        <v>307</v>
      </c>
      <c r="B327" s="3226" t="s">
        <v>3147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3148</v>
      </c>
      <c r="C329" s="3230">
        <v>2730</v>
      </c>
      <c r="D329" s="3230">
        <v>2690</v>
      </c>
      <c r="E329" s="3230">
        <v>3100</v>
      </c>
      <c r="F329" s="3230">
        <v>660</v>
      </c>
      <c r="G329" s="3230">
        <v>1610</v>
      </c>
    </row>
    <row r="330" spans="1:7" s="3219" customFormat="1" ht="14.25" customHeight="1">
      <c r="A330" s="3230" t="s">
        <v>307</v>
      </c>
      <c r="B330" s="3230" t="s">
        <v>3149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2882</v>
      </c>
      <c r="C332" s="3230">
        <v>3520</v>
      </c>
      <c r="D332" s="3230">
        <v>3480</v>
      </c>
      <c r="E332" s="3230">
        <v>3830</v>
      </c>
      <c r="F332" s="3230">
        <v>720</v>
      </c>
      <c r="G332" s="3230">
        <v>2090</v>
      </c>
    </row>
    <row r="333" spans="1:7" s="3219" customFormat="1" ht="14.25" customHeight="1">
      <c r="A333" s="3230" t="s">
        <v>307</v>
      </c>
      <c r="B333" s="3230" t="s">
        <v>3150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2892</v>
      </c>
      <c r="C336" s="3230">
        <v>3570</v>
      </c>
      <c r="D336" s="3230">
        <v>3530</v>
      </c>
      <c r="E336" s="3230">
        <v>3880</v>
      </c>
      <c r="F336" s="3230">
        <v>770</v>
      </c>
      <c r="G336" s="3230">
        <v>2110</v>
      </c>
    </row>
    <row r="337" spans="1:10" s="3219" customFormat="1" ht="14.25" customHeight="1">
      <c r="A337" s="3230" t="s">
        <v>307</v>
      </c>
      <c r="B337" s="3230" t="s">
        <v>3151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2917</v>
      </c>
      <c r="C345" s="3230">
        <v>3190</v>
      </c>
      <c r="D345" s="3230">
        <v>3140</v>
      </c>
      <c r="E345" s="3230">
        <v>3450</v>
      </c>
      <c r="F345" s="3230">
        <v>720</v>
      </c>
      <c r="G345" s="3230">
        <v>1880</v>
      </c>
      <c r="J345" s="3219"/>
    </row>
    <row r="346" spans="1:10">
      <c r="A346" s="3230" t="s">
        <v>307</v>
      </c>
      <c r="B346" s="3230" t="s">
        <v>3154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2926</v>
      </c>
      <c r="C348" s="3230">
        <v>4000</v>
      </c>
      <c r="D348" s="3230">
        <v>3950</v>
      </c>
      <c r="E348" s="3230">
        <v>4430</v>
      </c>
      <c r="F348" s="3230">
        <v>760</v>
      </c>
      <c r="G348" s="3230">
        <v>2360</v>
      </c>
      <c r="J348" s="3219"/>
    </row>
    <row r="349" spans="1:10">
      <c r="A349" s="3230" t="s">
        <v>307</v>
      </c>
      <c r="B349" s="3230" t="s">
        <v>2931</v>
      </c>
      <c r="C349" s="3230">
        <v>3820</v>
      </c>
      <c r="D349" s="3230">
        <v>3780</v>
      </c>
      <c r="E349" s="3230">
        <v>4170</v>
      </c>
      <c r="F349" s="3230">
        <v>710</v>
      </c>
      <c r="G349" s="3230">
        <v>2260</v>
      </c>
      <c r="J349" s="3219"/>
    </row>
    <row r="350" spans="1:10">
      <c r="A350" s="3230" t="s">
        <v>307</v>
      </c>
      <c r="B350" s="3230" t="s">
        <v>3155</v>
      </c>
      <c r="C350" s="3230">
        <v>3760</v>
      </c>
      <c r="D350" s="3230">
        <v>3730</v>
      </c>
      <c r="E350" s="3230">
        <v>4100</v>
      </c>
      <c r="F350" s="3230">
        <v>800</v>
      </c>
      <c r="G350" s="3230">
        <v>2230</v>
      </c>
      <c r="J350" s="3219"/>
    </row>
    <row r="351" spans="1:10">
      <c r="A351" s="3230" t="s">
        <v>307</v>
      </c>
      <c r="B351" s="3230" t="s">
        <v>2939</v>
      </c>
      <c r="C351" s="3230">
        <v>3610</v>
      </c>
      <c r="D351" s="3230">
        <v>3580</v>
      </c>
      <c r="E351" s="3230">
        <v>3930</v>
      </c>
      <c r="F351" s="3230">
        <v>700</v>
      </c>
      <c r="G351" s="3230">
        <v>2140</v>
      </c>
      <c r="J351" s="3219"/>
    </row>
    <row r="352" spans="1:10">
      <c r="A352" s="3230" t="s">
        <v>307</v>
      </c>
      <c r="B352" s="3230" t="s">
        <v>2944</v>
      </c>
      <c r="C352" s="3230">
        <v>3670</v>
      </c>
      <c r="D352" s="3230">
        <v>3630</v>
      </c>
      <c r="E352" s="3230">
        <v>4000</v>
      </c>
      <c r="F352" s="3230">
        <v>750</v>
      </c>
      <c r="G352" s="3230">
        <v>2180</v>
      </c>
    </row>
    <row r="353" spans="1:7" s="3223" customFormat="1">
      <c r="A353" s="3230" t="s">
        <v>307</v>
      </c>
      <c r="B353" s="3230" t="s">
        <v>3156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2964</v>
      </c>
      <c r="C355" s="3230">
        <v>3650</v>
      </c>
      <c r="D355" s="3230">
        <v>3610</v>
      </c>
      <c r="E355" s="3230">
        <v>4200</v>
      </c>
      <c r="F355" s="3230">
        <v>640</v>
      </c>
      <c r="G355" s="3230">
        <v>2160</v>
      </c>
    </row>
    <row r="356" spans="1:7" s="3223" customFormat="1">
      <c r="A356" s="3230" t="s">
        <v>307</v>
      </c>
      <c r="B356" s="3230" t="s">
        <v>2971</v>
      </c>
      <c r="C356" s="3230">
        <v>3260</v>
      </c>
      <c r="D356" s="3230">
        <v>3230</v>
      </c>
      <c r="E356" s="3230">
        <v>3740</v>
      </c>
      <c r="F356" s="3230">
        <v>600</v>
      </c>
      <c r="G356" s="3230">
        <v>1930</v>
      </c>
    </row>
    <row r="357" spans="1:7" s="3223" customFormat="1" ht="12" thickBot="1">
      <c r="A357" s="3238" t="s">
        <v>307</v>
      </c>
      <c r="B357" s="3241" t="s">
        <v>3157</v>
      </c>
      <c r="C357" s="3241">
        <v>3690</v>
      </c>
      <c r="D357" s="3241">
        <v>3650</v>
      </c>
      <c r="E357" s="3241">
        <v>4020</v>
      </c>
      <c r="F357" s="3241">
        <v>700</v>
      </c>
      <c r="G357" s="3241">
        <v>2190</v>
      </c>
    </row>
    <row r="358" spans="1:7" s="3223" customFormat="1">
      <c r="A358" s="3235" t="s">
        <v>3158</v>
      </c>
      <c r="B358" s="3226" t="s">
        <v>3159</v>
      </c>
      <c r="C358" s="3226">
        <v>2080</v>
      </c>
      <c r="D358" s="3226">
        <v>2040</v>
      </c>
      <c r="E358" s="3226">
        <v>2010</v>
      </c>
      <c r="F358" s="3226">
        <v>530</v>
      </c>
      <c r="G358" s="3242">
        <v>1230</v>
      </c>
    </row>
    <row r="359" spans="1:7" s="3223" customFormat="1">
      <c r="A359" s="3230" t="s">
        <v>3158</v>
      </c>
      <c r="B359" s="3230" t="s">
        <v>3160</v>
      </c>
      <c r="C359" s="3230">
        <v>1850</v>
      </c>
      <c r="D359" s="3230">
        <v>1820</v>
      </c>
      <c r="E359" s="3230">
        <v>1780</v>
      </c>
      <c r="F359" s="3230">
        <v>520</v>
      </c>
      <c r="G359" s="3243">
        <v>1100</v>
      </c>
    </row>
    <row r="360" spans="1:7" s="3223" customFormat="1">
      <c r="A360" s="3230" t="s">
        <v>3158</v>
      </c>
      <c r="B360" s="3230" t="s">
        <v>3161</v>
      </c>
      <c r="C360" s="3230">
        <v>2020</v>
      </c>
      <c r="D360" s="3230">
        <v>1990</v>
      </c>
      <c r="E360" s="3230">
        <v>1950</v>
      </c>
      <c r="F360" s="3230">
        <v>500</v>
      </c>
      <c r="G360" s="3243">
        <v>1200</v>
      </c>
    </row>
    <row r="361" spans="1:7" s="3223" customFormat="1">
      <c r="A361" s="3230" t="s">
        <v>3158</v>
      </c>
      <c r="B361" s="3230" t="s">
        <v>153</v>
      </c>
      <c r="C361" s="3230">
        <v>2260</v>
      </c>
      <c r="D361" s="3230">
        <v>2220</v>
      </c>
      <c r="E361" s="3230">
        <v>2180</v>
      </c>
      <c r="F361" s="3230">
        <v>580</v>
      </c>
      <c r="G361" s="3243">
        <v>1340</v>
      </c>
    </row>
    <row r="362" spans="1:7" s="3223" customFormat="1">
      <c r="A362" s="3230" t="s">
        <v>3158</v>
      </c>
      <c r="B362" s="3230" t="s">
        <v>3162</v>
      </c>
      <c r="C362" s="3230">
        <v>2650</v>
      </c>
      <c r="D362" s="3230">
        <v>2610</v>
      </c>
      <c r="E362" s="3230">
        <v>2570</v>
      </c>
      <c r="F362" s="3230">
        <v>630</v>
      </c>
      <c r="G362" s="3243">
        <v>1570</v>
      </c>
    </row>
    <row r="363" spans="1:7" s="3223" customFormat="1">
      <c r="A363" s="3230" t="s">
        <v>3158</v>
      </c>
      <c r="B363" s="3230" t="s">
        <v>2883</v>
      </c>
      <c r="C363" s="3230">
        <v>2390</v>
      </c>
      <c r="D363" s="3230">
        <v>2360</v>
      </c>
      <c r="E363" s="3230">
        <v>2320</v>
      </c>
      <c r="F363" s="3230">
        <v>600</v>
      </c>
      <c r="G363" s="3243">
        <v>1420</v>
      </c>
    </row>
    <row r="364" spans="1:7" s="3223" customFormat="1">
      <c r="A364" s="3230" t="s">
        <v>3158</v>
      </c>
      <c r="B364" s="3230" t="s">
        <v>3163</v>
      </c>
      <c r="C364" s="3230">
        <v>2050</v>
      </c>
      <c r="D364" s="3230">
        <v>2030</v>
      </c>
      <c r="E364" s="3230">
        <v>1990</v>
      </c>
      <c r="F364" s="3230">
        <v>550</v>
      </c>
      <c r="G364" s="3243">
        <v>1220</v>
      </c>
    </row>
    <row r="365" spans="1:7" s="3223" customFormat="1">
      <c r="A365" s="3230" t="s">
        <v>3158</v>
      </c>
      <c r="B365" s="3230" t="s">
        <v>200</v>
      </c>
      <c r="C365" s="3230">
        <v>2140</v>
      </c>
      <c r="D365" s="3230">
        <v>2100</v>
      </c>
      <c r="E365" s="3230">
        <v>2060</v>
      </c>
      <c r="F365" s="3230">
        <v>540</v>
      </c>
      <c r="G365" s="3243">
        <v>1270</v>
      </c>
    </row>
    <row r="366" spans="1:7" s="3223" customFormat="1">
      <c r="A366" s="3230" t="s">
        <v>3158</v>
      </c>
      <c r="B366" s="3230" t="s">
        <v>2890</v>
      </c>
      <c r="C366" s="3230">
        <v>2410</v>
      </c>
      <c r="D366" s="3230">
        <v>2370</v>
      </c>
      <c r="E366" s="3230">
        <v>2330</v>
      </c>
      <c r="F366" s="3230">
        <v>570</v>
      </c>
      <c r="G366" s="3243">
        <v>1440</v>
      </c>
    </row>
    <row r="367" spans="1:7" s="3223" customFormat="1">
      <c r="A367" s="3230" t="s">
        <v>3158</v>
      </c>
      <c r="B367" s="3230" t="s">
        <v>3164</v>
      </c>
      <c r="C367" s="3230">
        <v>2300</v>
      </c>
      <c r="D367" s="3230">
        <v>2260</v>
      </c>
      <c r="E367" s="3230">
        <v>2220</v>
      </c>
      <c r="F367" s="3230">
        <v>560</v>
      </c>
      <c r="G367" s="3243">
        <v>1370</v>
      </c>
    </row>
    <row r="368" spans="1:7" s="3223" customFormat="1">
      <c r="A368" s="3230" t="s">
        <v>3158</v>
      </c>
      <c r="B368" s="3230" t="s">
        <v>3165</v>
      </c>
      <c r="C368" s="3230">
        <v>2430</v>
      </c>
      <c r="D368" s="3230">
        <v>2390</v>
      </c>
      <c r="E368" s="3230">
        <v>2350</v>
      </c>
      <c r="F368" s="3230">
        <v>570</v>
      </c>
      <c r="G368" s="3243">
        <v>1450</v>
      </c>
    </row>
    <row r="369" spans="1:7" s="3223" customFormat="1">
      <c r="A369" s="3230" t="s">
        <v>3158</v>
      </c>
      <c r="B369" s="3230" t="s">
        <v>214</v>
      </c>
      <c r="C369" s="3230">
        <v>2320</v>
      </c>
      <c r="D369" s="3230">
        <v>2290</v>
      </c>
      <c r="E369" s="3230">
        <v>2250</v>
      </c>
      <c r="F369" s="3230">
        <v>550</v>
      </c>
      <c r="G369" s="3243">
        <v>1380</v>
      </c>
    </row>
    <row r="370" spans="1:7" s="3223" customFormat="1">
      <c r="A370" s="3230" t="s">
        <v>3158</v>
      </c>
      <c r="B370" s="3230" t="s">
        <v>221</v>
      </c>
      <c r="C370" s="3230">
        <v>2190</v>
      </c>
      <c r="D370" s="3230">
        <v>2170</v>
      </c>
      <c r="E370" s="3230">
        <v>2130</v>
      </c>
      <c r="F370" s="3230">
        <v>530</v>
      </c>
      <c r="G370" s="3243">
        <v>1310</v>
      </c>
    </row>
    <row r="371" spans="1:7" s="3223" customFormat="1">
      <c r="A371" s="3230" t="s">
        <v>3158</v>
      </c>
      <c r="B371" s="3230" t="s">
        <v>229</v>
      </c>
      <c r="C371" s="3230">
        <v>2460</v>
      </c>
      <c r="D371" s="3230">
        <v>2420</v>
      </c>
      <c r="E371" s="3230">
        <v>2370</v>
      </c>
      <c r="F371" s="3230">
        <v>560</v>
      </c>
      <c r="G371" s="3243">
        <v>1470</v>
      </c>
    </row>
    <row r="372" spans="1:7" s="3223" customFormat="1">
      <c r="A372" s="3230" t="s">
        <v>3158</v>
      </c>
      <c r="B372" s="3230" t="s">
        <v>3166</v>
      </c>
      <c r="C372" s="3230">
        <v>2250</v>
      </c>
      <c r="D372" s="3230">
        <v>2210</v>
      </c>
      <c r="E372" s="3230">
        <v>2180</v>
      </c>
      <c r="F372" s="3230">
        <v>550</v>
      </c>
      <c r="G372" s="3243">
        <v>1340</v>
      </c>
    </row>
    <row r="373" spans="1:7" s="3223" customFormat="1">
      <c r="A373" s="3230" t="s">
        <v>3158</v>
      </c>
      <c r="B373" s="3230" t="s">
        <v>258</v>
      </c>
      <c r="C373" s="3230">
        <v>2210</v>
      </c>
      <c r="D373" s="3230">
        <v>2190</v>
      </c>
      <c r="E373" s="3230">
        <v>2150</v>
      </c>
      <c r="F373" s="3230">
        <v>530</v>
      </c>
      <c r="G373" s="3243">
        <v>1320</v>
      </c>
    </row>
    <row r="374" spans="1:7" s="3223" customFormat="1">
      <c r="A374" s="3230" t="s">
        <v>3158</v>
      </c>
      <c r="B374" s="3230" t="s">
        <v>266</v>
      </c>
      <c r="C374" s="3230">
        <v>2320</v>
      </c>
      <c r="D374" s="3230">
        <v>2280</v>
      </c>
      <c r="E374" s="3230">
        <v>2230</v>
      </c>
      <c r="F374" s="3230">
        <v>580</v>
      </c>
      <c r="G374" s="3243">
        <v>1380</v>
      </c>
    </row>
    <row r="375" spans="1:7" s="3223" customFormat="1">
      <c r="A375" s="3230" t="s">
        <v>3158</v>
      </c>
      <c r="B375" s="3230" t="s">
        <v>3167</v>
      </c>
      <c r="C375" s="3230">
        <v>2090</v>
      </c>
      <c r="D375" s="3230">
        <v>2050</v>
      </c>
      <c r="E375" s="3230">
        <v>2020</v>
      </c>
      <c r="F375" s="3230">
        <v>520</v>
      </c>
      <c r="G375" s="3243">
        <v>1240</v>
      </c>
    </row>
    <row r="376" spans="1:7" s="3223" customFormat="1">
      <c r="A376" s="3230" t="s">
        <v>3158</v>
      </c>
      <c r="B376" s="3230" t="s">
        <v>277</v>
      </c>
      <c r="C376" s="3230">
        <v>2010</v>
      </c>
      <c r="D376" s="3230">
        <v>1980</v>
      </c>
      <c r="E376" s="3230">
        <v>1940</v>
      </c>
      <c r="F376" s="3230">
        <v>540</v>
      </c>
      <c r="G376" s="3243">
        <v>1190</v>
      </c>
    </row>
    <row r="377" spans="1:7" s="3223" customFormat="1" ht="12" thickBot="1">
      <c r="A377" s="3238" t="s">
        <v>3158</v>
      </c>
      <c r="B377" s="3241" t="s">
        <v>2920</v>
      </c>
      <c r="C377" s="3241">
        <v>1930</v>
      </c>
      <c r="D377" s="3241">
        <v>1890</v>
      </c>
      <c r="E377" s="3241">
        <v>1860</v>
      </c>
      <c r="F377" s="3241">
        <v>530</v>
      </c>
      <c r="G377" s="3246">
        <v>1150</v>
      </c>
    </row>
    <row r="378" spans="1:7" s="3223" customFormat="1">
      <c r="A378" s="3247" t="s">
        <v>3168</v>
      </c>
      <c r="B378" s="3226" t="s">
        <v>3169</v>
      </c>
      <c r="C378" s="3226">
        <v>1520</v>
      </c>
      <c r="D378" s="3226">
        <v>1490</v>
      </c>
      <c r="E378" s="3226">
        <v>1460</v>
      </c>
      <c r="F378" s="3226">
        <v>460</v>
      </c>
      <c r="G378" s="3242">
        <v>940</v>
      </c>
    </row>
    <row r="379" spans="1:7" s="3223" customFormat="1">
      <c r="A379" s="3248" t="s">
        <v>3168</v>
      </c>
      <c r="B379" s="3230" t="s">
        <v>3170</v>
      </c>
      <c r="C379" s="3230">
        <v>1500</v>
      </c>
      <c r="D379" s="3230">
        <v>1470</v>
      </c>
      <c r="E379" s="3230">
        <v>1430</v>
      </c>
      <c r="F379" s="3230">
        <v>460</v>
      </c>
      <c r="G379" s="3243">
        <v>920</v>
      </c>
    </row>
    <row r="380" spans="1:7" s="3223" customFormat="1">
      <c r="A380" s="3248" t="s">
        <v>3168</v>
      </c>
      <c r="B380" s="3230" t="s">
        <v>3171</v>
      </c>
      <c r="C380" s="3230">
        <v>1620</v>
      </c>
      <c r="D380" s="3230">
        <v>1590</v>
      </c>
      <c r="E380" s="3230">
        <v>1560</v>
      </c>
      <c r="F380" s="3230">
        <v>480</v>
      </c>
      <c r="G380" s="3243">
        <v>1000</v>
      </c>
    </row>
    <row r="381" spans="1:7" s="3223" customFormat="1">
      <c r="A381" s="3248" t="s">
        <v>3168</v>
      </c>
      <c r="B381" s="3230" t="s">
        <v>3172</v>
      </c>
      <c r="C381" s="3230">
        <v>1460</v>
      </c>
      <c r="D381" s="3230">
        <v>1430</v>
      </c>
      <c r="E381" s="3230">
        <v>1390</v>
      </c>
      <c r="F381" s="3230">
        <v>450</v>
      </c>
      <c r="G381" s="3243">
        <v>900</v>
      </c>
    </row>
    <row r="382" spans="1:7" s="3223" customFormat="1">
      <c r="A382" s="3248" t="s">
        <v>3168</v>
      </c>
      <c r="B382" s="3230" t="s">
        <v>3173</v>
      </c>
      <c r="C382" s="3230">
        <v>1310</v>
      </c>
      <c r="D382" s="3230">
        <v>1280</v>
      </c>
      <c r="E382" s="3230">
        <v>1250</v>
      </c>
      <c r="F382" s="3230">
        <v>440</v>
      </c>
      <c r="G382" s="3243">
        <v>800</v>
      </c>
    </row>
    <row r="383" spans="1:7" s="3223" customFormat="1">
      <c r="A383" s="3248" t="s">
        <v>3168</v>
      </c>
      <c r="B383" s="3230" t="s">
        <v>3174</v>
      </c>
      <c r="C383" s="3230">
        <v>1260</v>
      </c>
      <c r="D383" s="3230">
        <v>1230</v>
      </c>
      <c r="E383" s="3230">
        <v>1200</v>
      </c>
      <c r="F383" s="3230">
        <v>420</v>
      </c>
      <c r="G383" s="3243">
        <v>770</v>
      </c>
    </row>
    <row r="384" spans="1:7" s="3223" customFormat="1" ht="12" thickBot="1">
      <c r="A384" s="3249" t="s">
        <v>3168</v>
      </c>
      <c r="B384" s="3237" t="s">
        <v>3175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3" t="s">
        <v>3176</v>
      </c>
      <c r="B1" s="3823"/>
    </row>
    <row r="2" spans="1:7" ht="14.25" thickBot="1">
      <c r="A2" s="3252"/>
      <c r="B2" s="3252"/>
    </row>
    <row r="3" spans="1:7" ht="14.25" thickBot="1">
      <c r="A3" s="3252"/>
      <c r="B3" s="3252"/>
      <c r="C3" s="3253" t="s">
        <v>2806</v>
      </c>
      <c r="D3" s="3253" t="s">
        <v>2862</v>
      </c>
      <c r="E3" s="3253" t="s">
        <v>2808</v>
      </c>
      <c r="F3" s="3253" t="s">
        <v>2863</v>
      </c>
      <c r="G3" s="3253" t="s">
        <v>2626</v>
      </c>
    </row>
    <row r="4" spans="1:7" ht="14.25" thickBot="1">
      <c r="A4" s="3254" t="s">
        <v>2861</v>
      </c>
      <c r="B4" s="3255" t="s">
        <v>2867</v>
      </c>
      <c r="C4" s="3253"/>
      <c r="D4" s="3253"/>
      <c r="E4" s="3253"/>
      <c r="F4" s="3253"/>
      <c r="G4" s="3253"/>
    </row>
    <row r="5" spans="1:7">
      <c r="A5" s="3256" t="s">
        <v>2835</v>
      </c>
      <c r="B5" s="3257" t="s">
        <v>2849</v>
      </c>
      <c r="C5" s="3258">
        <v>9.8000000000000004E-2</v>
      </c>
      <c r="D5" s="3258">
        <v>8.6999999999999994E-2</v>
      </c>
      <c r="E5" s="3258">
        <v>8.6999999999999994E-2</v>
      </c>
      <c r="F5" s="3258">
        <v>9.8000000000000004E-2</v>
      </c>
      <c r="G5" s="3259">
        <v>9.5000000000000001E-2</v>
      </c>
    </row>
    <row r="6" spans="1:7">
      <c r="A6" s="3260" t="s">
        <v>144</v>
      </c>
      <c r="B6" s="3261" t="s">
        <v>2864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2918</v>
      </c>
      <c r="C29" s="3270"/>
      <c r="D29" s="3266">
        <v>5.1999999999999998E-2</v>
      </c>
      <c r="E29" s="3266">
        <v>7.0000000000000007E-2</v>
      </c>
      <c r="F29" s="3270"/>
      <c r="G29" s="3268">
        <v>7.0999999999999994E-2</v>
      </c>
    </row>
    <row r="30" spans="1:7">
      <c r="A30" s="3271" t="s">
        <v>296</v>
      </c>
      <c r="B30" s="3257" t="s">
        <v>2851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2921</v>
      </c>
      <c r="C50" s="3262">
        <v>9.8000000000000004E-2</v>
      </c>
      <c r="D50" s="3262">
        <v>7.2999999999999995E-2</v>
      </c>
      <c r="E50" s="3262">
        <v>7.0999999999999994E-2</v>
      </c>
      <c r="F50" s="3273"/>
      <c r="G50" s="3263">
        <v>7.2999999999999995E-2</v>
      </c>
    </row>
    <row r="51" spans="1:7">
      <c r="A51" s="3272" t="s">
        <v>296</v>
      </c>
      <c r="B51" s="3261" t="s">
        <v>2923</v>
      </c>
      <c r="C51" s="3262">
        <v>9.9000000000000005E-2</v>
      </c>
      <c r="D51" s="3262">
        <v>8.5000000000000006E-2</v>
      </c>
      <c r="E51" s="3262">
        <v>6.3E-2</v>
      </c>
      <c r="F51" s="3273"/>
      <c r="G51" s="3263">
        <v>9.6000000000000002E-2</v>
      </c>
    </row>
    <row r="52" spans="1:7">
      <c r="A52" s="3272" t="s">
        <v>296</v>
      </c>
      <c r="B52" s="3261" t="s">
        <v>2927</v>
      </c>
      <c r="C52" s="3262">
        <v>7.3999999999999996E-2</v>
      </c>
      <c r="D52" s="3262">
        <v>9.6000000000000002E-2</v>
      </c>
      <c r="E52" s="3262">
        <v>0.05</v>
      </c>
      <c r="F52" s="3273"/>
      <c r="G52" s="3263">
        <v>9.8000000000000004E-2</v>
      </c>
    </row>
    <row r="53" spans="1:7">
      <c r="A53" s="3272" t="s">
        <v>296</v>
      </c>
      <c r="B53" s="3261" t="s">
        <v>2932</v>
      </c>
      <c r="C53" s="3262">
        <v>8.5999999999999993E-2</v>
      </c>
      <c r="D53" s="3273"/>
      <c r="E53" s="3262">
        <v>9.1999999999999998E-2</v>
      </c>
      <c r="F53" s="3273"/>
      <c r="G53" s="3274"/>
    </row>
    <row r="54" spans="1:7" ht="14.25" thickBot="1">
      <c r="A54" s="3275" t="s">
        <v>296</v>
      </c>
      <c r="B54" s="3265" t="s">
        <v>2935</v>
      </c>
      <c r="C54" s="3266">
        <v>9.6000000000000002E-2</v>
      </c>
      <c r="D54" s="3267"/>
      <c r="E54" s="3276"/>
      <c r="F54" s="3267"/>
      <c r="G54" s="3277"/>
    </row>
    <row r="55" spans="1:7">
      <c r="A55" s="3271" t="s">
        <v>110</v>
      </c>
      <c r="B55" s="3257" t="s">
        <v>2852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2933</v>
      </c>
      <c r="C78" s="3262">
        <v>0.1</v>
      </c>
      <c r="D78" s="3262">
        <v>8.5000000000000006E-2</v>
      </c>
      <c r="E78" s="3262">
        <v>9.6000000000000002E-2</v>
      </c>
      <c r="F78" s="3273"/>
      <c r="G78" s="3263">
        <v>9.6000000000000002E-2</v>
      </c>
    </row>
    <row r="79" spans="1:7">
      <c r="A79" s="3272" t="s">
        <v>110</v>
      </c>
      <c r="B79" s="3261" t="s">
        <v>2936</v>
      </c>
      <c r="C79" s="3262">
        <v>0.05</v>
      </c>
      <c r="D79" s="3262">
        <v>9.6000000000000002E-2</v>
      </c>
      <c r="E79" s="3262">
        <v>9.5000000000000001E-2</v>
      </c>
      <c r="F79" s="3273"/>
      <c r="G79" s="3263">
        <v>9.8000000000000004E-2</v>
      </c>
    </row>
    <row r="80" spans="1:7">
      <c r="A80" s="3272" t="s">
        <v>110</v>
      </c>
      <c r="B80" s="3261" t="s">
        <v>2940</v>
      </c>
      <c r="C80" s="3262">
        <v>8.5999999999999993E-2</v>
      </c>
      <c r="D80" s="3278"/>
      <c r="E80" s="3262">
        <v>0.1</v>
      </c>
      <c r="F80" s="3273"/>
      <c r="G80" s="3274"/>
    </row>
    <row r="81" spans="1:7">
      <c r="A81" s="3272" t="s">
        <v>110</v>
      </c>
      <c r="B81" s="3261" t="s">
        <v>2945</v>
      </c>
      <c r="C81" s="3262">
        <v>9.6000000000000002E-2</v>
      </c>
      <c r="D81" s="3273"/>
      <c r="E81" s="3262">
        <v>9.8000000000000004E-2</v>
      </c>
      <c r="F81" s="3273"/>
      <c r="G81" s="3274"/>
    </row>
    <row r="82" spans="1:7">
      <c r="A82" s="3272" t="s">
        <v>110</v>
      </c>
      <c r="B82" s="3261" t="s">
        <v>2952</v>
      </c>
      <c r="C82" s="3278"/>
      <c r="D82" s="3273"/>
      <c r="E82" s="3262">
        <v>7.6999999999999999E-2</v>
      </c>
      <c r="F82" s="3273"/>
      <c r="G82" s="3274"/>
    </row>
    <row r="83" spans="1:7">
      <c r="A83" s="3272" t="s">
        <v>110</v>
      </c>
      <c r="B83" s="3261" t="s">
        <v>2958</v>
      </c>
      <c r="C83" s="3273"/>
      <c r="D83" s="3273"/>
      <c r="E83" s="3273"/>
      <c r="F83" s="3262">
        <v>0.1</v>
      </c>
      <c r="G83" s="3279"/>
    </row>
    <row r="84" spans="1:7">
      <c r="A84" s="3272" t="s">
        <v>110</v>
      </c>
      <c r="B84" s="3261" t="s">
        <v>2965</v>
      </c>
      <c r="C84" s="3273"/>
      <c r="D84" s="3273"/>
      <c r="E84" s="3273"/>
      <c r="F84" s="3262">
        <v>0.1</v>
      </c>
      <c r="G84" s="3279"/>
    </row>
    <row r="85" spans="1:7">
      <c r="A85" s="3272" t="s">
        <v>110</v>
      </c>
      <c r="B85" s="3261" t="s">
        <v>2972</v>
      </c>
      <c r="C85" s="3273"/>
      <c r="D85" s="3273"/>
      <c r="E85" s="3273"/>
      <c r="F85" s="3262">
        <v>0.1</v>
      </c>
      <c r="G85" s="3279"/>
    </row>
    <row r="86" spans="1:7" ht="14.25" thickBot="1">
      <c r="A86" s="3275" t="s">
        <v>110</v>
      </c>
      <c r="B86" s="3265" t="s">
        <v>2977</v>
      </c>
      <c r="C86" s="3266">
        <v>9.8000000000000004E-2</v>
      </c>
      <c r="D86" s="3266">
        <v>9.8000000000000004E-2</v>
      </c>
      <c r="E86" s="3266">
        <v>9.6000000000000002E-2</v>
      </c>
      <c r="F86" s="3276"/>
      <c r="G86" s="3268">
        <v>0.1</v>
      </c>
    </row>
    <row r="87" spans="1:7">
      <c r="A87" s="3271" t="s">
        <v>303</v>
      </c>
      <c r="B87" s="3257" t="s">
        <v>2853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2946</v>
      </c>
      <c r="C113" s="3262">
        <v>0.1</v>
      </c>
      <c r="D113" s="3262">
        <v>0.1</v>
      </c>
      <c r="E113" s="3273"/>
      <c r="F113" s="3273"/>
      <c r="G113" s="3263">
        <v>0.1</v>
      </c>
    </row>
    <row r="114" spans="1:7">
      <c r="A114" s="3272" t="s">
        <v>303</v>
      </c>
      <c r="B114" s="3261" t="s">
        <v>2953</v>
      </c>
      <c r="C114" s="3262">
        <v>9.7000000000000003E-2</v>
      </c>
      <c r="D114" s="3262">
        <v>9.7000000000000003E-2</v>
      </c>
      <c r="E114" s="3273"/>
      <c r="F114" s="3273"/>
      <c r="G114" s="3263">
        <v>9.9000000000000005E-2</v>
      </c>
    </row>
    <row r="115" spans="1:7">
      <c r="A115" s="3272" t="s">
        <v>303</v>
      </c>
      <c r="B115" s="3261" t="s">
        <v>2959</v>
      </c>
      <c r="C115" s="3262">
        <v>0.1</v>
      </c>
      <c r="D115" s="3262">
        <v>0.1</v>
      </c>
      <c r="E115" s="3273"/>
      <c r="F115" s="3273"/>
      <c r="G115" s="3263">
        <v>0.1</v>
      </c>
    </row>
    <row r="116" spans="1:7">
      <c r="A116" s="3272" t="s">
        <v>303</v>
      </c>
      <c r="B116" s="3261" t="s">
        <v>2966</v>
      </c>
      <c r="C116" s="3262">
        <v>0.1</v>
      </c>
      <c r="D116" s="3262">
        <v>0.1</v>
      </c>
      <c r="E116" s="3273"/>
      <c r="F116" s="3273"/>
      <c r="G116" s="3263">
        <v>0.1</v>
      </c>
    </row>
    <row r="117" spans="1:7">
      <c r="A117" s="3272" t="s">
        <v>303</v>
      </c>
      <c r="B117" s="3261" t="s">
        <v>2973</v>
      </c>
      <c r="C117" s="3262">
        <v>9.7000000000000003E-2</v>
      </c>
      <c r="D117" s="3262">
        <v>9.7000000000000003E-2</v>
      </c>
      <c r="E117" s="3273"/>
      <c r="F117" s="3273"/>
      <c r="G117" s="3263">
        <v>9.7000000000000003E-2</v>
      </c>
    </row>
    <row r="118" spans="1:7">
      <c r="A118" s="3272" t="s">
        <v>303</v>
      </c>
      <c r="B118" s="3261" t="s">
        <v>2978</v>
      </c>
      <c r="C118" s="3262">
        <v>0.1</v>
      </c>
      <c r="D118" s="3262">
        <v>0.1</v>
      </c>
      <c r="E118" s="3273"/>
      <c r="F118" s="3273"/>
      <c r="G118" s="3263">
        <v>0.1</v>
      </c>
    </row>
    <row r="119" spans="1:7">
      <c r="A119" s="3272" t="s">
        <v>303</v>
      </c>
      <c r="B119" s="3261" t="s">
        <v>2982</v>
      </c>
      <c r="C119" s="3262">
        <v>5.0999999999999997E-2</v>
      </c>
      <c r="D119" s="3262">
        <v>5.1999999999999998E-2</v>
      </c>
      <c r="E119" s="3273"/>
      <c r="F119" s="3278"/>
      <c r="G119" s="3263">
        <v>0.06</v>
      </c>
    </row>
    <row r="120" spans="1:7">
      <c r="A120" s="3272" t="s">
        <v>303</v>
      </c>
      <c r="B120" s="3261" t="s">
        <v>2986</v>
      </c>
      <c r="C120" s="3273"/>
      <c r="D120" s="3273"/>
      <c r="E120" s="3273"/>
      <c r="F120" s="3262">
        <v>0.1</v>
      </c>
      <c r="G120" s="3279"/>
    </row>
    <row r="121" spans="1:7">
      <c r="A121" s="3272" t="s">
        <v>303</v>
      </c>
      <c r="B121" s="3261" t="s">
        <v>2991</v>
      </c>
      <c r="C121" s="3273"/>
      <c r="D121" s="3273"/>
      <c r="E121" s="3273"/>
      <c r="F121" s="3262">
        <v>0.1</v>
      </c>
      <c r="G121" s="3279"/>
    </row>
    <row r="122" spans="1:7">
      <c r="A122" s="3272" t="s">
        <v>303</v>
      </c>
      <c r="B122" s="3261" t="s">
        <v>2996</v>
      </c>
      <c r="C122" s="3262">
        <v>0.1</v>
      </c>
      <c r="D122" s="3262">
        <v>0.1</v>
      </c>
      <c r="E122" s="3262">
        <v>9.8000000000000004E-2</v>
      </c>
      <c r="F122" s="3262">
        <v>0.1</v>
      </c>
      <c r="G122" s="3263">
        <v>0.1</v>
      </c>
    </row>
    <row r="123" spans="1:7">
      <c r="A123" s="3272" t="s">
        <v>303</v>
      </c>
      <c r="B123" s="3261" t="s">
        <v>3001</v>
      </c>
      <c r="C123" s="3262">
        <v>0.1</v>
      </c>
      <c r="D123" s="3262">
        <v>0.1</v>
      </c>
      <c r="E123" s="3262">
        <v>9.8000000000000004E-2</v>
      </c>
      <c r="F123" s="3262">
        <v>0.1</v>
      </c>
      <c r="G123" s="3263">
        <v>0.1</v>
      </c>
    </row>
    <row r="124" spans="1:7">
      <c r="A124" s="3272" t="s">
        <v>303</v>
      </c>
      <c r="B124" s="3261" t="s">
        <v>3006</v>
      </c>
      <c r="C124" s="3262">
        <v>0.1</v>
      </c>
      <c r="D124" s="3262">
        <v>0.1</v>
      </c>
      <c r="E124" s="3262">
        <v>9.8000000000000004E-2</v>
      </c>
      <c r="F124" s="3278"/>
      <c r="G124" s="3263">
        <v>0.1</v>
      </c>
    </row>
    <row r="125" spans="1:7">
      <c r="A125" s="3272" t="s">
        <v>303</v>
      </c>
      <c r="B125" s="3261" t="s">
        <v>3011</v>
      </c>
      <c r="C125" s="3262">
        <v>9.8000000000000004E-2</v>
      </c>
      <c r="D125" s="3262">
        <v>9.8000000000000004E-2</v>
      </c>
      <c r="E125" s="3262">
        <v>9.6000000000000002E-2</v>
      </c>
      <c r="F125" s="3278"/>
      <c r="G125" s="3263">
        <v>0.1</v>
      </c>
    </row>
    <row r="126" spans="1:7" ht="14.25" thickBot="1">
      <c r="A126" s="3275" t="s">
        <v>303</v>
      </c>
      <c r="B126" s="3265" t="s">
        <v>3177</v>
      </c>
      <c r="C126" s="3266">
        <v>0.1</v>
      </c>
      <c r="D126" s="3266">
        <v>0.1</v>
      </c>
      <c r="E126" s="3266">
        <v>9.8000000000000004E-2</v>
      </c>
      <c r="F126" s="3266">
        <v>0.1</v>
      </c>
      <c r="G126" s="3268">
        <v>0.1</v>
      </c>
    </row>
    <row r="127" spans="1:7">
      <c r="A127" s="3271" t="s">
        <v>29</v>
      </c>
      <c r="B127" s="3257" t="s">
        <v>2854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2924</v>
      </c>
      <c r="C148" s="3262">
        <v>0.13</v>
      </c>
      <c r="D148" s="3262">
        <v>0.13</v>
      </c>
      <c r="E148" s="3262">
        <v>0.13</v>
      </c>
      <c r="F148" s="3273"/>
      <c r="G148" s="3263">
        <v>0.13</v>
      </c>
    </row>
    <row r="149" spans="1:7">
      <c r="A149" s="3272" t="s">
        <v>29</v>
      </c>
      <c r="B149" s="3261" t="s">
        <v>2928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2947</v>
      </c>
      <c r="C153" s="3262">
        <v>0.13</v>
      </c>
      <c r="D153" s="3262">
        <v>0.13</v>
      </c>
      <c r="E153" s="3262">
        <v>0.13</v>
      </c>
      <c r="F153" s="3262">
        <v>0.13</v>
      </c>
      <c r="G153" s="3263">
        <v>0.13</v>
      </c>
    </row>
    <row r="154" spans="1:7">
      <c r="A154" s="3272" t="s">
        <v>29</v>
      </c>
      <c r="B154" s="3261" t="s">
        <v>2954</v>
      </c>
      <c r="C154" s="3262">
        <v>0.121</v>
      </c>
      <c r="D154" s="3262">
        <v>0.121</v>
      </c>
      <c r="E154" s="3262">
        <v>0.105</v>
      </c>
      <c r="F154" s="3262">
        <v>0.121</v>
      </c>
      <c r="G154" s="3263">
        <v>0.123</v>
      </c>
    </row>
    <row r="155" spans="1:7">
      <c r="A155" s="3272" t="s">
        <v>29</v>
      </c>
      <c r="B155" s="3261" t="s">
        <v>2960</v>
      </c>
      <c r="C155" s="3262">
        <v>0.1</v>
      </c>
      <c r="D155" s="3262">
        <v>0.1</v>
      </c>
      <c r="E155" s="3262">
        <v>0.1</v>
      </c>
      <c r="F155" s="3262">
        <v>0.1</v>
      </c>
      <c r="G155" s="3263">
        <v>0.1</v>
      </c>
    </row>
    <row r="156" spans="1:7">
      <c r="A156" s="3272" t="s">
        <v>29</v>
      </c>
      <c r="B156" s="3261" t="s">
        <v>2967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2987</v>
      </c>
      <c r="C160" s="3262">
        <v>0.13</v>
      </c>
      <c r="D160" s="3262">
        <v>0.13</v>
      </c>
      <c r="E160" s="3262">
        <v>0.124</v>
      </c>
      <c r="F160" s="3262">
        <v>0.126</v>
      </c>
      <c r="G160" s="3263">
        <v>0.13</v>
      </c>
    </row>
    <row r="161" spans="1:7">
      <c r="A161" s="3272" t="s">
        <v>29</v>
      </c>
      <c r="B161" s="3261" t="s">
        <v>2992</v>
      </c>
      <c r="C161" s="3262">
        <v>0.13</v>
      </c>
      <c r="D161" s="3262">
        <v>0.13</v>
      </c>
      <c r="E161" s="3262">
        <v>0.124</v>
      </c>
      <c r="F161" s="3262">
        <v>0.127</v>
      </c>
      <c r="G161" s="3263">
        <v>0.13</v>
      </c>
    </row>
    <row r="162" spans="1:7">
      <c r="A162" s="3272" t="s">
        <v>29</v>
      </c>
      <c r="B162" s="3261" t="s">
        <v>2997</v>
      </c>
      <c r="C162" s="3262">
        <v>0.1</v>
      </c>
      <c r="D162" s="3262">
        <v>0.1</v>
      </c>
      <c r="E162" s="3262">
        <v>0.1</v>
      </c>
      <c r="F162" s="3262">
        <v>0.121</v>
      </c>
      <c r="G162" s="3263">
        <v>0.105</v>
      </c>
    </row>
    <row r="163" spans="1:7">
      <c r="A163" s="3272" t="s">
        <v>29</v>
      </c>
      <c r="B163" s="3261" t="s">
        <v>3002</v>
      </c>
      <c r="C163" s="3262">
        <v>0.1</v>
      </c>
      <c r="D163" s="3262">
        <v>0.1</v>
      </c>
      <c r="E163" s="3262">
        <v>0.1</v>
      </c>
      <c r="F163" s="3262">
        <v>0.1</v>
      </c>
      <c r="G163" s="3263">
        <v>0.1</v>
      </c>
    </row>
    <row r="164" spans="1:7">
      <c r="A164" s="3272" t="s">
        <v>29</v>
      </c>
      <c r="B164" s="3261" t="s">
        <v>3007</v>
      </c>
      <c r="C164" s="3278"/>
      <c r="D164" s="3278"/>
      <c r="E164" s="3278"/>
      <c r="F164" s="3262">
        <v>0.1</v>
      </c>
      <c r="G164" s="3274"/>
    </row>
    <row r="165" spans="1:7">
      <c r="A165" s="3272" t="s">
        <v>29</v>
      </c>
      <c r="B165" s="3261" t="s">
        <v>3178</v>
      </c>
      <c r="C165" s="3262">
        <v>0.126</v>
      </c>
      <c r="D165" s="3262">
        <v>0.126</v>
      </c>
      <c r="E165" s="3262">
        <v>0.11899999999999999</v>
      </c>
      <c r="F165" s="3262">
        <v>0.13</v>
      </c>
      <c r="G165" s="3263">
        <v>0.128</v>
      </c>
    </row>
    <row r="166" spans="1:7">
      <c r="A166" s="3272" t="s">
        <v>29</v>
      </c>
      <c r="B166" s="3261" t="s">
        <v>3017</v>
      </c>
      <c r="C166" s="3262">
        <v>0.129</v>
      </c>
      <c r="D166" s="3262">
        <v>0.129</v>
      </c>
      <c r="E166" s="3262">
        <v>0.123</v>
      </c>
      <c r="F166" s="3262">
        <v>0.128</v>
      </c>
      <c r="G166" s="3263">
        <v>0.13</v>
      </c>
    </row>
    <row r="167" spans="1:7">
      <c r="A167" s="3272" t="s">
        <v>29</v>
      </c>
      <c r="B167" s="3261" t="s">
        <v>3021</v>
      </c>
      <c r="C167" s="3262">
        <v>0.125</v>
      </c>
      <c r="D167" s="3262">
        <v>0.125</v>
      </c>
      <c r="E167" s="3262">
        <v>0.11700000000000001</v>
      </c>
      <c r="F167" s="3262">
        <v>0.13</v>
      </c>
      <c r="G167" s="3263">
        <v>0.126</v>
      </c>
    </row>
    <row r="168" spans="1:7">
      <c r="A168" s="3272" t="s">
        <v>29</v>
      </c>
      <c r="B168" s="3261" t="s">
        <v>3026</v>
      </c>
      <c r="C168" s="3262">
        <v>0.128</v>
      </c>
      <c r="D168" s="3262">
        <v>0.128</v>
      </c>
      <c r="E168" s="3262">
        <v>0.123</v>
      </c>
      <c r="F168" s="3273"/>
      <c r="G168" s="3263">
        <v>0.13</v>
      </c>
    </row>
    <row r="169" spans="1:7">
      <c r="A169" s="3272" t="s">
        <v>29</v>
      </c>
      <c r="B169" s="3261" t="s">
        <v>3179</v>
      </c>
      <c r="C169" s="3278"/>
      <c r="D169" s="3278"/>
      <c r="E169" s="3278"/>
      <c r="F169" s="3262">
        <v>0.05</v>
      </c>
      <c r="G169" s="3274"/>
    </row>
    <row r="170" spans="1:7">
      <c r="A170" s="3272" t="s">
        <v>29</v>
      </c>
      <c r="B170" s="3261" t="s">
        <v>3180</v>
      </c>
      <c r="C170" s="3278"/>
      <c r="D170" s="3278"/>
      <c r="E170" s="3278"/>
      <c r="F170" s="3262">
        <v>0.05</v>
      </c>
      <c r="G170" s="3274"/>
    </row>
    <row r="171" spans="1:7">
      <c r="A171" s="3272" t="s">
        <v>29</v>
      </c>
      <c r="B171" s="3261" t="s">
        <v>3181</v>
      </c>
      <c r="C171" s="3278"/>
      <c r="D171" s="3278"/>
      <c r="E171" s="3278"/>
      <c r="F171" s="3262">
        <v>0.05</v>
      </c>
      <c r="G171" s="3279"/>
    </row>
    <row r="172" spans="1:7">
      <c r="A172" s="3272" t="s">
        <v>29</v>
      </c>
      <c r="B172" s="3261" t="s">
        <v>3182</v>
      </c>
      <c r="C172" s="3278"/>
      <c r="D172" s="3278"/>
      <c r="E172" s="3278"/>
      <c r="F172" s="3262">
        <v>0.05</v>
      </c>
      <c r="G172" s="3279"/>
    </row>
    <row r="173" spans="1:7">
      <c r="A173" s="3272" t="s">
        <v>29</v>
      </c>
      <c r="B173" s="3261" t="s">
        <v>3183</v>
      </c>
      <c r="C173" s="3278"/>
      <c r="D173" s="3278"/>
      <c r="E173" s="3278"/>
      <c r="F173" s="3262">
        <v>0.05</v>
      </c>
      <c r="G173" s="3274"/>
    </row>
    <row r="174" spans="1:7">
      <c r="A174" s="3272" t="s">
        <v>29</v>
      </c>
      <c r="B174" s="3261" t="s">
        <v>3184</v>
      </c>
      <c r="C174" s="3278"/>
      <c r="D174" s="3278"/>
      <c r="E174" s="3278"/>
      <c r="F174" s="3262">
        <v>0.05</v>
      </c>
      <c r="G174" s="3274"/>
    </row>
    <row r="175" spans="1:7">
      <c r="A175" s="3272" t="s">
        <v>29</v>
      </c>
      <c r="B175" s="3261" t="s">
        <v>3185</v>
      </c>
      <c r="C175" s="3278"/>
      <c r="D175" s="3278"/>
      <c r="E175" s="3278"/>
      <c r="F175" s="3262">
        <v>0.05</v>
      </c>
      <c r="G175" s="3274"/>
    </row>
    <row r="176" spans="1:7">
      <c r="A176" s="3272" t="s">
        <v>29</v>
      </c>
      <c r="B176" s="3261" t="s">
        <v>3186</v>
      </c>
      <c r="C176" s="3278"/>
      <c r="D176" s="3278"/>
      <c r="E176" s="3278"/>
      <c r="F176" s="3262">
        <v>0.05</v>
      </c>
      <c r="G176" s="3274"/>
    </row>
    <row r="177" spans="1:7">
      <c r="A177" s="3272" t="s">
        <v>29</v>
      </c>
      <c r="B177" s="3261" t="s">
        <v>3187</v>
      </c>
      <c r="C177" s="3273"/>
      <c r="D177" s="3273"/>
      <c r="E177" s="3273"/>
      <c r="F177" s="3262">
        <v>0.05</v>
      </c>
      <c r="G177" s="3279"/>
    </row>
    <row r="178" spans="1:7">
      <c r="A178" s="3272" t="s">
        <v>29</v>
      </c>
      <c r="B178" s="3261" t="s">
        <v>3188</v>
      </c>
      <c r="C178" s="3273"/>
      <c r="D178" s="3273"/>
      <c r="E178" s="3273"/>
      <c r="F178" s="3262">
        <v>0.05</v>
      </c>
      <c r="G178" s="3279"/>
    </row>
    <row r="179" spans="1:7">
      <c r="A179" s="3272" t="s">
        <v>29</v>
      </c>
      <c r="B179" s="3261" t="s">
        <v>3189</v>
      </c>
      <c r="C179" s="3273"/>
      <c r="D179" s="3273"/>
      <c r="E179" s="3273"/>
      <c r="F179" s="3262">
        <v>0.05</v>
      </c>
      <c r="G179" s="3279"/>
    </row>
    <row r="180" spans="1:7">
      <c r="A180" s="3272" t="s">
        <v>29</v>
      </c>
      <c r="B180" s="3261" t="s">
        <v>3190</v>
      </c>
      <c r="C180" s="3273"/>
      <c r="D180" s="3273"/>
      <c r="E180" s="3273"/>
      <c r="F180" s="3262">
        <v>0.05</v>
      </c>
      <c r="G180" s="3279"/>
    </row>
    <row r="181" spans="1:7">
      <c r="A181" s="3272" t="s">
        <v>29</v>
      </c>
      <c r="B181" s="3261" t="s">
        <v>3191</v>
      </c>
      <c r="C181" s="3273"/>
      <c r="D181" s="3273"/>
      <c r="E181" s="3273"/>
      <c r="F181" s="3262">
        <v>0.05</v>
      </c>
      <c r="G181" s="3279"/>
    </row>
    <row r="182" spans="1:7">
      <c r="A182" s="3272" t="s">
        <v>29</v>
      </c>
      <c r="B182" s="3261" t="s">
        <v>3192</v>
      </c>
      <c r="C182" s="3273"/>
      <c r="D182" s="3273"/>
      <c r="E182" s="3273"/>
      <c r="F182" s="3262">
        <v>0.05</v>
      </c>
      <c r="G182" s="3279"/>
    </row>
    <row r="183" spans="1:7">
      <c r="A183" s="3272" t="s">
        <v>29</v>
      </c>
      <c r="B183" s="3261" t="s">
        <v>3193</v>
      </c>
      <c r="C183" s="3273"/>
      <c r="D183" s="3273"/>
      <c r="E183" s="3273"/>
      <c r="F183" s="3262">
        <v>0.05</v>
      </c>
      <c r="G183" s="3279"/>
    </row>
    <row r="184" spans="1:7">
      <c r="A184" s="3272" t="s">
        <v>29</v>
      </c>
      <c r="B184" s="3261" t="s">
        <v>3194</v>
      </c>
      <c r="C184" s="3273"/>
      <c r="D184" s="3273"/>
      <c r="E184" s="3273"/>
      <c r="F184" s="3262">
        <v>0.05</v>
      </c>
      <c r="G184" s="3279"/>
    </row>
    <row r="185" spans="1:7">
      <c r="A185" s="3272" t="s">
        <v>29</v>
      </c>
      <c r="B185" s="3261" t="s">
        <v>3195</v>
      </c>
      <c r="C185" s="3273"/>
      <c r="D185" s="3273"/>
      <c r="E185" s="3273"/>
      <c r="F185" s="3262">
        <v>0.05</v>
      </c>
      <c r="G185" s="3279"/>
    </row>
    <row r="186" spans="1:7">
      <c r="A186" s="3272" t="s">
        <v>29</v>
      </c>
      <c r="B186" s="3261" t="s">
        <v>3196</v>
      </c>
      <c r="C186" s="3273"/>
      <c r="D186" s="3273"/>
      <c r="E186" s="3273"/>
      <c r="F186" s="3262">
        <v>0.05</v>
      </c>
      <c r="G186" s="3279"/>
    </row>
    <row r="187" spans="1:7">
      <c r="A187" s="3272" t="s">
        <v>29</v>
      </c>
      <c r="B187" s="3261" t="s">
        <v>3197</v>
      </c>
      <c r="C187" s="3273"/>
      <c r="D187" s="3273"/>
      <c r="E187" s="3273"/>
      <c r="F187" s="3262">
        <v>0.05</v>
      </c>
      <c r="G187" s="3279"/>
    </row>
    <row r="188" spans="1:7">
      <c r="A188" s="3272" t="s">
        <v>29</v>
      </c>
      <c r="B188" s="3261" t="s">
        <v>3198</v>
      </c>
      <c r="C188" s="3273"/>
      <c r="D188" s="3273"/>
      <c r="E188" s="3273"/>
      <c r="F188" s="3262">
        <v>0.05</v>
      </c>
      <c r="G188" s="3279"/>
    </row>
    <row r="189" spans="1:7" ht="14.25" thickBot="1">
      <c r="A189" s="3275" t="s">
        <v>29</v>
      </c>
      <c r="B189" s="3265" t="s">
        <v>3199</v>
      </c>
      <c r="C189" s="3267"/>
      <c r="D189" s="3267"/>
      <c r="E189" s="3267"/>
      <c r="F189" s="3266">
        <v>0.05</v>
      </c>
      <c r="G189" s="3280"/>
    </row>
    <row r="190" spans="1:7">
      <c r="A190" s="3271" t="s">
        <v>304</v>
      </c>
      <c r="B190" s="3257" t="s">
        <v>2855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2891</v>
      </c>
      <c r="C199" s="3262">
        <v>0.13</v>
      </c>
      <c r="D199" s="3262">
        <v>0.13</v>
      </c>
      <c r="E199" s="3262">
        <v>0.13</v>
      </c>
      <c r="F199" s="3262">
        <v>0.13</v>
      </c>
      <c r="G199" s="3263">
        <v>0.13</v>
      </c>
    </row>
    <row r="200" spans="1:7">
      <c r="A200" s="3272" t="s">
        <v>304</v>
      </c>
      <c r="B200" s="3261" t="s">
        <v>2894</v>
      </c>
      <c r="C200" s="3278"/>
      <c r="D200" s="3278"/>
      <c r="E200" s="3278"/>
      <c r="F200" s="3262">
        <v>0.13</v>
      </c>
      <c r="G200" s="3274"/>
    </row>
    <row r="201" spans="1:7">
      <c r="A201" s="3272" t="s">
        <v>304</v>
      </c>
      <c r="B201" s="3261" t="s">
        <v>2899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2902</v>
      </c>
      <c r="C203" s="3262">
        <v>0.129</v>
      </c>
      <c r="D203" s="3262">
        <v>0.129</v>
      </c>
      <c r="E203" s="3262">
        <v>0.13</v>
      </c>
      <c r="F203" s="3262">
        <v>0.13</v>
      </c>
      <c r="G203" s="3263">
        <v>0.13</v>
      </c>
    </row>
    <row r="204" spans="1:7">
      <c r="A204" s="3272" t="s">
        <v>304</v>
      </c>
      <c r="B204" s="3261" t="s">
        <v>2905</v>
      </c>
      <c r="C204" s="3262">
        <v>0.129</v>
      </c>
      <c r="D204" s="3262">
        <v>0.129</v>
      </c>
      <c r="E204" s="3262">
        <v>0.123</v>
      </c>
      <c r="F204" s="3262">
        <v>0.13</v>
      </c>
      <c r="G204" s="3263">
        <v>0.13</v>
      </c>
    </row>
    <row r="205" spans="1:7">
      <c r="A205" s="3272" t="s">
        <v>304</v>
      </c>
      <c r="B205" s="3261" t="s">
        <v>2907</v>
      </c>
      <c r="C205" s="3262">
        <v>0.13</v>
      </c>
      <c r="D205" s="3262">
        <v>0.13</v>
      </c>
      <c r="E205" s="3262">
        <v>0.13</v>
      </c>
      <c r="F205" s="3262">
        <v>0.13</v>
      </c>
      <c r="G205" s="3263">
        <v>0.13</v>
      </c>
    </row>
    <row r="206" spans="1:7">
      <c r="A206" s="3272" t="s">
        <v>304</v>
      </c>
      <c r="B206" s="3261" t="s">
        <v>2910</v>
      </c>
      <c r="C206" s="3262">
        <v>0.13</v>
      </c>
      <c r="D206" s="3262">
        <v>0.13</v>
      </c>
      <c r="E206" s="3262">
        <v>0.13</v>
      </c>
      <c r="F206" s="3262">
        <v>0.128</v>
      </c>
      <c r="G206" s="3263">
        <v>0.13</v>
      </c>
    </row>
    <row r="207" spans="1:7">
      <c r="A207" s="3272" t="s">
        <v>304</v>
      </c>
      <c r="B207" s="3261" t="s">
        <v>2912</v>
      </c>
      <c r="C207" s="3262">
        <v>0.13</v>
      </c>
      <c r="D207" s="3262">
        <v>0.13</v>
      </c>
      <c r="E207" s="3262">
        <v>0.13</v>
      </c>
      <c r="F207" s="3262">
        <v>0.13</v>
      </c>
      <c r="G207" s="3263">
        <v>0.13</v>
      </c>
    </row>
    <row r="208" spans="1:7">
      <c r="A208" s="3272" t="s">
        <v>304</v>
      </c>
      <c r="B208" s="3261" t="s">
        <v>2915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2922</v>
      </c>
      <c r="C210" s="3262">
        <v>0.121</v>
      </c>
      <c r="D210" s="3262">
        <v>0.121</v>
      </c>
      <c r="E210" s="3262">
        <v>0.125</v>
      </c>
      <c r="F210" s="3262">
        <v>0.13</v>
      </c>
      <c r="G210" s="3263">
        <v>0.123</v>
      </c>
    </row>
    <row r="211" spans="1:7">
      <c r="A211" s="3272" t="s">
        <v>304</v>
      </c>
      <c r="B211" s="3261" t="s">
        <v>2925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2937</v>
      </c>
      <c r="C214" s="3262">
        <v>0.128</v>
      </c>
      <c r="D214" s="3262">
        <v>0.128</v>
      </c>
      <c r="E214" s="3262">
        <v>0.13</v>
      </c>
      <c r="F214" s="3262">
        <v>0.13</v>
      </c>
      <c r="G214" s="3263">
        <v>0.13</v>
      </c>
    </row>
    <row r="215" spans="1:7">
      <c r="A215" s="3272" t="s">
        <v>304</v>
      </c>
      <c r="B215" s="3261" t="s">
        <v>2941</v>
      </c>
      <c r="C215" s="3262">
        <v>0.13</v>
      </c>
      <c r="D215" s="3262">
        <v>0.13</v>
      </c>
      <c r="E215" s="3262">
        <v>0.13</v>
      </c>
      <c r="F215" s="3262">
        <v>0.129</v>
      </c>
      <c r="G215" s="3263">
        <v>0.13</v>
      </c>
    </row>
    <row r="216" spans="1:7">
      <c r="A216" s="3272" t="s">
        <v>304</v>
      </c>
      <c r="B216" s="3261" t="s">
        <v>2948</v>
      </c>
      <c r="C216" s="3262">
        <v>0.13</v>
      </c>
      <c r="D216" s="3262">
        <v>0.13</v>
      </c>
      <c r="E216" s="3262">
        <v>0.13</v>
      </c>
      <c r="F216" s="3262">
        <v>0.13</v>
      </c>
      <c r="G216" s="3263">
        <v>0.13</v>
      </c>
    </row>
    <row r="217" spans="1:7">
      <c r="A217" s="3272" t="s">
        <v>304</v>
      </c>
      <c r="B217" s="3261" t="s">
        <v>2955</v>
      </c>
      <c r="C217" s="3262">
        <v>0.129</v>
      </c>
      <c r="D217" s="3262">
        <v>0.129</v>
      </c>
      <c r="E217" s="3262">
        <v>0.13</v>
      </c>
      <c r="F217" s="3262">
        <v>0.13</v>
      </c>
      <c r="G217" s="3263">
        <v>0.13</v>
      </c>
    </row>
    <row r="218" spans="1:7">
      <c r="A218" s="3272" t="s">
        <v>304</v>
      </c>
      <c r="B218" s="3261" t="s">
        <v>2961</v>
      </c>
      <c r="C218" s="3273"/>
      <c r="D218" s="3273"/>
      <c r="E218" s="3273"/>
      <c r="F218" s="3262">
        <v>0.05</v>
      </c>
      <c r="G218" s="3279"/>
    </row>
    <row r="219" spans="1:7">
      <c r="A219" s="3272" t="s">
        <v>304</v>
      </c>
      <c r="B219" s="3261" t="s">
        <v>2968</v>
      </c>
      <c r="C219" s="3273"/>
      <c r="D219" s="3273"/>
      <c r="E219" s="3273"/>
      <c r="F219" s="3262">
        <v>0.05</v>
      </c>
      <c r="G219" s="3279"/>
    </row>
    <row r="220" spans="1:7">
      <c r="A220" s="3272" t="s">
        <v>304</v>
      </c>
      <c r="B220" s="3261" t="s">
        <v>2974</v>
      </c>
      <c r="C220" s="3273"/>
      <c r="D220" s="3273"/>
      <c r="E220" s="3273"/>
      <c r="F220" s="3262">
        <v>0.05</v>
      </c>
      <c r="G220" s="3279"/>
    </row>
    <row r="221" spans="1:7">
      <c r="A221" s="3272" t="s">
        <v>304</v>
      </c>
      <c r="B221" s="3261" t="s">
        <v>2979</v>
      </c>
      <c r="C221" s="3273"/>
      <c r="D221" s="3273"/>
      <c r="E221" s="3273"/>
      <c r="F221" s="3262">
        <v>0.05</v>
      </c>
      <c r="G221" s="3279"/>
    </row>
    <row r="222" spans="1:7">
      <c r="A222" s="3272" t="s">
        <v>304</v>
      </c>
      <c r="B222" s="3261" t="s">
        <v>2983</v>
      </c>
      <c r="C222" s="3273"/>
      <c r="D222" s="3273"/>
      <c r="E222" s="3273"/>
      <c r="F222" s="3262">
        <v>0.05</v>
      </c>
      <c r="G222" s="3279"/>
    </row>
    <row r="223" spans="1:7">
      <c r="A223" s="3272" t="s">
        <v>304</v>
      </c>
      <c r="B223" s="3261" t="s">
        <v>2988</v>
      </c>
      <c r="C223" s="3273"/>
      <c r="D223" s="3273"/>
      <c r="E223" s="3273"/>
      <c r="F223" s="3262">
        <v>0.05</v>
      </c>
      <c r="G223" s="3279"/>
    </row>
    <row r="224" spans="1:7">
      <c r="A224" s="3272" t="s">
        <v>304</v>
      </c>
      <c r="B224" s="3261" t="s">
        <v>2993</v>
      </c>
      <c r="C224" s="3273"/>
      <c r="D224" s="3273"/>
      <c r="E224" s="3273"/>
      <c r="F224" s="3262">
        <v>0.05</v>
      </c>
      <c r="G224" s="3279"/>
    </row>
    <row r="225" spans="1:7">
      <c r="A225" s="3272" t="s">
        <v>304</v>
      </c>
      <c r="B225" s="3261" t="s">
        <v>2998</v>
      </c>
      <c r="C225" s="3273"/>
      <c r="D225" s="3273"/>
      <c r="E225" s="3273"/>
      <c r="F225" s="3262">
        <v>0.05</v>
      </c>
      <c r="G225" s="3279"/>
    </row>
    <row r="226" spans="1:7">
      <c r="A226" s="3272" t="s">
        <v>304</v>
      </c>
      <c r="B226" s="3261" t="s">
        <v>3200</v>
      </c>
      <c r="C226" s="3273"/>
      <c r="D226" s="3273"/>
      <c r="E226" s="3273"/>
      <c r="F226" s="3262">
        <v>0.05</v>
      </c>
      <c r="G226" s="3279"/>
    </row>
    <row r="227" spans="1:7">
      <c r="A227" s="3272" t="s">
        <v>304</v>
      </c>
      <c r="B227" s="3261" t="s">
        <v>3201</v>
      </c>
      <c r="C227" s="3273"/>
      <c r="D227" s="3273"/>
      <c r="E227" s="3273"/>
      <c r="F227" s="3262">
        <v>0.05</v>
      </c>
      <c r="G227" s="3279"/>
    </row>
    <row r="228" spans="1:7">
      <c r="A228" s="3272" t="s">
        <v>304</v>
      </c>
      <c r="B228" s="3261" t="s">
        <v>3202</v>
      </c>
      <c r="C228" s="3273"/>
      <c r="D228" s="3273"/>
      <c r="E228" s="3273"/>
      <c r="F228" s="3262">
        <v>0.05</v>
      </c>
      <c r="G228" s="3279"/>
    </row>
    <row r="229" spans="1:7">
      <c r="A229" s="3272" t="s">
        <v>304</v>
      </c>
      <c r="B229" s="3261" t="s">
        <v>3203</v>
      </c>
      <c r="C229" s="3273"/>
      <c r="D229" s="3273"/>
      <c r="E229" s="3273"/>
      <c r="F229" s="3262">
        <v>0.05</v>
      </c>
      <c r="G229" s="3279"/>
    </row>
    <row r="230" spans="1:7">
      <c r="A230" s="3272" t="s">
        <v>304</v>
      </c>
      <c r="B230" s="3261" t="s">
        <v>3204</v>
      </c>
      <c r="C230" s="3273"/>
      <c r="D230" s="3273"/>
      <c r="E230" s="3273"/>
      <c r="F230" s="3262">
        <v>0.05</v>
      </c>
      <c r="G230" s="3279"/>
    </row>
    <row r="231" spans="1:7">
      <c r="A231" s="3272" t="s">
        <v>304</v>
      </c>
      <c r="B231" s="3261" t="s">
        <v>3205</v>
      </c>
      <c r="C231" s="3273"/>
      <c r="D231" s="3273"/>
      <c r="E231" s="3273"/>
      <c r="F231" s="3262">
        <v>0.05</v>
      </c>
      <c r="G231" s="3279"/>
    </row>
    <row r="232" spans="1:7">
      <c r="A232" s="3272" t="s">
        <v>304</v>
      </c>
      <c r="B232" s="3261" t="s">
        <v>3206</v>
      </c>
      <c r="C232" s="3273"/>
      <c r="D232" s="3273"/>
      <c r="E232" s="3273"/>
      <c r="F232" s="3262">
        <v>0.05</v>
      </c>
      <c r="G232" s="3279"/>
    </row>
    <row r="233" spans="1:7" ht="14.25" thickBot="1">
      <c r="A233" s="3275" t="s">
        <v>304</v>
      </c>
      <c r="B233" s="3265" t="s">
        <v>3207</v>
      </c>
      <c r="C233" s="3267"/>
      <c r="D233" s="3267"/>
      <c r="E233" s="3267"/>
      <c r="F233" s="3266">
        <v>0.05</v>
      </c>
      <c r="G233" s="3280"/>
    </row>
    <row r="234" spans="1:7">
      <c r="A234" s="3271" t="s">
        <v>305</v>
      </c>
      <c r="B234" s="3257" t="s">
        <v>2856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2876</v>
      </c>
      <c r="C238" s="3262">
        <v>0.14899999999999999</v>
      </c>
      <c r="D238" s="3262">
        <v>0.14899999999999999</v>
      </c>
      <c r="E238" s="3262">
        <v>0.15</v>
      </c>
      <c r="F238" s="3262">
        <v>0.15</v>
      </c>
      <c r="G238" s="3263">
        <v>0.15</v>
      </c>
    </row>
    <row r="239" spans="1:7">
      <c r="A239" s="3272" t="s">
        <v>305</v>
      </c>
      <c r="B239" s="3261" t="s">
        <v>2880</v>
      </c>
      <c r="C239" s="3262">
        <v>0.15</v>
      </c>
      <c r="D239" s="3262">
        <v>0.15</v>
      </c>
      <c r="E239" s="3262">
        <v>0.15</v>
      </c>
      <c r="F239" s="3262">
        <v>0.15</v>
      </c>
      <c r="G239" s="3263">
        <v>0.15</v>
      </c>
    </row>
    <row r="240" spans="1:7">
      <c r="A240" s="3272" t="s">
        <v>305</v>
      </c>
      <c r="B240" s="3261" t="s">
        <v>2885</v>
      </c>
      <c r="C240" s="3262">
        <v>0.15</v>
      </c>
      <c r="D240" s="3262">
        <v>0.15</v>
      </c>
      <c r="E240" s="3262">
        <v>0.15</v>
      </c>
      <c r="F240" s="3262">
        <v>0.15</v>
      </c>
      <c r="G240" s="3263">
        <v>0.15</v>
      </c>
    </row>
    <row r="241" spans="1:7">
      <c r="A241" s="3272" t="s">
        <v>305</v>
      </c>
      <c r="B241" s="3261" t="s">
        <v>2889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2938</v>
      </c>
      <c r="C258" s="3262">
        <v>0.14299999999999999</v>
      </c>
      <c r="D258" s="3262">
        <v>0.14299999999999999</v>
      </c>
      <c r="E258" s="3262">
        <v>0.15</v>
      </c>
      <c r="F258" s="3262">
        <v>0.14799999999999999</v>
      </c>
      <c r="G258" s="3263">
        <v>0.14599999999999999</v>
      </c>
    </row>
    <row r="259" spans="1:7">
      <c r="A259" s="3272" t="s">
        <v>305</v>
      </c>
      <c r="B259" s="3261" t="s">
        <v>2942</v>
      </c>
      <c r="C259" s="3262">
        <v>0.14399999999999999</v>
      </c>
      <c r="D259" s="3262">
        <v>0.14399999999999999</v>
      </c>
      <c r="E259" s="3262">
        <v>0.14899999999999999</v>
      </c>
      <c r="F259" s="3262">
        <v>0.14699999999999999</v>
      </c>
      <c r="G259" s="3263">
        <v>0.14599999999999999</v>
      </c>
    </row>
    <row r="260" spans="1:7">
      <c r="A260" s="3272" t="s">
        <v>305</v>
      </c>
      <c r="B260" s="3261" t="s">
        <v>2949</v>
      </c>
      <c r="C260" s="3262">
        <v>0.109</v>
      </c>
      <c r="D260" s="3262">
        <v>0.111</v>
      </c>
      <c r="E260" s="3262">
        <v>0.13100000000000001</v>
      </c>
      <c r="F260" s="3262">
        <v>0.126</v>
      </c>
      <c r="G260" s="3263">
        <v>0.11899999999999999</v>
      </c>
    </row>
    <row r="261" spans="1:7">
      <c r="A261" s="3272" t="s">
        <v>305</v>
      </c>
      <c r="B261" s="3261" t="s">
        <v>2956</v>
      </c>
      <c r="C261" s="3262">
        <v>0.1</v>
      </c>
      <c r="D261" s="3262">
        <v>0.1</v>
      </c>
      <c r="E261" s="3262">
        <v>0.11799999999999999</v>
      </c>
      <c r="F261" s="3262">
        <v>0.108</v>
      </c>
      <c r="G261" s="3263">
        <v>0.107</v>
      </c>
    </row>
    <row r="262" spans="1:7">
      <c r="A262" s="3272" t="s">
        <v>305</v>
      </c>
      <c r="B262" s="3261" t="s">
        <v>2962</v>
      </c>
      <c r="C262" s="3262">
        <v>0.1</v>
      </c>
      <c r="D262" s="3262">
        <v>0.1</v>
      </c>
      <c r="E262" s="3262">
        <v>0.1</v>
      </c>
      <c r="F262" s="3262">
        <v>0.14099999999999999</v>
      </c>
      <c r="G262" s="3263">
        <v>0.1</v>
      </c>
    </row>
    <row r="263" spans="1:7">
      <c r="A263" s="3272" t="s">
        <v>305</v>
      </c>
      <c r="B263" s="3261" t="s">
        <v>2969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2980</v>
      </c>
      <c r="C265" s="3273"/>
      <c r="D265" s="3273"/>
      <c r="E265" s="3273"/>
      <c r="F265" s="3262">
        <v>0.05</v>
      </c>
      <c r="G265" s="3279"/>
    </row>
    <row r="266" spans="1:7">
      <c r="A266" s="3272" t="s">
        <v>305</v>
      </c>
      <c r="B266" s="3261" t="s">
        <v>2984</v>
      </c>
      <c r="C266" s="3273"/>
      <c r="D266" s="3273"/>
      <c r="E266" s="3273"/>
      <c r="F266" s="3262">
        <v>0.05</v>
      </c>
      <c r="G266" s="3279"/>
    </row>
    <row r="267" spans="1:7">
      <c r="A267" s="3272" t="s">
        <v>305</v>
      </c>
      <c r="B267" s="3261" t="s">
        <v>2989</v>
      </c>
      <c r="C267" s="3273"/>
      <c r="D267" s="3273"/>
      <c r="E267" s="3273"/>
      <c r="F267" s="3262">
        <v>0.05</v>
      </c>
      <c r="G267" s="3279"/>
    </row>
    <row r="268" spans="1:7">
      <c r="A268" s="3272" t="s">
        <v>305</v>
      </c>
      <c r="B268" s="3261" t="s">
        <v>2994</v>
      </c>
      <c r="C268" s="3273"/>
      <c r="D268" s="3273"/>
      <c r="E268" s="3273"/>
      <c r="F268" s="3262">
        <v>0.05</v>
      </c>
      <c r="G268" s="3279"/>
    </row>
    <row r="269" spans="1:7">
      <c r="A269" s="3272" t="s">
        <v>305</v>
      </c>
      <c r="B269" s="3261" t="s">
        <v>2999</v>
      </c>
      <c r="C269" s="3273"/>
      <c r="D269" s="3273"/>
      <c r="E269" s="3273"/>
      <c r="F269" s="3262">
        <v>0.05</v>
      </c>
      <c r="G269" s="3279"/>
    </row>
    <row r="270" spans="1:7">
      <c r="A270" s="3272" t="s">
        <v>305</v>
      </c>
      <c r="B270" s="3261" t="s">
        <v>3004</v>
      </c>
      <c r="C270" s="3273"/>
      <c r="D270" s="3273"/>
      <c r="E270" s="3273"/>
      <c r="F270" s="3262">
        <v>0.05</v>
      </c>
      <c r="G270" s="3279"/>
    </row>
    <row r="271" spans="1:7">
      <c r="A271" s="3272" t="s">
        <v>305</v>
      </c>
      <c r="B271" s="3261" t="s">
        <v>3208</v>
      </c>
      <c r="C271" s="3273"/>
      <c r="D271" s="3273"/>
      <c r="E271" s="3273"/>
      <c r="F271" s="3262">
        <v>0.05</v>
      </c>
      <c r="G271" s="3279"/>
    </row>
    <row r="272" spans="1:7">
      <c r="A272" s="3272" t="s">
        <v>305</v>
      </c>
      <c r="B272" s="3261" t="s">
        <v>3209</v>
      </c>
      <c r="C272" s="3273"/>
      <c r="D272" s="3273"/>
      <c r="E272" s="3273"/>
      <c r="F272" s="3262">
        <v>0.05</v>
      </c>
      <c r="G272" s="3279"/>
    </row>
    <row r="273" spans="1:7">
      <c r="A273" s="3272" t="s">
        <v>305</v>
      </c>
      <c r="B273" s="3261" t="s">
        <v>3210</v>
      </c>
      <c r="C273" s="3273"/>
      <c r="D273" s="3273"/>
      <c r="E273" s="3273"/>
      <c r="F273" s="3262">
        <v>0.05</v>
      </c>
      <c r="G273" s="3279"/>
    </row>
    <row r="274" spans="1:7">
      <c r="A274" s="3272" t="s">
        <v>305</v>
      </c>
      <c r="B274" s="3261" t="s">
        <v>3211</v>
      </c>
      <c r="C274" s="3273"/>
      <c r="D274" s="3273"/>
      <c r="E274" s="3273"/>
      <c r="F274" s="3262">
        <v>0.05</v>
      </c>
      <c r="G274" s="3279"/>
    </row>
    <row r="275" spans="1:7">
      <c r="A275" s="3272" t="s">
        <v>305</v>
      </c>
      <c r="B275" s="3261" t="s">
        <v>3212</v>
      </c>
      <c r="C275" s="3273"/>
      <c r="D275" s="3273"/>
      <c r="E275" s="3273"/>
      <c r="F275" s="3262">
        <v>0.05</v>
      </c>
      <c r="G275" s="3279"/>
    </row>
    <row r="276" spans="1:7" ht="14.25" thickBot="1">
      <c r="A276" s="3275" t="s">
        <v>305</v>
      </c>
      <c r="B276" s="3265" t="s">
        <v>3213</v>
      </c>
      <c r="C276" s="3267"/>
      <c r="D276" s="3267"/>
      <c r="E276" s="3267"/>
      <c r="F276" s="3266">
        <v>0.05</v>
      </c>
      <c r="G276" s="3280"/>
    </row>
    <row r="277" spans="1:7">
      <c r="A277" s="3271" t="s">
        <v>306</v>
      </c>
      <c r="B277" s="3257" t="s">
        <v>2857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2869</v>
      </c>
      <c r="C279" s="3262">
        <v>0.15</v>
      </c>
      <c r="D279" s="3262">
        <v>0.15</v>
      </c>
      <c r="E279" s="3262">
        <v>0.15</v>
      </c>
      <c r="F279" s="3262">
        <v>0.15</v>
      </c>
      <c r="G279" s="3263">
        <v>0.15</v>
      </c>
    </row>
    <row r="280" spans="1:7">
      <c r="A280" s="3272" t="s">
        <v>306</v>
      </c>
      <c r="B280" s="3261" t="s">
        <v>2873</v>
      </c>
      <c r="C280" s="3262">
        <v>0.15</v>
      </c>
      <c r="D280" s="3262">
        <v>0.15</v>
      </c>
      <c r="E280" s="3262">
        <v>0.15</v>
      </c>
      <c r="F280" s="3262">
        <v>0.15</v>
      </c>
      <c r="G280" s="3263">
        <v>0.15</v>
      </c>
    </row>
    <row r="281" spans="1:7">
      <c r="A281" s="3272" t="s">
        <v>306</v>
      </c>
      <c r="B281" s="3261" t="s">
        <v>2877</v>
      </c>
      <c r="C281" s="3262">
        <v>0.15</v>
      </c>
      <c r="D281" s="3262">
        <v>0.15</v>
      </c>
      <c r="E281" s="3262">
        <v>0.15</v>
      </c>
      <c r="F281" s="3262">
        <v>0.15</v>
      </c>
      <c r="G281" s="3263">
        <v>0.15</v>
      </c>
    </row>
    <row r="282" spans="1:7">
      <c r="A282" s="3272" t="s">
        <v>306</v>
      </c>
      <c r="B282" s="3261" t="s">
        <v>2881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2911</v>
      </c>
      <c r="C293" s="3262">
        <v>0.15</v>
      </c>
      <c r="D293" s="3262">
        <v>0.15</v>
      </c>
      <c r="E293" s="3262">
        <v>0.15</v>
      </c>
      <c r="F293" s="3262">
        <v>0.14499999999999999</v>
      </c>
      <c r="G293" s="3263">
        <v>0.15</v>
      </c>
    </row>
    <row r="294" spans="1:7">
      <c r="A294" s="3272" t="s">
        <v>306</v>
      </c>
      <c r="B294" s="3261" t="s">
        <v>2913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2943</v>
      </c>
      <c r="C302" s="3262">
        <v>0.15</v>
      </c>
      <c r="D302" s="3262">
        <v>0.15</v>
      </c>
      <c r="E302" s="3262">
        <v>0.15</v>
      </c>
      <c r="F302" s="3262">
        <v>0.14699999999999999</v>
      </c>
      <c r="G302" s="3263">
        <v>0.15</v>
      </c>
    </row>
    <row r="303" spans="1:7">
      <c r="A303" s="3272" t="s">
        <v>306</v>
      </c>
      <c r="B303" s="3261" t="s">
        <v>2950</v>
      </c>
      <c r="C303" s="3262">
        <v>0.15</v>
      </c>
      <c r="D303" s="3262">
        <v>0.15</v>
      </c>
      <c r="E303" s="3262">
        <v>0.15</v>
      </c>
      <c r="F303" s="3262">
        <v>0.14199999999999999</v>
      </c>
      <c r="G303" s="3263">
        <v>0.15</v>
      </c>
    </row>
    <row r="304" spans="1:7">
      <c r="A304" s="3272" t="s">
        <v>306</v>
      </c>
      <c r="B304" s="3261" t="s">
        <v>2957</v>
      </c>
      <c r="C304" s="3262">
        <v>0.15</v>
      </c>
      <c r="D304" s="3262">
        <v>0.15</v>
      </c>
      <c r="E304" s="3262">
        <v>0.15</v>
      </c>
      <c r="F304" s="3262">
        <v>0.14499999999999999</v>
      </c>
      <c r="G304" s="3263">
        <v>0.15</v>
      </c>
    </row>
    <row r="305" spans="1:7">
      <c r="A305" s="3272" t="s">
        <v>306</v>
      </c>
      <c r="B305" s="3261" t="s">
        <v>2963</v>
      </c>
      <c r="C305" s="3262">
        <v>0.15</v>
      </c>
      <c r="D305" s="3262">
        <v>0.15</v>
      </c>
      <c r="E305" s="3262">
        <v>0.15</v>
      </c>
      <c r="F305" s="3262">
        <v>0.111</v>
      </c>
      <c r="G305" s="3263">
        <v>0.15</v>
      </c>
    </row>
    <row r="306" spans="1:7">
      <c r="A306" s="3272" t="s">
        <v>306</v>
      </c>
      <c r="B306" s="3261" t="s">
        <v>2970</v>
      </c>
      <c r="C306" s="3262">
        <v>0.15</v>
      </c>
      <c r="D306" s="3262">
        <v>0.15</v>
      </c>
      <c r="E306" s="3262">
        <v>0.15</v>
      </c>
      <c r="F306" s="3262">
        <v>0.126</v>
      </c>
      <c r="G306" s="3263">
        <v>0.15</v>
      </c>
    </row>
    <row r="307" spans="1:7">
      <c r="A307" s="3272" t="s">
        <v>306</v>
      </c>
      <c r="B307" s="3261" t="s">
        <v>2975</v>
      </c>
      <c r="C307" s="3262">
        <v>0.15</v>
      </c>
      <c r="D307" s="3262">
        <v>0.15</v>
      </c>
      <c r="E307" s="3262">
        <v>0.15</v>
      </c>
      <c r="F307" s="3262">
        <v>0.12</v>
      </c>
      <c r="G307" s="3263">
        <v>0.15</v>
      </c>
    </row>
    <row r="308" spans="1:7">
      <c r="A308" s="3272" t="s">
        <v>306</v>
      </c>
      <c r="B308" s="3261" t="s">
        <v>2981</v>
      </c>
      <c r="C308" s="3262">
        <v>0.15</v>
      </c>
      <c r="D308" s="3262">
        <v>0.15</v>
      </c>
      <c r="E308" s="3262">
        <v>0.15</v>
      </c>
      <c r="F308" s="3262">
        <v>0.13</v>
      </c>
      <c r="G308" s="3263">
        <v>0.15</v>
      </c>
    </row>
    <row r="309" spans="1:7">
      <c r="A309" s="3272" t="s">
        <v>306</v>
      </c>
      <c r="B309" s="3261" t="s">
        <v>2985</v>
      </c>
      <c r="C309" s="3262">
        <v>0.15</v>
      </c>
      <c r="D309" s="3262">
        <v>0.15</v>
      </c>
      <c r="E309" s="3262">
        <v>0.15</v>
      </c>
      <c r="F309" s="3262">
        <v>0.14099999999999999</v>
      </c>
      <c r="G309" s="3263">
        <v>0.15</v>
      </c>
    </row>
    <row r="310" spans="1:7">
      <c r="A310" s="3272" t="s">
        <v>306</v>
      </c>
      <c r="B310" s="3261" t="s">
        <v>2990</v>
      </c>
      <c r="C310" s="3262">
        <v>0.15</v>
      </c>
      <c r="D310" s="3262">
        <v>0.15</v>
      </c>
      <c r="E310" s="3262">
        <v>0.15</v>
      </c>
      <c r="F310" s="3262">
        <v>0.15</v>
      </c>
      <c r="G310" s="3263">
        <v>0.15</v>
      </c>
    </row>
    <row r="311" spans="1:7">
      <c r="A311" s="3272" t="s">
        <v>306</v>
      </c>
      <c r="B311" s="3261" t="s">
        <v>2995</v>
      </c>
      <c r="C311" s="3262">
        <v>0.13200000000000001</v>
      </c>
      <c r="D311" s="3262">
        <v>0.13300000000000001</v>
      </c>
      <c r="E311" s="3262">
        <v>0.14499999999999999</v>
      </c>
      <c r="F311" s="3262">
        <v>0.14199999999999999</v>
      </c>
      <c r="G311" s="3263">
        <v>0.14000000000000001</v>
      </c>
    </row>
    <row r="312" spans="1:7">
      <c r="A312" s="3272" t="s">
        <v>306</v>
      </c>
      <c r="B312" s="3261" t="s">
        <v>3000</v>
      </c>
      <c r="C312" s="3262">
        <v>0.13800000000000001</v>
      </c>
      <c r="D312" s="3262">
        <v>0.14000000000000001</v>
      </c>
      <c r="E312" s="3262">
        <v>0.14599999999999999</v>
      </c>
      <c r="F312" s="3262">
        <v>0.14899999999999999</v>
      </c>
      <c r="G312" s="3263">
        <v>0.14199999999999999</v>
      </c>
    </row>
    <row r="313" spans="1:7">
      <c r="A313" s="3272" t="s">
        <v>306</v>
      </c>
      <c r="B313" s="3261" t="s">
        <v>3005</v>
      </c>
      <c r="C313" s="3262">
        <v>0.125</v>
      </c>
      <c r="D313" s="3262">
        <v>0.127</v>
      </c>
      <c r="E313" s="3262">
        <v>0.14399999999999999</v>
      </c>
      <c r="F313" s="3262">
        <v>0.115</v>
      </c>
      <c r="G313" s="3263">
        <v>0.13600000000000001</v>
      </c>
    </row>
    <row r="314" spans="1:7">
      <c r="A314" s="3272" t="s">
        <v>306</v>
      </c>
      <c r="B314" s="3261" t="s">
        <v>3214</v>
      </c>
      <c r="C314" s="3278"/>
      <c r="D314" s="3278"/>
      <c r="E314" s="3278"/>
      <c r="F314" s="3262">
        <v>0.05</v>
      </c>
      <c r="G314" s="3279"/>
    </row>
    <row r="315" spans="1:7">
      <c r="A315" s="3272" t="s">
        <v>306</v>
      </c>
      <c r="B315" s="3261" t="s">
        <v>3215</v>
      </c>
      <c r="C315" s="3278"/>
      <c r="D315" s="3278"/>
      <c r="E315" s="3278"/>
      <c r="F315" s="3262">
        <v>0.05</v>
      </c>
      <c r="G315" s="3279"/>
    </row>
    <row r="316" spans="1:7">
      <c r="A316" s="3272" t="s">
        <v>306</v>
      </c>
      <c r="B316" s="3261" t="s">
        <v>3216</v>
      </c>
      <c r="C316" s="3273"/>
      <c r="D316" s="3273"/>
      <c r="E316" s="3273"/>
      <c r="F316" s="3262">
        <v>0.05</v>
      </c>
      <c r="G316" s="3279"/>
    </row>
    <row r="317" spans="1:7">
      <c r="A317" s="3272" t="s">
        <v>306</v>
      </c>
      <c r="B317" s="3261" t="s">
        <v>3217</v>
      </c>
      <c r="C317" s="3273"/>
      <c r="D317" s="3273"/>
      <c r="E317" s="3273"/>
      <c r="F317" s="3262">
        <v>0.05</v>
      </c>
      <c r="G317" s="3279"/>
    </row>
    <row r="318" spans="1:7">
      <c r="A318" s="3272" t="s">
        <v>306</v>
      </c>
      <c r="B318" s="3261" t="s">
        <v>3218</v>
      </c>
      <c r="C318" s="3273"/>
      <c r="D318" s="3273"/>
      <c r="E318" s="3273"/>
      <c r="F318" s="3262">
        <v>0.05</v>
      </c>
      <c r="G318" s="3279"/>
    </row>
    <row r="319" spans="1:7">
      <c r="A319" s="3272" t="s">
        <v>306</v>
      </c>
      <c r="B319" s="3261" t="s">
        <v>3219</v>
      </c>
      <c r="C319" s="3273"/>
      <c r="D319" s="3273"/>
      <c r="E319" s="3273"/>
      <c r="F319" s="3262">
        <v>0.05</v>
      </c>
      <c r="G319" s="3279"/>
    </row>
    <row r="320" spans="1:7">
      <c r="A320" s="3272" t="s">
        <v>306</v>
      </c>
      <c r="B320" s="3261" t="s">
        <v>3220</v>
      </c>
      <c r="C320" s="3273"/>
      <c r="D320" s="3273"/>
      <c r="E320" s="3273"/>
      <c r="F320" s="3262">
        <v>0.05</v>
      </c>
      <c r="G320" s="3279"/>
    </row>
    <row r="321" spans="1:7">
      <c r="A321" s="3272" t="s">
        <v>306</v>
      </c>
      <c r="B321" s="3261" t="s">
        <v>3221</v>
      </c>
      <c r="C321" s="3273"/>
      <c r="D321" s="3273"/>
      <c r="E321" s="3273"/>
      <c r="F321" s="3262">
        <v>0.05</v>
      </c>
      <c r="G321" s="3279"/>
    </row>
    <row r="322" spans="1:7">
      <c r="A322" s="3272" t="s">
        <v>306</v>
      </c>
      <c r="B322" s="3261" t="s">
        <v>3222</v>
      </c>
      <c r="C322" s="3273"/>
      <c r="D322" s="3273"/>
      <c r="E322" s="3273"/>
      <c r="F322" s="3262">
        <v>0.05</v>
      </c>
      <c r="G322" s="3279"/>
    </row>
    <row r="323" spans="1:7">
      <c r="A323" s="3272" t="s">
        <v>306</v>
      </c>
      <c r="B323" s="3261" t="s">
        <v>3223</v>
      </c>
      <c r="C323" s="3273"/>
      <c r="D323" s="3273"/>
      <c r="E323" s="3273"/>
      <c r="F323" s="3262">
        <v>0.05</v>
      </c>
      <c r="G323" s="3279"/>
    </row>
    <row r="324" spans="1:7">
      <c r="A324" s="3272" t="s">
        <v>306</v>
      </c>
      <c r="B324" s="3261" t="s">
        <v>3224</v>
      </c>
      <c r="C324" s="3273"/>
      <c r="D324" s="3273"/>
      <c r="E324" s="3273"/>
      <c r="F324" s="3262">
        <v>0.05</v>
      </c>
      <c r="G324" s="3279"/>
    </row>
    <row r="325" spans="1:7">
      <c r="A325" s="3272" t="s">
        <v>306</v>
      </c>
      <c r="B325" s="3261" t="s">
        <v>3225</v>
      </c>
      <c r="C325" s="3273"/>
      <c r="D325" s="3273"/>
      <c r="E325" s="3273"/>
      <c r="F325" s="3262">
        <v>0.05</v>
      </c>
      <c r="G325" s="3279"/>
    </row>
    <row r="326" spans="1:7" ht="14.25" thickBot="1">
      <c r="A326" s="3275" t="s">
        <v>306</v>
      </c>
      <c r="B326" s="3265" t="s">
        <v>3226</v>
      </c>
      <c r="C326" s="3267"/>
      <c r="D326" s="3267"/>
      <c r="E326" s="3267"/>
      <c r="F326" s="3266">
        <v>0.05</v>
      </c>
      <c r="G326" s="3280"/>
    </row>
    <row r="327" spans="1:7">
      <c r="A327" s="3271" t="s">
        <v>307</v>
      </c>
      <c r="B327" s="3257" t="s">
        <v>2858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2870</v>
      </c>
      <c r="C329" s="3262">
        <v>0.15</v>
      </c>
      <c r="D329" s="3262">
        <v>0.15</v>
      </c>
      <c r="E329" s="3262">
        <v>0.15</v>
      </c>
      <c r="F329" s="3262">
        <v>0.15</v>
      </c>
      <c r="G329" s="3263">
        <v>0.15</v>
      </c>
    </row>
    <row r="330" spans="1:7">
      <c r="A330" s="3272" t="s">
        <v>307</v>
      </c>
      <c r="B330" s="3261" t="s">
        <v>2874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2882</v>
      </c>
      <c r="C332" s="3262">
        <v>0.15</v>
      </c>
      <c r="D332" s="3262">
        <v>0.15</v>
      </c>
      <c r="E332" s="3262">
        <v>0.15</v>
      </c>
      <c r="F332" s="3262">
        <v>0.15</v>
      </c>
      <c r="G332" s="3263">
        <v>0.15</v>
      </c>
    </row>
    <row r="333" spans="1:7">
      <c r="A333" s="3272" t="s">
        <v>307</v>
      </c>
      <c r="B333" s="3261" t="s">
        <v>2886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2892</v>
      </c>
      <c r="C336" s="3262">
        <v>0.15</v>
      </c>
      <c r="D336" s="3262">
        <v>0.15</v>
      </c>
      <c r="E336" s="3262">
        <v>0.15</v>
      </c>
      <c r="F336" s="3262">
        <v>0.14199999999999999</v>
      </c>
      <c r="G336" s="3263">
        <v>0.15</v>
      </c>
    </row>
    <row r="337" spans="1:7">
      <c r="A337" s="3272" t="s">
        <v>307</v>
      </c>
      <c r="B337" s="3261" t="s">
        <v>2897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2917</v>
      </c>
      <c r="C345" s="3262">
        <v>0.15</v>
      </c>
      <c r="D345" s="3262">
        <v>0.15</v>
      </c>
      <c r="E345" s="3262">
        <v>0.15</v>
      </c>
      <c r="F345" s="3262">
        <v>0.13800000000000001</v>
      </c>
      <c r="G345" s="3263">
        <v>0.15</v>
      </c>
    </row>
    <row r="346" spans="1:7">
      <c r="A346" s="3272" t="s">
        <v>307</v>
      </c>
      <c r="B346" s="3261" t="s">
        <v>2919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2926</v>
      </c>
      <c r="C348" s="3262">
        <v>0.15</v>
      </c>
      <c r="D348" s="3262">
        <v>0.15</v>
      </c>
      <c r="E348" s="3262">
        <v>0.15</v>
      </c>
      <c r="F348" s="3262">
        <v>0.14399999999999999</v>
      </c>
      <c r="G348" s="3263">
        <v>0.15</v>
      </c>
    </row>
    <row r="349" spans="1:7">
      <c r="A349" s="3272" t="s">
        <v>307</v>
      </c>
      <c r="B349" s="3261" t="s">
        <v>2931</v>
      </c>
      <c r="C349" s="3262">
        <v>0.15</v>
      </c>
      <c r="D349" s="3262">
        <v>0.15</v>
      </c>
      <c r="E349" s="3262">
        <v>0.15</v>
      </c>
      <c r="F349" s="3262">
        <v>0.15</v>
      </c>
      <c r="G349" s="3263">
        <v>0.15</v>
      </c>
    </row>
    <row r="350" spans="1:7">
      <c r="A350" s="3272" t="s">
        <v>307</v>
      </c>
      <c r="B350" s="3261" t="s">
        <v>2934</v>
      </c>
      <c r="C350" s="3262">
        <v>0.15</v>
      </c>
      <c r="D350" s="3262">
        <v>0.15</v>
      </c>
      <c r="E350" s="3262">
        <v>0.15</v>
      </c>
      <c r="F350" s="3262">
        <v>0.14699999999999999</v>
      </c>
      <c r="G350" s="3263">
        <v>0.15</v>
      </c>
    </row>
    <row r="351" spans="1:7">
      <c r="A351" s="3272" t="s">
        <v>307</v>
      </c>
      <c r="B351" s="3261" t="s">
        <v>2939</v>
      </c>
      <c r="C351" s="3262">
        <v>0.15</v>
      </c>
      <c r="D351" s="3262">
        <v>0.15</v>
      </c>
      <c r="E351" s="3262">
        <v>0.15</v>
      </c>
      <c r="F351" s="3262">
        <v>0.13</v>
      </c>
      <c r="G351" s="3263">
        <v>0.15</v>
      </c>
    </row>
    <row r="352" spans="1:7">
      <c r="A352" s="3272" t="s">
        <v>307</v>
      </c>
      <c r="B352" s="3261" t="s">
        <v>2944</v>
      </c>
      <c r="C352" s="3262">
        <v>0.15</v>
      </c>
      <c r="D352" s="3262">
        <v>0.15</v>
      </c>
      <c r="E352" s="3262">
        <v>0.15</v>
      </c>
      <c r="F352" s="3262">
        <v>0.14599999999999999</v>
      </c>
      <c r="G352" s="3263">
        <v>0.15</v>
      </c>
    </row>
    <row r="353" spans="1:7">
      <c r="A353" s="3272" t="s">
        <v>307</v>
      </c>
      <c r="B353" s="3261" t="s">
        <v>2951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2964</v>
      </c>
      <c r="C355" s="3262">
        <v>0.15</v>
      </c>
      <c r="D355" s="3262">
        <v>0.15</v>
      </c>
      <c r="E355" s="3262">
        <v>0.15</v>
      </c>
      <c r="F355" s="3262">
        <v>0.15</v>
      </c>
      <c r="G355" s="3263">
        <v>0.15</v>
      </c>
    </row>
    <row r="356" spans="1:7">
      <c r="A356" s="3272" t="s">
        <v>307</v>
      </c>
      <c r="B356" s="3261" t="s">
        <v>2971</v>
      </c>
      <c r="C356" s="3262">
        <v>0.15</v>
      </c>
      <c r="D356" s="3262">
        <v>0.15</v>
      </c>
      <c r="E356" s="3262">
        <v>0.15</v>
      </c>
      <c r="F356" s="3262">
        <v>0.15</v>
      </c>
      <c r="G356" s="3263">
        <v>0.15</v>
      </c>
    </row>
    <row r="357" spans="1:7" ht="14.25" thickBot="1">
      <c r="A357" s="3275" t="s">
        <v>307</v>
      </c>
      <c r="B357" s="3265" t="s">
        <v>2976</v>
      </c>
      <c r="C357" s="3266">
        <v>0.126</v>
      </c>
      <c r="D357" s="3266">
        <v>0.127</v>
      </c>
      <c r="E357" s="3266">
        <v>0.14299999999999999</v>
      </c>
      <c r="F357" s="3266">
        <v>0.125</v>
      </c>
      <c r="G357" s="3268">
        <v>0.129</v>
      </c>
    </row>
    <row r="358" spans="1:7">
      <c r="A358" s="3271" t="s">
        <v>2845</v>
      </c>
      <c r="B358" s="3257" t="s">
        <v>2859</v>
      </c>
      <c r="C358" s="3258">
        <v>0.15</v>
      </c>
      <c r="D358" s="3258">
        <v>0.15</v>
      </c>
      <c r="E358" s="3258">
        <v>0.15</v>
      </c>
      <c r="F358" s="3258">
        <v>0.15</v>
      </c>
      <c r="G358" s="3259">
        <v>0.15</v>
      </c>
    </row>
    <row r="359" spans="1:7">
      <c r="A359" s="3272" t="s">
        <v>2845</v>
      </c>
      <c r="B359" s="3261" t="s">
        <v>2865</v>
      </c>
      <c r="C359" s="3262">
        <v>0.1</v>
      </c>
      <c r="D359" s="3262">
        <v>0.1</v>
      </c>
      <c r="E359" s="3262">
        <v>0.1</v>
      </c>
      <c r="F359" s="3262">
        <v>0.1</v>
      </c>
      <c r="G359" s="3263">
        <v>0.1</v>
      </c>
    </row>
    <row r="360" spans="1:7">
      <c r="A360" s="3272" t="s">
        <v>2845</v>
      </c>
      <c r="B360" s="3261" t="s">
        <v>2871</v>
      </c>
      <c r="C360" s="3262">
        <v>0.15</v>
      </c>
      <c r="D360" s="3262">
        <v>0.15</v>
      </c>
      <c r="E360" s="3262">
        <v>0.15</v>
      </c>
      <c r="F360" s="3262">
        <v>0.14899999999999999</v>
      </c>
      <c r="G360" s="3263">
        <v>0.15</v>
      </c>
    </row>
    <row r="361" spans="1:7">
      <c r="A361" s="3272" t="s">
        <v>2845</v>
      </c>
      <c r="B361" s="3261" t="s">
        <v>153</v>
      </c>
      <c r="C361" s="3262">
        <v>0.15</v>
      </c>
      <c r="D361" s="3262">
        <v>0.15</v>
      </c>
      <c r="E361" s="3262">
        <v>0.15</v>
      </c>
      <c r="F361" s="3262">
        <v>0.115</v>
      </c>
      <c r="G361" s="3263">
        <v>0.15</v>
      </c>
    </row>
    <row r="362" spans="1:7">
      <c r="A362" s="3272" t="s">
        <v>2845</v>
      </c>
      <c r="B362" s="3261" t="s">
        <v>2878</v>
      </c>
      <c r="C362" s="3262">
        <v>0.15</v>
      </c>
      <c r="D362" s="3262">
        <v>0.15</v>
      </c>
      <c r="E362" s="3262">
        <v>0.15</v>
      </c>
      <c r="F362" s="3262">
        <v>0.106</v>
      </c>
      <c r="G362" s="3263">
        <v>0.15</v>
      </c>
    </row>
    <row r="363" spans="1:7">
      <c r="A363" s="3272" t="s">
        <v>2845</v>
      </c>
      <c r="B363" s="3261" t="s">
        <v>2883</v>
      </c>
      <c r="C363" s="3262">
        <v>0.15</v>
      </c>
      <c r="D363" s="3262">
        <v>0.15</v>
      </c>
      <c r="E363" s="3262">
        <v>0.15</v>
      </c>
      <c r="F363" s="3262">
        <v>0.14699999999999999</v>
      </c>
      <c r="G363" s="3263">
        <v>0.15</v>
      </c>
    </row>
    <row r="364" spans="1:7">
      <c r="A364" s="3272" t="s">
        <v>2845</v>
      </c>
      <c r="B364" s="3261" t="s">
        <v>2887</v>
      </c>
      <c r="C364" s="3262">
        <v>0.15</v>
      </c>
      <c r="D364" s="3262">
        <v>0.15</v>
      </c>
      <c r="E364" s="3262">
        <v>0.15</v>
      </c>
      <c r="F364" s="3262">
        <v>0.14799999999999999</v>
      </c>
      <c r="G364" s="3263">
        <v>0.15</v>
      </c>
    </row>
    <row r="365" spans="1:7">
      <c r="A365" s="3272" t="s">
        <v>2845</v>
      </c>
      <c r="B365" s="3261" t="s">
        <v>200</v>
      </c>
      <c r="C365" s="3262">
        <v>0.15</v>
      </c>
      <c r="D365" s="3262">
        <v>0.15</v>
      </c>
      <c r="E365" s="3262">
        <v>0.15</v>
      </c>
      <c r="F365" s="3262">
        <v>0.15</v>
      </c>
      <c r="G365" s="3263">
        <v>0.15</v>
      </c>
    </row>
    <row r="366" spans="1:7">
      <c r="A366" s="3272" t="s">
        <v>2845</v>
      </c>
      <c r="B366" s="3261" t="s">
        <v>2890</v>
      </c>
      <c r="C366" s="3262">
        <v>0.15</v>
      </c>
      <c r="D366" s="3262">
        <v>0.15</v>
      </c>
      <c r="E366" s="3262">
        <v>0.15</v>
      </c>
      <c r="F366" s="3262">
        <v>0.15</v>
      </c>
      <c r="G366" s="3263">
        <v>0.15</v>
      </c>
    </row>
    <row r="367" spans="1:7">
      <c r="A367" s="3272" t="s">
        <v>2845</v>
      </c>
      <c r="B367" s="3261" t="s">
        <v>2893</v>
      </c>
      <c r="C367" s="3262">
        <v>0.15</v>
      </c>
      <c r="D367" s="3262">
        <v>0.15</v>
      </c>
      <c r="E367" s="3262">
        <v>0.15</v>
      </c>
      <c r="F367" s="3262">
        <v>0.14699999999999999</v>
      </c>
      <c r="G367" s="3263">
        <v>0.15</v>
      </c>
    </row>
    <row r="368" spans="1:7">
      <c r="A368" s="3272" t="s">
        <v>2845</v>
      </c>
      <c r="B368" s="3261" t="s">
        <v>2898</v>
      </c>
      <c r="C368" s="3262">
        <v>0.15</v>
      </c>
      <c r="D368" s="3262">
        <v>0.15</v>
      </c>
      <c r="E368" s="3262">
        <v>0.15</v>
      </c>
      <c r="F368" s="3262">
        <v>0.13600000000000001</v>
      </c>
      <c r="G368" s="3263">
        <v>0.15</v>
      </c>
    </row>
    <row r="369" spans="1:7">
      <c r="A369" s="3272" t="s">
        <v>2845</v>
      </c>
      <c r="B369" s="3261" t="s">
        <v>214</v>
      </c>
      <c r="C369" s="3262">
        <v>0.15</v>
      </c>
      <c r="D369" s="3262">
        <v>0.15</v>
      </c>
      <c r="E369" s="3262">
        <v>0.15</v>
      </c>
      <c r="F369" s="3262">
        <v>0.14399999999999999</v>
      </c>
      <c r="G369" s="3263">
        <v>0.15</v>
      </c>
    </row>
    <row r="370" spans="1:7">
      <c r="A370" s="3272" t="s">
        <v>2845</v>
      </c>
      <c r="B370" s="3261" t="s">
        <v>221</v>
      </c>
      <c r="C370" s="3262">
        <v>0.15</v>
      </c>
      <c r="D370" s="3262">
        <v>0.15</v>
      </c>
      <c r="E370" s="3262">
        <v>0.15</v>
      </c>
      <c r="F370" s="3262">
        <v>0.14599999999999999</v>
      </c>
      <c r="G370" s="3263">
        <v>0.15</v>
      </c>
    </row>
    <row r="371" spans="1:7">
      <c r="A371" s="3272" t="s">
        <v>2845</v>
      </c>
      <c r="B371" s="3261" t="s">
        <v>229</v>
      </c>
      <c r="C371" s="3262">
        <v>0.15</v>
      </c>
      <c r="D371" s="3262">
        <v>0.15</v>
      </c>
      <c r="E371" s="3262">
        <v>0.15</v>
      </c>
      <c r="F371" s="3262">
        <v>0.12</v>
      </c>
      <c r="G371" s="3263">
        <v>0.15</v>
      </c>
    </row>
    <row r="372" spans="1:7">
      <c r="A372" s="3272" t="s">
        <v>2845</v>
      </c>
      <c r="B372" s="3261" t="s">
        <v>2906</v>
      </c>
      <c r="C372" s="3262">
        <v>0.15</v>
      </c>
      <c r="D372" s="3262">
        <v>0.15</v>
      </c>
      <c r="E372" s="3262">
        <v>0.15</v>
      </c>
      <c r="F372" s="3262">
        <v>0.14299999999999999</v>
      </c>
      <c r="G372" s="3263">
        <v>0.15</v>
      </c>
    </row>
    <row r="373" spans="1:7">
      <c r="A373" s="3272" t="s">
        <v>2845</v>
      </c>
      <c r="B373" s="3261" t="s">
        <v>258</v>
      </c>
      <c r="C373" s="3262">
        <v>0.15</v>
      </c>
      <c r="D373" s="3262">
        <v>0.15</v>
      </c>
      <c r="E373" s="3262">
        <v>0.15</v>
      </c>
      <c r="F373" s="3262">
        <v>0.14599999999999999</v>
      </c>
      <c r="G373" s="3263">
        <v>0.15</v>
      </c>
    </row>
    <row r="374" spans="1:7">
      <c r="A374" s="3272" t="s">
        <v>2845</v>
      </c>
      <c r="B374" s="3261" t="s">
        <v>266</v>
      </c>
      <c r="C374" s="3262">
        <v>0.15</v>
      </c>
      <c r="D374" s="3262">
        <v>0.15</v>
      </c>
      <c r="E374" s="3262">
        <v>0.15</v>
      </c>
      <c r="F374" s="3262">
        <v>0.14399999999999999</v>
      </c>
      <c r="G374" s="3263">
        <v>0.15</v>
      </c>
    </row>
    <row r="375" spans="1:7">
      <c r="A375" s="3272" t="s">
        <v>2845</v>
      </c>
      <c r="B375" s="3261" t="s">
        <v>2914</v>
      </c>
      <c r="C375" s="3262">
        <v>0.15</v>
      </c>
      <c r="D375" s="3262">
        <v>0.15</v>
      </c>
      <c r="E375" s="3262">
        <v>0.15</v>
      </c>
      <c r="F375" s="3262">
        <v>0.13</v>
      </c>
      <c r="G375" s="3263">
        <v>0.15</v>
      </c>
    </row>
    <row r="376" spans="1:7">
      <c r="A376" s="3272" t="s">
        <v>2845</v>
      </c>
      <c r="B376" s="3261" t="s">
        <v>277</v>
      </c>
      <c r="C376" s="3262">
        <v>0.15</v>
      </c>
      <c r="D376" s="3262">
        <v>0.15</v>
      </c>
      <c r="E376" s="3262">
        <v>0.15</v>
      </c>
      <c r="F376" s="3262">
        <v>0.14199999999999999</v>
      </c>
      <c r="G376" s="3263">
        <v>0.15</v>
      </c>
    </row>
    <row r="377" spans="1:7" ht="14.25" thickBot="1">
      <c r="A377" s="3275" t="s">
        <v>2845</v>
      </c>
      <c r="B377" s="3265" t="s">
        <v>2920</v>
      </c>
      <c r="C377" s="3266">
        <v>0.15</v>
      </c>
      <c r="D377" s="3266">
        <v>0.15</v>
      </c>
      <c r="E377" s="3266">
        <v>0.15</v>
      </c>
      <c r="F377" s="3266">
        <v>0.14000000000000001</v>
      </c>
      <c r="G377" s="3268">
        <v>0.15</v>
      </c>
    </row>
    <row r="378" spans="1:7">
      <c r="A378" s="3271" t="s">
        <v>2846</v>
      </c>
      <c r="B378" s="3257" t="s">
        <v>2860</v>
      </c>
      <c r="C378" s="3258">
        <v>0.15</v>
      </c>
      <c r="D378" s="3258">
        <v>0.15</v>
      </c>
      <c r="E378" s="3258">
        <v>0.15</v>
      </c>
      <c r="F378" s="3258">
        <v>0.107</v>
      </c>
      <c r="G378" s="3259">
        <v>0.15</v>
      </c>
    </row>
    <row r="379" spans="1:7">
      <c r="A379" s="3272" t="s">
        <v>2846</v>
      </c>
      <c r="B379" s="3261" t="s">
        <v>2866</v>
      </c>
      <c r="C379" s="3262">
        <v>0.15</v>
      </c>
      <c r="D379" s="3262">
        <v>0.15</v>
      </c>
      <c r="E379" s="3262">
        <v>0.15</v>
      </c>
      <c r="F379" s="3262">
        <v>0.115</v>
      </c>
      <c r="G379" s="3263">
        <v>0.14899999999999999</v>
      </c>
    </row>
    <row r="380" spans="1:7">
      <c r="A380" s="3272" t="s">
        <v>2846</v>
      </c>
      <c r="B380" s="3261" t="s">
        <v>2872</v>
      </c>
      <c r="C380" s="3262">
        <v>0.15</v>
      </c>
      <c r="D380" s="3262">
        <v>0.15</v>
      </c>
      <c r="E380" s="3262">
        <v>0.15</v>
      </c>
      <c r="F380" s="3262">
        <v>0.1</v>
      </c>
      <c r="G380" s="3263">
        <v>0.14799999999999999</v>
      </c>
    </row>
    <row r="381" spans="1:7">
      <c r="A381" s="3272" t="s">
        <v>2846</v>
      </c>
      <c r="B381" s="3261" t="s">
        <v>2875</v>
      </c>
      <c r="C381" s="3262">
        <v>0.15</v>
      </c>
      <c r="D381" s="3262">
        <v>0.15</v>
      </c>
      <c r="E381" s="3262">
        <v>0.15</v>
      </c>
      <c r="F381" s="3262">
        <v>0.126</v>
      </c>
      <c r="G381" s="3263">
        <v>0.15</v>
      </c>
    </row>
    <row r="382" spans="1:7">
      <c r="A382" s="3272" t="s">
        <v>2846</v>
      </c>
      <c r="B382" s="3261" t="s">
        <v>2879</v>
      </c>
      <c r="C382" s="3262">
        <v>0.15</v>
      </c>
      <c r="D382" s="3262">
        <v>0.15</v>
      </c>
      <c r="E382" s="3262">
        <v>0.15</v>
      </c>
      <c r="F382" s="3262">
        <v>0.15</v>
      </c>
      <c r="G382" s="3263">
        <v>0.15</v>
      </c>
    </row>
    <row r="383" spans="1:7">
      <c r="A383" s="3272" t="s">
        <v>2846</v>
      </c>
      <c r="B383" s="3261" t="s">
        <v>2884</v>
      </c>
      <c r="C383" s="3262">
        <v>0.15</v>
      </c>
      <c r="D383" s="3262">
        <v>0.15</v>
      </c>
      <c r="E383" s="3262">
        <v>0.15</v>
      </c>
      <c r="F383" s="3262">
        <v>0.14699999999999999</v>
      </c>
      <c r="G383" s="3263">
        <v>0.15</v>
      </c>
    </row>
    <row r="384" spans="1:7" ht="14.25" thickBot="1">
      <c r="A384" s="3282" t="s">
        <v>2846</v>
      </c>
      <c r="B384" s="3283" t="s">
        <v>2888</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4" t="s">
        <v>3227</v>
      </c>
      <c r="B1" s="3824"/>
      <c r="C1" s="3824"/>
      <c r="D1" s="3824"/>
      <c r="E1" s="3824"/>
      <c r="F1" s="3825"/>
    </row>
    <row r="2" spans="1:6">
      <c r="A2" s="3288" t="s">
        <v>3228</v>
      </c>
      <c r="B2" s="3289"/>
      <c r="C2" s="3289"/>
      <c r="D2" s="3289"/>
      <c r="E2" s="3289"/>
      <c r="F2" s="3289"/>
    </row>
    <row r="3" spans="1:6">
      <c r="A3" s="3288" t="s">
        <v>3229</v>
      </c>
      <c r="B3" s="3289"/>
      <c r="C3" s="3289"/>
      <c r="D3" s="3289"/>
      <c r="E3" s="3289"/>
      <c r="F3" s="3290" t="s">
        <v>3230</v>
      </c>
    </row>
    <row r="4" spans="1:6">
      <c r="A4" s="3291" t="s">
        <v>672</v>
      </c>
      <c r="B4" s="3291" t="s">
        <v>673</v>
      </c>
      <c r="C4" s="3291" t="s">
        <v>21</v>
      </c>
      <c r="D4" s="3291" t="s">
        <v>674</v>
      </c>
      <c r="E4" s="3291" t="s">
        <v>3</v>
      </c>
      <c r="F4" s="3291" t="s">
        <v>3231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8" sqref="V48"/>
    </sheetView>
  </sheetViews>
  <sheetFormatPr defaultRowHeight="13.5"/>
  <cols>
    <col min="1" max="1" width="13.875" customWidth="1"/>
    <col min="11" max="17" width="0" hidden="1" customWidth="1"/>
    <col min="25" max="30" width="0" hidden="1" customWidth="1"/>
  </cols>
  <sheetData>
    <row r="1" spans="1:30">
      <c r="A1" s="3218">
        <f>基准地价修正!G23</f>
        <v>45317</v>
      </c>
      <c r="B1" s="3207" t="s">
        <v>3365</v>
      </c>
      <c r="C1" s="3208"/>
      <c r="D1" s="3208"/>
      <c r="E1" s="3208"/>
      <c r="F1" s="3208"/>
      <c r="G1" s="3208"/>
      <c r="H1" s="3208"/>
      <c r="I1" s="3208"/>
      <c r="J1" s="3162"/>
      <c r="K1" s="3208" t="s">
        <v>454</v>
      </c>
      <c r="L1" s="3208"/>
      <c r="M1" s="3208"/>
      <c r="N1" s="3208"/>
      <c r="O1" s="3208"/>
      <c r="P1" s="3208"/>
      <c r="Q1" s="3162"/>
      <c r="R1" s="3826" t="s">
        <v>456</v>
      </c>
      <c r="S1" s="3827"/>
      <c r="T1" s="3827"/>
      <c r="U1" s="3827"/>
      <c r="V1" s="3827"/>
      <c r="W1" s="3827"/>
      <c r="X1" s="3162"/>
      <c r="Y1" s="3826" t="s">
        <v>457</v>
      </c>
      <c r="Z1" s="3827"/>
      <c r="AA1" s="3827"/>
      <c r="AB1" s="3827"/>
      <c r="AC1" s="3827"/>
      <c r="AD1" s="3827"/>
    </row>
    <row r="2" spans="1:30" s="3140" customFormat="1" ht="14.25" thickBot="1">
      <c r="B2" s="3141"/>
      <c r="C2" s="3142"/>
      <c r="D2" s="3143" t="s">
        <v>2805</v>
      </c>
      <c r="E2" s="3144" t="s">
        <v>2806</v>
      </c>
      <c r="F2" s="3144" t="s">
        <v>2807</v>
      </c>
      <c r="G2" s="3144" t="s">
        <v>2808</v>
      </c>
      <c r="H2" s="3144" t="s">
        <v>2809</v>
      </c>
      <c r="I2" s="3144" t="s">
        <v>2626</v>
      </c>
      <c r="J2" s="3145"/>
      <c r="K2" s="3143" t="s">
        <v>2805</v>
      </c>
      <c r="L2" s="3144" t="s">
        <v>2806</v>
      </c>
      <c r="M2" s="3144" t="s">
        <v>2807</v>
      </c>
      <c r="N2" s="3144" t="s">
        <v>2808</v>
      </c>
      <c r="O2" s="3144" t="s">
        <v>2810</v>
      </c>
      <c r="P2" s="3144" t="s">
        <v>2626</v>
      </c>
      <c r="Q2" s="3145"/>
      <c r="R2" s="3143" t="s">
        <v>2805</v>
      </c>
      <c r="S2" s="3144" t="s">
        <v>2806</v>
      </c>
      <c r="T2" s="3144" t="s">
        <v>2807</v>
      </c>
      <c r="U2" s="3144" t="s">
        <v>2811</v>
      </c>
      <c r="V2" s="3144" t="s">
        <v>2812</v>
      </c>
      <c r="W2" s="3144" t="s">
        <v>2626</v>
      </c>
      <c r="X2" s="3145"/>
      <c r="Y2" s="3143" t="s">
        <v>2805</v>
      </c>
      <c r="Z2" s="3144" t="s">
        <v>2806</v>
      </c>
      <c r="AA2" s="3144" t="s">
        <v>2807</v>
      </c>
      <c r="AB2" s="3144" t="s">
        <v>2813</v>
      </c>
      <c r="AC2" s="3144" t="s">
        <v>2812</v>
      </c>
      <c r="AD2" s="3144" t="s">
        <v>2626</v>
      </c>
    </row>
    <row r="3" spans="1:30" s="3158" customFormat="1" ht="12.75">
      <c r="A3" s="3146" t="s">
        <v>2814</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3368</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3" t="s">
        <v>3369</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3371</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3372</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3363</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3362</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3358</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3349</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2815</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2816</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2817</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2818</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2819</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3360</v>
      </c>
    </row>
    <row r="21" spans="1:30" s="3006" customFormat="1">
      <c r="I21" s="3205" t="s">
        <v>2820</v>
      </c>
    </row>
    <row r="22" spans="1:30" s="3006" customFormat="1"/>
    <row r="23" spans="1:30" s="3206" customFormat="1" ht="12.75">
      <c r="B23" s="3207" t="s">
        <v>3366</v>
      </c>
      <c r="C23" s="3208"/>
      <c r="D23" s="3208"/>
      <c r="E23" s="3208"/>
      <c r="F23" s="3208"/>
      <c r="G23" s="3208"/>
      <c r="H23" s="3208"/>
      <c r="I23" s="3208"/>
      <c r="J23" s="3162"/>
      <c r="K23" s="3208" t="s">
        <v>2821</v>
      </c>
      <c r="L23" s="3208"/>
      <c r="M23" s="3208"/>
      <c r="N23" s="3208"/>
      <c r="O23" s="3208"/>
      <c r="P23" s="3208"/>
      <c r="Q23" s="3162"/>
      <c r="R23" s="3826" t="s">
        <v>2822</v>
      </c>
      <c r="S23" s="3827"/>
      <c r="T23" s="3827"/>
      <c r="U23" s="3827"/>
      <c r="V23" s="3827"/>
      <c r="W23" s="3827"/>
      <c r="X23" s="3162"/>
      <c r="Y23" s="3826" t="s">
        <v>2823</v>
      </c>
      <c r="Z23" s="3827"/>
      <c r="AA23" s="3827"/>
      <c r="AB23" s="3827"/>
      <c r="AC23" s="3827"/>
      <c r="AD23" s="3827"/>
    </row>
    <row r="24" spans="1:30" s="3140" customFormat="1" ht="14.25" thickBot="1">
      <c r="B24" s="3141"/>
      <c r="C24" s="3142"/>
      <c r="D24" s="3143" t="s">
        <v>2824</v>
      </c>
      <c r="E24" s="3144" t="s">
        <v>2825</v>
      </c>
      <c r="F24" s="3144" t="s">
        <v>2826</v>
      </c>
      <c r="G24" s="3144" t="s">
        <v>2827</v>
      </c>
      <c r="H24" s="3144"/>
      <c r="I24" s="3144" t="s">
        <v>2828</v>
      </c>
      <c r="J24" s="3145"/>
      <c r="K24" s="3143" t="s">
        <v>2824</v>
      </c>
      <c r="L24" s="3144" t="s">
        <v>2825</v>
      </c>
      <c r="M24" s="3144" t="s">
        <v>2826</v>
      </c>
      <c r="N24" s="3144" t="s">
        <v>2827</v>
      </c>
      <c r="O24" s="3144"/>
      <c r="P24" s="3144" t="s">
        <v>2828</v>
      </c>
      <c r="Q24" s="3145"/>
      <c r="R24" s="3143" t="s">
        <v>2824</v>
      </c>
      <c r="S24" s="3144" t="s">
        <v>2825</v>
      </c>
      <c r="T24" s="3144" t="s">
        <v>2826</v>
      </c>
      <c r="U24" s="3144" t="s">
        <v>2827</v>
      </c>
      <c r="V24" s="3144"/>
      <c r="W24" s="3144" t="s">
        <v>2828</v>
      </c>
      <c r="X24" s="3145"/>
      <c r="Y24" s="3143" t="s">
        <v>2824</v>
      </c>
      <c r="Z24" s="3144" t="s">
        <v>2825</v>
      </c>
      <c r="AA24" s="3144" t="s">
        <v>2826</v>
      </c>
      <c r="AB24" s="3144" t="s">
        <v>2827</v>
      </c>
      <c r="AC24" s="3144"/>
      <c r="AD24" s="3144" t="s">
        <v>2828</v>
      </c>
    </row>
    <row r="25" spans="1:30" s="3158" customFormat="1" ht="12.75">
      <c r="A25" s="3146" t="s">
        <v>2829</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3" t="s">
        <v>3368</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3" t="s">
        <v>3369</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3373</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3372</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3367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3363</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3362</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3359</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3349</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2830</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2831</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2832</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2833</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2819</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3" t="s">
        <v>452</v>
      </c>
      <c r="C1" s="3833"/>
      <c r="D1" s="3833"/>
      <c r="E1" s="3833"/>
      <c r="F1" s="3833"/>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3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2" t="s">
        <v>925</v>
      </c>
      <c r="E3" s="852" t="s">
        <v>931</v>
      </c>
      <c r="F3" s="852" t="s">
        <v>925</v>
      </c>
      <c r="G3" s="852" t="s">
        <v>926</v>
      </c>
      <c r="H3" s="852" t="s">
        <v>925</v>
      </c>
      <c r="I3" s="852" t="s">
        <v>926</v>
      </c>
    </row>
    <row r="4" spans="1:9" ht="15">
      <c r="A4" s="1503" t="str">
        <f>项目基本情况!S2</f>
        <v>北京市房地产</v>
      </c>
      <c r="B4" s="852">
        <f>项目基本情况!C17</f>
        <v>119963.53</v>
      </c>
      <c r="C4" s="852">
        <f>项目基本情况!C18</f>
        <v>24498.84</v>
      </c>
      <c r="D4" s="852">
        <f ca="1">结果表!D118</f>
        <v>193099</v>
      </c>
      <c r="E4" s="852">
        <f ca="1">结果表!E118</f>
        <v>16097</v>
      </c>
      <c r="F4" s="852">
        <f ca="1">结果表!F118</f>
        <v>93824</v>
      </c>
      <c r="G4" s="852">
        <f ca="1">结果表!G118</f>
        <v>7821</v>
      </c>
      <c r="H4" s="852">
        <f ca="1">结果表!H118</f>
        <v>286923</v>
      </c>
      <c r="I4" s="852">
        <f ca="1">结果表!I118</f>
        <v>23918</v>
      </c>
    </row>
    <row r="5" spans="1:9" ht="30" customHeight="1">
      <c r="A5" s="3505" t="s">
        <v>927</v>
      </c>
      <c r="B5" s="3505"/>
      <c r="C5" s="3505"/>
      <c r="D5" s="3505" t="str">
        <f ca="1">结果表!D119</f>
        <v>壹拾玖亿叁仟零玖拾玖万元整</v>
      </c>
      <c r="E5" s="3505"/>
      <c r="F5" s="3505" t="str">
        <f ca="1">结果表!F119</f>
        <v>玖亿叁仟捌佰贰拾肆万元整</v>
      </c>
      <c r="G5" s="3505"/>
      <c r="H5" s="3505" t="str">
        <f ca="1">结果表!H119</f>
        <v>贰拾捌亿陆仟玖佰贰拾叁万元整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286923</v>
      </c>
      <c r="E8" s="3506"/>
      <c r="F8" s="3506"/>
      <c r="G8" s="3506"/>
      <c r="H8" s="3506"/>
      <c r="I8" s="3506"/>
    </row>
    <row r="9" spans="1:9" ht="15">
      <c r="A9" s="3505" t="s">
        <v>927</v>
      </c>
      <c r="B9" s="3505"/>
      <c r="C9" s="3505"/>
      <c r="D9" s="3505" t="str">
        <f ca="1">结果表!D123</f>
        <v>贰拾捌亿陆仟玖佰贰拾叁万元整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45317</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2304</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12" t="s">
        <v>949</v>
      </c>
      <c r="B1" s="3512"/>
      <c r="C1" s="3512"/>
      <c r="D1" s="3512"/>
    </row>
    <row r="2" spans="1:4" ht="18">
      <c r="A2" s="3513" t="s">
        <v>933</v>
      </c>
      <c r="B2" s="3513"/>
      <c r="C2" s="3513"/>
      <c r="D2" s="351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13" t="s">
        <v>939</v>
      </c>
      <c r="B6" s="3513"/>
      <c r="C6" s="3513"/>
      <c r="D6" s="351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26" t="s">
        <v>956</v>
      </c>
      <c r="B15" s="3521" t="s">
        <v>109</v>
      </c>
      <c r="C15" s="3522"/>
    </row>
    <row r="16" spans="1:7" ht="13.5">
      <c r="A16" s="3527"/>
      <c r="B16" s="3521" t="s">
        <v>42</v>
      </c>
      <c r="C16" s="3522"/>
    </row>
    <row r="17" spans="1:3" ht="13.5">
      <c r="A17" s="3527"/>
      <c r="B17" s="3524" t="s">
        <v>957</v>
      </c>
      <c r="C17" s="1530" t="s">
        <v>956</v>
      </c>
    </row>
    <row r="18" spans="1:3" ht="13.5">
      <c r="A18" s="3527"/>
      <c r="B18" s="3524"/>
      <c r="C18" s="1530" t="s">
        <v>958</v>
      </c>
    </row>
    <row r="19" spans="1:3" ht="13.5">
      <c r="A19" s="3527"/>
      <c r="B19" s="3524"/>
      <c r="C19" s="1530" t="s">
        <v>959</v>
      </c>
    </row>
    <row r="20" spans="1:3" ht="13.5">
      <c r="A20" s="3528"/>
      <c r="B20" s="3523" t="s">
        <v>960</v>
      </c>
      <c r="C20" s="3522"/>
    </row>
    <row r="21" spans="1:3" ht="13.5">
      <c r="A21" s="1531" t="s">
        <v>961</v>
      </c>
      <c r="B21" s="1532"/>
      <c r="C21" s="1533"/>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0" t="s">
        <v>967</v>
      </c>
    </row>
    <row r="26" spans="1:3" ht="13.5">
      <c r="A26" s="3525"/>
      <c r="B26" s="3524"/>
      <c r="C26" s="1530" t="s">
        <v>968</v>
      </c>
    </row>
    <row r="27" spans="1:3" ht="13.5">
      <c r="A27" s="3525"/>
      <c r="B27" s="3524"/>
      <c r="C27" s="1530" t="s">
        <v>969</v>
      </c>
    </row>
    <row r="28" spans="1:3" ht="13.5">
      <c r="A28" s="3525"/>
      <c r="B28" s="3524"/>
      <c r="C28" s="1530" t="s">
        <v>970</v>
      </c>
    </row>
    <row r="29" spans="1:3" ht="13.5">
      <c r="A29" s="3525"/>
      <c r="B29" s="3524"/>
      <c r="C29" s="1530" t="s">
        <v>971</v>
      </c>
    </row>
    <row r="30" spans="1:3" ht="13.5">
      <c r="A30" s="3525"/>
      <c r="B30" s="3524"/>
      <c r="C30" s="1530" t="s">
        <v>972</v>
      </c>
    </row>
    <row r="31" spans="1:3" ht="13.5">
      <c r="A31" s="3525"/>
      <c r="B31" s="3524"/>
      <c r="C31" s="1530" t="s">
        <v>973</v>
      </c>
    </row>
    <row r="32" spans="1:3" ht="13.5">
      <c r="A32" s="3525"/>
      <c r="B32" s="3524"/>
      <c r="C32" s="1530" t="s">
        <v>974</v>
      </c>
    </row>
    <row r="33" spans="1:3" ht="13.5">
      <c r="A33" s="3525"/>
      <c r="B33" s="352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45341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29" t="s">
        <v>2159</v>
      </c>
      <c r="B17" s="3529"/>
      <c r="C17" s="3529"/>
      <c r="D17" s="3529"/>
      <c r="E17" s="3529"/>
      <c r="F17" s="3529"/>
      <c r="G17" s="3529"/>
      <c r="H17" s="3529"/>
    </row>
    <row r="18" spans="1:8" ht="24" customHeight="1">
      <c r="A18" s="3530" t="s">
        <v>2160</v>
      </c>
      <c r="B18" s="3530"/>
      <c r="C18" s="3530"/>
      <c r="D18" s="2341"/>
      <c r="E18" s="3531" t="s">
        <v>2161</v>
      </c>
      <c r="F18" s="3530"/>
      <c r="G18" s="353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品牌清单</vt:lpstr>
      <vt:lpstr>2023年出租率+营业额</vt:lpstr>
      <vt:lpstr>收入台账</vt:lpstr>
      <vt:lpstr>面积指标</vt:lpstr>
      <vt:lpstr>Sheet0</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2024-02-19T03:10:23Z</dcterms:modified>
</cp:coreProperties>
</file>