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70" yWindow="165" windowWidth="14430" windowHeight="123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Y6" i="1"/>
  <c r="N6" i="1"/>
  <c r="I33" i="37"/>
  <c r="G33" i="37"/>
  <c r="E33" i="37"/>
  <c r="D3" i="4" l="1"/>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9" i="76"/>
  <c r="F7" i="73"/>
  <c r="F20" i="31"/>
  <c r="E2" i="69"/>
  <c r="F6" i="67"/>
  <c r="M6" i="15"/>
  <c r="E8" i="76"/>
  <c r="M29" i="15"/>
  <c r="E7" i="76"/>
  <c r="E9" i="76"/>
  <c r="F8" i="15"/>
  <c r="F40" i="15"/>
  <c r="F6" i="15"/>
  <c r="M22" i="67"/>
  <c r="F26" i="67"/>
  <c r="M23" i="15"/>
  <c r="F26" i="15"/>
  <c r="D4" i="73"/>
  <c r="F38" i="15"/>
  <c r="B10" i="76"/>
  <c r="M8" i="67"/>
  <c r="M28" i="15"/>
  <c r="M26" i="15"/>
  <c r="M9" i="15"/>
  <c r="M26" i="67"/>
  <c r="F5" i="73"/>
  <c r="J15" i="67"/>
  <c r="F36" i="67"/>
  <c r="E12" i="76"/>
  <c r="F37" i="67"/>
  <c r="L47" i="15"/>
  <c r="B12" i="76"/>
  <c r="F6" i="73"/>
  <c r="F38" i="67"/>
  <c r="M24" i="15"/>
  <c r="C76" i="15"/>
  <c r="J15" i="15"/>
  <c r="B11" i="76"/>
  <c r="C76" i="67"/>
  <c r="F8" i="67"/>
  <c r="L48" i="15"/>
  <c r="B7" i="76"/>
  <c r="F16" i="67"/>
  <c r="M29" i="67"/>
  <c r="F40" i="67"/>
  <c r="F42" i="67"/>
  <c r="E10" i="76"/>
  <c r="F16" i="15"/>
  <c r="M9" i="67"/>
  <c r="F37" i="15"/>
  <c r="F9" i="67"/>
  <c r="D3" i="73"/>
  <c r="F36" i="15"/>
  <c r="F13" i="15"/>
  <c r="AO13" i="1"/>
  <c r="D6" i="73"/>
  <c r="E2" i="68"/>
  <c r="F7" i="15"/>
  <c r="E13" i="76"/>
  <c r="F7" i="67"/>
  <c r="M24" i="67"/>
  <c r="D7" i="73"/>
  <c r="F4" i="73"/>
  <c r="L47" i="67"/>
  <c r="B8" i="76"/>
  <c r="E11" i="76"/>
  <c r="M22" i="15"/>
  <c r="F43" i="15"/>
  <c r="M6" i="67"/>
  <c r="F9" i="15"/>
  <c r="L48" i="67"/>
  <c r="F13" i="67"/>
  <c r="F43" i="67"/>
  <c r="M28" i="67"/>
  <c r="F42" i="15"/>
  <c r="M23" i="67"/>
  <c r="F3" i="73"/>
  <c r="B13" i="76"/>
  <c r="M8" i="15"/>
  <c r="C28" i="67" l="1"/>
  <c r="C21" i="68"/>
  <c r="C40" i="69"/>
  <c r="W25" i="37"/>
  <c r="U30" i="37"/>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K16" i="1" l="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5"/>
  <c r="D2" i="34"/>
  <c r="D2" i="36"/>
  <c r="D2" i="37"/>
  <c r="D102" i="9" l="1"/>
  <c r="D21" i="9"/>
  <c r="Q57" i="67"/>
  <c r="Q62" i="67" s="1"/>
  <c r="Q66" i="67"/>
  <c r="Q75" i="67" s="1"/>
  <c r="B3" i="67"/>
  <c r="L57" i="15"/>
  <c r="L60" i="15" s="1"/>
  <c r="Q57" i="15" s="1"/>
  <c r="Q67" i="15"/>
  <c r="B2" i="36"/>
  <c r="B3" i="36" s="1"/>
  <c r="B2" i="35"/>
  <c r="B3" i="35" s="1"/>
  <c r="M3" i="35"/>
  <c r="B2" i="37"/>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19" i="9"/>
  <c r="D20" i="9"/>
  <c r="AO11" i="1"/>
  <c r="AO6" i="1"/>
  <c r="AO8" i="1"/>
  <c r="AO9" i="1"/>
  <c r="AO12" i="1"/>
  <c r="AO10" i="1"/>
  <c r="AO7" i="1"/>
  <c r="C102" i="9" l="1"/>
  <c r="C21" i="9"/>
  <c r="G19" i="9"/>
  <c r="G21" i="9" s="1"/>
  <c r="D22" i="9"/>
  <c r="B3" i="37"/>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G118" i="9"/>
  <c r="H4" i="52" l="1"/>
  <c r="D14" i="74"/>
  <c r="G14" i="74" s="1"/>
  <c r="B6" i="74" s="1"/>
  <c r="D6" i="74" s="1"/>
  <c r="C104" i="9"/>
  <c r="H119" i="9"/>
  <c r="H5" i="52" s="1"/>
  <c r="G4" i="52"/>
  <c r="B52" i="72" s="1"/>
  <c r="F118" i="9"/>
  <c r="H101" i="9"/>
  <c r="H107" i="9" s="1"/>
  <c r="D45" i="9"/>
  <c r="I4" i="52"/>
  <c r="E118" i="9"/>
  <c r="C105" i="9"/>
  <c r="H102" i="9"/>
  <c r="E14" i="74" l="1"/>
  <c r="F14" i="74"/>
  <c r="B5" i="74"/>
  <c r="D5" i="74" s="1"/>
  <c r="M48" i="9"/>
  <c r="E4" i="52"/>
  <c r="B48" i="72" s="1"/>
  <c r="D118" i="9"/>
  <c r="D5" i="53"/>
  <c r="B20" i="72" s="1"/>
  <c r="F119" i="9"/>
  <c r="F5" i="52" s="1"/>
  <c r="B53" i="72" s="1"/>
  <c r="F4" i="52"/>
  <c r="B51" i="72" s="1"/>
  <c r="H108" i="9"/>
  <c r="D13" i="53"/>
  <c r="D122" i="9"/>
  <c r="M49" i="9"/>
  <c r="C5" i="74"/>
  <c r="D7" i="53"/>
  <c r="B21" i="72" s="1"/>
  <c r="D52" i="9"/>
  <c r="C78" i="9"/>
  <c r="C73" i="9" s="1"/>
  <c r="D53" i="9"/>
  <c r="C93" i="9"/>
  <c r="C86" i="9" s="1"/>
  <c r="C64" i="9"/>
  <c r="C63" i="9" s="1"/>
  <c r="C67" i="9" s="1"/>
  <c r="C85" i="9"/>
  <c r="D55" i="9"/>
  <c r="M53" i="9" s="1"/>
  <c r="C72" i="9"/>
  <c r="C79" i="9" s="1"/>
  <c r="D6" i="53" l="1"/>
  <c r="B22" i="72" s="1"/>
  <c r="C95" i="9"/>
  <c r="D4" i="52"/>
  <c r="B47" i="72" s="1"/>
  <c r="D119" i="9"/>
  <c r="D5" i="52" s="1"/>
  <c r="B49" i="72" s="1"/>
  <c r="C80" i="9"/>
  <c r="E80" i="9" s="1"/>
  <c r="E81" i="9" s="1"/>
  <c r="C96" i="9"/>
  <c r="E96" i="9" s="1"/>
  <c r="E97" i="9" s="1"/>
  <c r="L67" i="9"/>
  <c r="M67" i="9" s="1"/>
  <c r="L68" i="9"/>
  <c r="M68" i="9" s="1"/>
  <c r="L63" i="9"/>
  <c r="M63" i="9" s="1"/>
  <c r="L66" i="9"/>
  <c r="M66" i="9" s="1"/>
  <c r="L65" i="9"/>
  <c r="M65" i="9" s="1"/>
  <c r="L64" i="9"/>
  <c r="M64" i="9" s="1"/>
  <c r="B30" i="72"/>
  <c r="D14" i="53"/>
  <c r="B32" i="72" s="1"/>
  <c r="C68" i="9"/>
  <c r="D54" i="9" s="1"/>
  <c r="D59" i="9"/>
  <c r="M55" i="9" s="1"/>
  <c r="D8" i="52"/>
  <c r="D123" i="9"/>
  <c r="D9" i="52" s="1"/>
  <c r="C6" i="74"/>
  <c r="D15" i="53"/>
  <c r="B31" i="72" s="1"/>
  <c r="M69" i="9" l="1"/>
  <c r="N69" i="9" s="1"/>
  <c r="C97" i="9"/>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<sst xmlns="http://schemas.openxmlformats.org/spreadsheetml/2006/main" count="7797" uniqueCount="3403">
  <si>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</si>
  <si>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</si>
  <si>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</si>
  <si>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</si>
  <si>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</si>
  <si>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</si>
  <si>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</si>
  <si>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</si>
  <si>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</si>
  <si>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</si>
  <si>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</si>
  <si>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</si>
  <si>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</si>
  <si>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</si>
  <si>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</si>
  <si>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</si>
  <si>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</si>
  <si>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</si>
  <si>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</si>
  <si>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</si>
  <si>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</si>
  <si>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</si>
  <si>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</si>
  <si>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</si>
  <si>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</si>
  <si>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</si>
  <si>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</si>
  <si>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</si>
  <si>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</si>
  <si>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</si>
  <si>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</si>
  <si>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</si>
  <si>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</si>
  <si>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</si>
  <si>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</si>
  <si>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</si>
  <si>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</si>
  <si>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</si>
  <si>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</si>
  <si>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</si>
  <si>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</si>
  <si>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</si>
  <si>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</si>
  <si>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</si>
  <si>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</si>
  <si>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</si>
  <si>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</si>
  <si>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</si>
  <si>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</si>
  <si>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</si>
  <si>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</si>
  <si>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</si>
  <si>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</si>
  <si>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</si>
  <si>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</si>
  <si>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</si>
  <si>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</si>
  <si>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</si>
  <si>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</si>
  <si>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</si>
  <si>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</si>
  <si>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</si>
  <si>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</si>
  <si>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</si>
  <si>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</si>
  <si>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</si>
  <si>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</si>
  <si>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</si>
  <si>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</si>
  <si>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</si>
  <si>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</si>
  <si>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</si>
  <si>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</si>
  <si>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</si>
  <si>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</si>
  <si>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</si>
  <si>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</si>
  <si>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</si>
  <si>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</si>
  <si>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</si>
  <si>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</si>
  <si>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</si>
  <si>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</si>
  <si>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</si>
  <si>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</si>
  <si>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</si>
  <si>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</si>
  <si>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</si>
  <si>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</si>
  <si>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</si>
  <si>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</si>
  <si>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</si>
  <si>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</si>
  <si>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</si>
  <si>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</si>
  <si>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</si>
  <si>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</si>
  <si>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</si>
  <si>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</si>
  <si>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</si>
  <si>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</si>
  <si>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</si>
  <si>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</si>
  <si>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</si>
  <si>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</si>
  <si>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</si>
  <si>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</si>
  <si>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</si>
  <si>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</si>
  <si>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</si>
  <si>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</si>
  <si>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</si>
  <si>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</si>
  <si>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</si>
  <si>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</si>
  <si>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</si>
  <si>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</si>
  <si>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</si>
  <si>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</si>
  <si>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</si>
  <si>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</si>
  <si>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</si>
  <si>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</si>
  <si>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</si>
  <si>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</si>
  <si>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</si>
  <si>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</si>
  <si>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</si>
  <si>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</si>
  <si>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</si>
  <si>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</si>
  <si>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</si>
  <si>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</si>
  <si>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</si>
  <si>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</si>
  <si>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</si>
  <si>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</si>
  <si>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</si>
  <si>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</si>
  <si>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</si>
  <si>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</si>
  <si>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</si>
  <si>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</si>
  <si>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</si>
  <si>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</si>
  <si>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</si>
  <si>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</si>
  <si>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</si>
  <si>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</si>
  <si>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</si>
  <si>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</si>
  <si>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</si>
  <si>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</si>
  <si>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</si>
  <si>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</si>
  <si>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</si>
  <si>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</si>
  <si>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</si>
  <si>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</si>
  <si>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</si>
  <si>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</si>
  <si>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</si>
  <si>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</si>
  <si>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</si>
  <si>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</si>
  <si>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</si>
  <si>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</si>
  <si>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</si>
  <si>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</si>
  <si>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</si>
  <si>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</si>
  <si>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</si>
  <si>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</si>
  <si>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</si>
  <si>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</si>
  <si>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</si>
  <si>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</si>
  <si>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</si>
  <si>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</si>
  <si>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</si>
  <si>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</si>
  <si>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</si>
  <si>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</si>
  <si>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</si>
  <si>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</si>
  <si>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</si>
  <si>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</si>
  <si>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</si>
  <si>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</si>
  <si>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</si>
  <si>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</si>
  <si>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</si>
  <si>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</si>
  <si>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</si>
  <si>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</si>
  <si>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</si>
  <si>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</si>
  <si>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</si>
  <si>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</si>
  <si>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</si>
  <si>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</si>
  <si>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</si>
  <si>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</si>
  <si>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</si>
  <si>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</si>
  <si>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</si>
  <si>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</si>
  <si>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</si>
  <si>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</si>
  <si>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</si>
  <si>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</si>
  <si>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</si>
  <si>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</si>
  <si>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</si>
  <si>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</si>
  <si>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</si>
  <si>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</si>
  <si>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</si>
  <si>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</si>
  <si>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</si>
  <si>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</si>
  <si>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</si>
  <si>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</si>
  <si>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</si>
  <si>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</si>
  <si>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</si>
  <si>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</si>
  <si>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</si>
  <si>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</si>
  <si>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</si>
  <si>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</si>
  <si>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</si>
  <si>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</si>
  <si>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</si>
  <si>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</si>
  <si>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</si>
  <si>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</si>
  <si>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</si>
  <si>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</si>
  <si>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</si>
  <si>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</si>
  <si>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</si>
  <si>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</si>
  <si>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</si>
  <si>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</si>
  <si>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</si>
  <si>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</si>
  <si>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</si>
  <si>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</si>
  <si>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</si>
  <si>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</si>
  <si>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</si>
  <si>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</si>
  <si>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</si>
  <si>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</si>
  <si>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</si>
  <si>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</si>
  <si>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</si>
  <si>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</si>
  <si>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</si>
  <si>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</si>
  <si>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</si>
  <si>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</si>
  <si>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</si>
  <si>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</si>
  <si>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</si>
  <si>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</si>
  <si>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</si>
  <si>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</si>
  <si>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</si>
  <si>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</si>
  <si>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</si>
  <si>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</si>
  <si>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</si>
  <si>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</si>
  <si>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</si>
  <si>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</si>
  <si>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</si>
  <si>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</si>
  <si>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</si>
  <si>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</si>
  <si>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</si>
  <si>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</si>
  <si>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</si>
  <si>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</si>
  <si>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</si>
  <si>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</si>
  <si>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</si>
  <si>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</si>
  <si>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</si>
  <si>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</si>
  <si>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</si>
  <si>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</si>
  <si>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</si>
  <si>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</si>
  <si>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</si>
  <si>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</si>
  <si>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</si>
  <si>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</si>
  <si>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</si>
  <si>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</si>
  <si>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</si>
  <si>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</si>
  <si>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</si>
  <si>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</si>
  <si>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</si>
  <si>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</si>
  <si>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</si>
  <si>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</si>
  <si>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</si>
  <si>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</si>
  <si>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</si>
  <si>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</si>
  <si>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</si>
  <si>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</si>
  <si>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</si>
  <si>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</si>
  <si>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</si>
  <si>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</si>
  <si>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</si>
  <si>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</si>
  <si>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</si>
  <si>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</si>
  <si>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</si>
  <si>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</si>
  <si>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</si>
  <si>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</si>
  <si>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</si>
  <si>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</si>
  <si>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</si>
  <si>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</si>
  <si>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</si>
  <si>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</si>
  <si>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</si>
  <si>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</si>
  <si>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</si>
  <si>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</si>
  <si>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</si>
  <si>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</si>
  <si>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</si>
  <si>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</si>
  <si>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</si>
  <si>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</si>
  <si>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</si>
  <si>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</si>
  <si>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</si>
  <si>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</si>
  <si>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</si>
  <si>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</si>
  <si>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</si>
  <si>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</si>
  <si>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</si>
  <si>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</si>
  <si>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</si>
  <si>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</si>
  <si>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</si>
  <si>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</si>
  <si>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</si>
  <si>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</si>
  <si>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</si>
  <si>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</si>
  <si>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</si>
  <si>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</si>
  <si>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</si>
  <si>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</si>
  <si>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</si>
  <si>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</si>
  <si>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</si>
  <si>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</si>
  <si>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</si>
  <si>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</si>
  <si>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</si>
  <si>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</si>
  <si>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</si>
  <si>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</si>
  <si>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</si>
  <si>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</si>
  <si>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</si>
  <si>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</si>
  <si>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</si>
  <si>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</si>
  <si>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</si>
  <si>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</si>
  <si>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</si>
  <si>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</si>
  <si>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</si>
  <si>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</si>
  <si>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</si>
  <si>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</si>
  <si>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</si>
  <si>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</si>
  <si>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</si>
  <si>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</si>
  <si>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</si>
  <si>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</si>
  <si>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</si>
  <si>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</si>
  <si>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</si>
  <si>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</si>
  <si>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</si>
  <si>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</si>
  <si>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</si>
  <si>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</si>
  <si>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</si>
  <si>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</si>
  <si>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</si>
  <si>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</si>
  <si>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</si>
  <si>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</si>
  <si>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</si>
  <si>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</si>
  <si>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</si>
  <si>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</si>
  <si>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</si>
  <si>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</si>
  <si>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</si>
  <si>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</si>
  <si>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</si>
  <si>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</si>
  <si>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</si>
  <si>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</si>
  <si>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</si>
  <si>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</si>
  <si>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</si>
  <si>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</si>
  <si>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</si>
  <si>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</si>
  <si>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</si>
  <si>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</si>
  <si>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</si>
  <si>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</si>
  <si>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</si>
  <si>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</si>
  <si>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</si>
  <si>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</si>
  <si>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</si>
  <si>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</si>
  <si>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</si>
  <si>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</si>
  <si>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</si>
  <si>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</si>
  <si>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</si>
  <si>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</si>
  <si>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</si>
  <si>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</si>
  <si>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</si>
  <si>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</si>
  <si>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</si>
  <si>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</si>
  <si>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</si>
  <si>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</si>
  <si>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</si>
  <si>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</si>
  <si>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</si>
  <si>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</si>
  <si>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</si>
  <si>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</si>
  <si>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</si>
  <si>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</si>
  <si>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</si>
  <si>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</si>
  <si>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</si>
  <si>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</si>
  <si>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</si>
  <si>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</si>
  <si>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</si>
  <si>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</si>
  <si>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</si>
  <si>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</si>
  <si>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</si>
  <si>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</si>
  <si>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</si>
  <si>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</si>
  <si>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</si>
  <si>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</si>
  <si>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</si>
  <si>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</si>
  <si>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</si>
  <si>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</si>
  <si>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</si>
  <si>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</si>
  <si>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</si>
  <si>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</si>
  <si>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</si>
  <si>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</si>
  <si>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</si>
  <si>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</si>
  <si>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</si>
  <si>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</si>
  <si>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</si>
  <si>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</si>
  <si>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</si>
  <si>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</si>
  <si>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</si>
  <si>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</si>
  <si>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</si>
  <si>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</si>
  <si>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</si>
  <si>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</si>
  <si>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</si>
  <si>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</si>
  <si>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</si>
  <si>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</si>
  <si>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</si>
  <si>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</si>
  <si>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</si>
  <si>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</si>
  <si>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</si>
  <si>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</si>
  <si>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</si>
  <si>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</si>
  <si>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</si>
  <si>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</si>
  <si>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</si>
  <si>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</si>
  <si>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</si>
  <si>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</si>
  <si>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</si>
  <si>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</si>
  <si>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</si>
  <si>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</si>
  <si>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</si>
  <si>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</si>
  <si>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</si>
  <si>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</si>
  <si>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</si>
  <si>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</si>
  <si>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</si>
  <si>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</si>
  <si>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</si>
  <si>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</si>
  <si>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</si>
  <si>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</si>
  <si>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</si>
  <si>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</si>
  <si>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</si>
  <si>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</si>
  <si>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</si>
  <si>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</si>
  <si>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</si>
  <si>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</si>
  <si>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</si>
  <si>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</si>
  <si>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</si>
  <si>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</si>
  <si>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</si>
  <si>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</si>
  <si>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</si>
  <si>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</si>
  <si>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</si>
  <si>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</si>
  <si>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</si>
  <si>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</si>
  <si>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</si>
  <si>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</si>
  <si>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</si>
  <si>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</si>
  <si>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</si>
  <si>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</si>
  <si>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</si>
  <si>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</si>
  <si>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</si>
  <si>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</si>
  <si>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</si>
  <si>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</si>
  <si>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</si>
  <si>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</si>
  <si>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</si>
  <si>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</si>
  <si>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</si>
  <si>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</si>
  <si>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</si>
  <si>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</si>
  <si>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</si>
  <si>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</si>
  <si>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</si>
  <si>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</si>
  <si>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</si>
  <si>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</si>
  <si>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</si>
  <si>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</si>
  <si>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</si>
  <si>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</si>
  <si>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</si>
  <si>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</si>
  <si>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</si>
  <si>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</si>
  <si>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</si>
  <si>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</si>
  <si>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</si>
  <si>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</si>
  <si>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</si>
  <si>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</si>
  <si>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</si>
  <si>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</si>
  <si>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</si>
  <si>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</si>
  <si>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</si>
  <si>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</si>
  <si>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</si>
  <si>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</si>
  <si>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</si>
  <si>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</si>
  <si>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</si>
  <si>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</si>
  <si>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</si>
  <si>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</si>
  <si>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</si>
  <si>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</si>
  <si>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</si>
  <si>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</si>
  <si>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</si>
  <si>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</si>
  <si>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</si>
  <si>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</si>
  <si>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</si>
  <si>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</si>
  <si>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</si>
  <si>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</si>
  <si>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</si>
  <si>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</si>
  <si>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</si>
  <si>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</si>
  <si>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</si>
  <si>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</si>
  <si>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</si>
  <si>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</si>
  <si>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</si>
  <si>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</si>
  <si>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</si>
  <si>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</si>
  <si>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</si>
  <si>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</si>
  <si>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</si>
  <si>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</si>
  <si>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</si>
  <si>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</si>
  <si>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</si>
  <si>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</si>
  <si>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</si>
  <si>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</si>
  <si>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</si>
  <si>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</si>
  <si>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</si>
  <si>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</si>
  <si>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</si>
  <si>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</si>
  <si>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</si>
  <si>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</si>
  <si>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</si>
  <si>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</si>
  <si>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</si>
  <si>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</si>
  <si>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</si>
  <si>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</si>
  <si>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</si>
  <si>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</si>
  <si>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</si>
  <si>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</si>
  <si>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</si>
  <si>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</si>
  <si>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</si>
  <si>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</si>
  <si>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</si>
  <si>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</si>
  <si>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</si>
  <si>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</si>
  <si>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</si>
  <si>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</si>
  <si>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</si>
  <si>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</si>
  <si>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</si>
  <si>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</si>
  <si>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</si>
  <si>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</si>
  <si>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</si>
  <si>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</si>
  <si>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</si>
  <si>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</si>
  <si>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</si>
  <si>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</si>
  <si>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</si>
  <si>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</si>
  <si>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</si>
  <si>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</si>
  <si>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</si>
  <si>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</si>
  <si>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</si>
  <si>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</si>
  <si>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</si>
  <si>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</si>
  <si>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</si>
  <si>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</si>
  <si>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</si>
  <si>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</si>
  <si>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</si>
  <si>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</si>
  <si>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</si>
  <si>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</si>
  <si>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</si>
  <si>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</si>
  <si>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</si>
  <si>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</si>
  <si>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</si>
  <si>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</si>
  <si>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</si>
  <si>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</si>
  <si>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</si>
  <si>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</si>
  <si>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</si>
  <si>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</si>
  <si>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</si>
  <si>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</si>
  <si>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</si>
  <si>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</si>
  <si>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</si>
  <si>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</si>
  <si>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</si>
  <si>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</si>
  <si>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</si>
  <si>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</si>
  <si>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</si>
  <si>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</si>
  <si>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</si>
  <si>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</si>
  <si>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</si>
  <si>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</si>
  <si>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</si>
  <si>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</si>
  <si>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</si>
  <si>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</si>
  <si>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</si>
  <si>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</si>
  <si>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</si>
  <si>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</si>
  <si>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</si>
  <si>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</si>
  <si>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</si>
  <si>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</si>
  <si>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</si>
  <si>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</si>
  <si>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</si>
  <si>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</si>
  <si>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</si>
  <si>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</si>
  <si>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</si>
  <si>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</si>
  <si>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</si>
  <si>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</si>
  <si>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</si>
  <si>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</si>
  <si>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</si>
  <si>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</si>
  <si>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</si>
  <si>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</si>
  <si>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</si>
  <si>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</si>
  <si>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</si>
  <si>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</si>
  <si>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</si>
  <si>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</si>
  <si>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</si>
  <si>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</si>
  <si>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</si>
  <si>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</si>
  <si>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</si>
  <si>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</si>
  <si>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</si>
  <si>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</si>
  <si>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</si>
  <si>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</si>
  <si>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</si>
  <si>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</si>
  <si>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</si>
  <si>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</si>
  <si>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</si>
  <si>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</si>
  <si>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</si>
  <si>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</si>
  <si>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</si>
  <si>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</si>
  <si>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</si>
  <si>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</si>
  <si>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</si>
  <si>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</si>
  <si>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</si>
  <si>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</si>
  <si>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</si>
  <si>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</si>
  <si>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</si>
  <si>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</si>
  <si>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</si>
  <si>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</si>
  <si>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</si>
  <si>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</si>
  <si>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</si>
  <si>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</si>
  <si>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</si>
  <si>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</si>
  <si>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</si>
  <si>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</si>
  <si>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</si>
  <si>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</si>
  <si>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</si>
  <si>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</si>
  <si>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</si>
  <si>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</si>
  <si>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</si>
  <si>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</si>
  <si>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</si>
  <si>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</si>
  <si>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</si>
  <si>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</si>
  <si>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</si>
  <si>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</si>
  <si>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</si>
  <si>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</si>
  <si>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</si>
  <si>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</si>
  <si>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</si>
  <si>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</si>
  <si>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</si>
  <si>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</si>
  <si>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</si>
  <si>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</si>
  <si>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</si>
  <si>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</si>
  <si>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</si>
  <si>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</si>
  <si>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</si>
  <si>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</si>
  <si>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</si>
  <si>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</si>
  <si>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</si>
  <si>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</si>
  <si>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</si>
  <si>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</si>
  <si>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</si>
  <si>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</si>
  <si>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</si>
  <si>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</si>
  <si>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</si>
  <si>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</si>
  <si>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</si>
  <si>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</si>
  <si>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</si>
  <si>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</si>
  <si>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</si>
  <si>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</si>
  <si>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</si>
  <si>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</si>
  <si>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</si>
  <si>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</si>
  <si>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</si>
  <si>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</si>
  <si>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</si>
  <si>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</si>
  <si>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</si>
  <si>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</si>
  <si>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</si>
  <si>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</si>
  <si>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</si>
  <si>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</si>
  <si>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</si>
  <si>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</si>
  <si>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</si>
  <si>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</si>
  <si>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</si>
  <si>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</si>
  <si>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</si>
  <si>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</si>
  <si>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</si>
  <si>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</si>
  <si>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</si>
  <si>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</si>
  <si>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</si>
  <si>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</si>
  <si>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</si>
  <si>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</si>
  <si>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</si>
  <si>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</si>
  <si>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</si>
  <si>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</si>
  <si>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</si>
  <si>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</si>
  <si>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</si>
  <si>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</si>
  <si>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</si>
  <si>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</si>
  <si>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</si>
  <si>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</si>
  <si>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</si>
  <si>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</si>
  <si>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</si>
  <si>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</si>
  <si>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</si>
  <si>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</si>
  <si>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</si>
  <si>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</si>
  <si>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</si>
  <si>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</si>
  <si>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</si>
  <si>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</si>
  <si>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</si>
  <si>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</si>
  <si>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</si>
  <si>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</si>
  <si>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</si>
  <si>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</si>
  <si>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</si>
  <si>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</si>
  <si>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</si>
  <si>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</si>
  <si>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</si>
  <si>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</si>
  <si>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</si>
  <si>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</si>
  <si>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</si>
  <si>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</si>
  <si>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</si>
  <si>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</si>
  <si>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</si>
  <si>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</si>
  <si>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</si>
  <si>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</si>
  <si>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</si>
  <si>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</si>
  <si>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</si>
  <si>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</si>
  <si>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</si>
  <si>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</si>
  <si>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</si>
  <si>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</si>
  <si>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</si>
  <si>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</si>
  <si>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</si>
  <si>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</si>
  <si>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</si>
  <si>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</si>
  <si>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</si>
  <si>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</si>
  <si>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</si>
  <si>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</si>
  <si>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</si>
  <si>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</si>
  <si>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</si>
  <si>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</si>
  <si>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</si>
  <si>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</si>
  <si>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</si>
  <si>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</si>
  <si>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</si>
  <si>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</si>
  <si>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</si>
  <si>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</si>
  <si>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</si>
  <si>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</si>
  <si>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</si>
  <si>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</si>
  <si>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</si>
  <si>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</si>
  <si>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</si>
  <si>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</si>
  <si>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</si>
  <si>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</si>
  <si>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</si>
  <si>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</si>
  <si>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</si>
  <si>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</si>
  <si>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</si>
  <si>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</si>
  <si>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</si>
  <si>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</si>
  <si>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</si>
  <si>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</si>
  <si>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</si>
  <si>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</si>
  <si>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</si>
  <si>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</si>
  <si>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</si>
  <si>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</si>
  <si>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</si>
  <si>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</si>
  <si>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</si>
  <si>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</si>
  <si>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</si>
  <si>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</si>
  <si>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</si>
  <si>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</si>
  <si>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</si>
  <si>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</si>
  <si>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</si>
  <si>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</si>
  <si>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</si>
  <si>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</si>
  <si>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</si>
  <si>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</si>
  <si>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</si>
  <si>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</si>
  <si>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</si>
  <si>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</si>
  <si>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</si>
  <si>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</si>
  <si>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</si>
  <si>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</si>
  <si>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</si>
  <si>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</si>
  <si>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</si>
  <si>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</si>
  <si>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</si>
  <si>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</si>
  <si>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</si>
  <si>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</si>
  <si>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</si>
  <si>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</si>
  <si>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</si>
  <si>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</si>
  <si>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</si>
  <si>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</si>
  <si>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</si>
  <si>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</si>
  <si>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</si>
  <si>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</si>
  <si>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</si>
  <si>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</si>
  <si>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</si>
  <si>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</si>
  <si>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</si>
  <si>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</si>
  <si>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</si>
  <si>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</si>
  <si>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</si>
  <si>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</si>
  <si>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</si>
  <si>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</si>
  <si>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</si>
  <si>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</si>
  <si>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</si>
  <si>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</si>
  <si>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</si>
  <si>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</si>
  <si>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</si>
  <si>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</si>
  <si>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</si>
  <si>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</si>
  <si>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</si>
  <si>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</si>
  <si>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</si>
  <si>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</si>
  <si>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</si>
  <si>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</si>
  <si>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</si>
  <si>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</si>
  <si>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</si>
  <si>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</si>
  <si>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</si>
  <si>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</si>
  <si>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</si>
  <si>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</si>
  <si>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</si>
  <si>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</si>
  <si>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</si>
  <si>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</si>
  <si>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</si>
  <si>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</si>
  <si>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</si>
  <si>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</si>
  <si>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</si>
  <si>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</si>
  <si>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</si>
  <si>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</si>
  <si>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</si>
  <si>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</si>
  <si>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</si>
  <si>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</si>
  <si>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</si>
  <si>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</si>
  <si>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</si>
  <si>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</si>
  <si>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</si>
  <si>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</si>
  <si>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</si>
  <si>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</si>
  <si>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</si>
  <si>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</si>
  <si>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</si>
  <si>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</si>
  <si>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</si>
  <si>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</si>
  <si>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</si>
  <si>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</si>
  <si>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</si>
  <si>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</si>
  <si>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</si>
  <si>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</si>
  <si>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</si>
  <si>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</si>
  <si>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</si>
  <si>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</si>
  <si>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</si>
  <si>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</si>
  <si>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</si>
  <si>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</si>
  <si>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</si>
  <si>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</si>
  <si>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</si>
  <si>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</si>
  <si>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</si>
  <si>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</si>
  <si>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</si>
  <si>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</si>
  <si>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</si>
  <si>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</si>
  <si>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</si>
  <si>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</si>
  <si>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</si>
  <si>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</si>
  <si>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</si>
  <si>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</si>
  <si>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</si>
  <si>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</si>
  <si>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</si>
  <si>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</si>
  <si>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</si>
  <si>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</si>
  <si>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</si>
  <si>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</si>
  <si>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</si>
  <si>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</si>
  <si>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</si>
  <si>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</si>
  <si>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</si>
  <si>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</si>
  <si>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</si>
  <si>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</si>
  <si>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</si>
  <si>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</si>
  <si>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</si>
  <si>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</si>
  <si>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</si>
  <si>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</si>
  <si>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</si>
  <si>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</si>
  <si>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</si>
  <si>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</si>
  <si>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</si>
  <si>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</si>
  <si>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</si>
  <si>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</si>
  <si>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</si>
  <si>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</si>
  <si>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</si>
  <si>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</si>
  <si>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</si>
  <si>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</si>
  <si>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</si>
  <si>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</si>
  <si>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</si>
  <si>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</si>
  <si>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</si>
  <si>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</si>
  <si>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</si>
  <si>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</si>
  <si>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</si>
  <si>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</si>
  <si>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</si>
  <si>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</si>
  <si>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</si>
  <si>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</si>
  <si>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</si>
  <si>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</si>
  <si>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</si>
  <si>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</si>
  <si>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</si>
  <si>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</si>
  <si>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</si>
  <si>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</si>
  <si>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</si>
  <si>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</si>
  <si>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</si>
  <si>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</si>
  <si>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</si>
  <si>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</si>
  <si>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</si>
  <si>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</si>
  <si>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</si>
  <si>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</si>
  <si>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</si>
  <si>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</si>
  <si>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</si>
  <si>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</si>
  <si>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</si>
  <si>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</si>
  <si>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</si>
  <si>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</si>
  <si>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</si>
  <si>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</si>
  <si>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</si>
  <si>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</si>
  <si>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</si>
  <si>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</si>
  <si>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</si>
  <si>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</si>
  <si>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</si>
  <si>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</si>
  <si>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</si>
  <si>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</si>
  <si>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</si>
  <si>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</si>
  <si>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</si>
  <si>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</si>
  <si>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</si>
  <si>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</si>
  <si>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</si>
  <si>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</si>
  <si>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</si>
  <si>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</si>
  <si>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</si>
  <si>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</si>
  <si>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</si>
  <si>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</si>
  <si>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</si>
  <si>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</si>
  <si>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</si>
  <si>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</si>
  <si>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</si>
  <si>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</si>
  <si>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</si>
  <si>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</si>
  <si>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</si>
  <si>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</si>
  <si>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</si>
  <si>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</si>
  <si>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</si>
  <si>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</si>
  <si>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</si>
  <si>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</si>
  <si>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</si>
  <si>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</si>
  <si>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</si>
  <si>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</si>
  <si>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</si>
  <si>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</si>
  <si>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</si>
  <si>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</si>
  <si>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</si>
  <si>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</si>
  <si>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</si>
  <si>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</si>
  <si>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</si>
  <si>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</si>
  <si>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</si>
  <si>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</si>
  <si>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</si>
  <si>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</si>
  <si>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</si>
  <si>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</si>
  <si>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</si>
  <si>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</si>
  <si>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</si>
  <si>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</si>
  <si>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</si>
  <si>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</si>
  <si>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</si>
  <si>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</si>
  <si>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</si>
  <si>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</si>
  <si>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</si>
  <si>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</si>
  <si>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</si>
  <si>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</si>
  <si>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</si>
  <si>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</si>
  <si>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</si>
  <si>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</si>
  <si>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</si>
  <si>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</si>
  <si>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</si>
  <si>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</si>
  <si>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</si>
  <si>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</si>
  <si>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</si>
  <si>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</si>
  <si>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</si>
  <si>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</si>
  <si>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</si>
  <si>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</si>
  <si>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</si>
  <si>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</si>
  <si>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</si>
  <si>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</si>
  <si>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</si>
  <si>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</si>
  <si>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</si>
  <si>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</si>
  <si>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</si>
  <si>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</si>
  <si>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</si>
  <si>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</si>
  <si>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</si>
  <si>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</si>
  <si>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</si>
  <si>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</si>
  <si>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</si>
  <si>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</si>
  <si>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</si>
  <si>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</si>
  <si>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</si>
  <si>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</si>
  <si>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</si>
  <si>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</si>
  <si>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</si>
  <si>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</si>
  <si>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</si>
  <si>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</si>
  <si>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</si>
  <si>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</si>
  <si>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</si>
  <si>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</si>
  <si>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</si>
  <si>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</si>
  <si>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</si>
  <si>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</si>
  <si>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</si>
  <si>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</si>
  <si>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</si>
  <si>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</si>
  <si>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</si>
  <si>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</si>
  <si>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</si>
  <si>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</si>
  <si>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</si>
  <si>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</si>
  <si>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</si>
  <si>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</si>
  <si>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</si>
  <si>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</si>
  <si>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</si>
  <si>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</si>
  <si>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</si>
  <si>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</si>
  <si>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</si>
  <si>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</si>
  <si>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</si>
  <si>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</si>
  <si>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</si>
  <si>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</si>
  <si>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</si>
  <si>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</si>
  <si>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</si>
  <si>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</si>
  <si>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</si>
  <si>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</si>
  <si>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</si>
  <si>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</si>
  <si>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</si>
  <si>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</si>
  <si>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</si>
  <si>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</si>
  <si>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</si>
  <si>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</si>
  <si>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</si>
  <si>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</si>
  <si>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</si>
  <si>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</si>
  <si>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</si>
  <si>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</si>
  <si>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</si>
  <si>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</si>
  <si>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</si>
  <si>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</si>
  <si>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</si>
  <si>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</si>
  <si>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</si>
  <si>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</si>
  <si>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</si>
  <si>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</si>
  <si>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</si>
  <si>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</si>
  <si>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</si>
  <si>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</si>
  <si>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</si>
  <si>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</si>
  <si>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</si>
  <si>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</si>
  <si>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</si>
  <si>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</si>
  <si>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</si>
  <si>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</si>
  <si>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</si>
  <si>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</si>
  <si>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</si>
  <si>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</si>
  <si>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</si>
  <si>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</si>
  <si>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</si>
  <si>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</si>
  <si>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</si>
  <si>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</si>
  <si>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</si>
  <si>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</si>
  <si>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</si>
  <si>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</si>
  <si>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</si>
  <si>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</si>
  <si>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</si>
  <si>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</si>
  <si>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</si>
  <si>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</si>
  <si>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</si>
  <si>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</si>
  <si>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</si>
  <si>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</si>
  <si>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</si>
  <si>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</si>
  <si>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</si>
  <si>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</si>
  <si>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</si>
  <si>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</si>
  <si>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</si>
  <si>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</si>
  <si>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</si>
  <si>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</si>
  <si>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</si>
  <si>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</si>
  <si>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</si>
  <si>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</si>
  <si>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</si>
  <si>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</si>
  <si>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</si>
  <si>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</si>
  <si>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</si>
  <si>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</si>
  <si>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</si>
  <si>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</si>
  <si>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</si>
  <si>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</si>
  <si>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</si>
  <si>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</si>
  <si>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</si>
  <si>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</si>
  <si>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</si>
  <si>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</si>
  <si>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</si>
  <si>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</si>
  <si>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</si>
  <si>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</si>
  <si>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</si>
  <si>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</si>
  <si>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</si>
  <si>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</si>
  <si>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</si>
  <si>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</si>
  <si>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</si>
  <si>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</si>
  <si>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</si>
  <si>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</si>
  <si>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</si>
  <si>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</si>
  <si>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</si>
  <si>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</si>
  <si>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</si>
  <si>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</si>
  <si>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</si>
  <si>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</si>
  <si>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</si>
  <si>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</si>
  <si>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</si>
  <si>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</si>
  <si>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</si>
  <si>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</si>
  <si>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</si>
  <si>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</si>
  <si>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</si>
  <si>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</si>
  <si>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</si>
  <si>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</si>
  <si>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</si>
  <si>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</si>
  <si>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</si>
  <si>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</si>
  <si>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</si>
  <si>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</si>
  <si>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</si>
  <si>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</si>
  <si>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</si>
  <si>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</si>
  <si>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</si>
  <si>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</si>
  <si>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</si>
  <si>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</si>
  <si>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</si>
  <si>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</si>
  <si>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</si>
  <si>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</si>
  <si>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</si>
  <si>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</si>
  <si>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</si>
  <si>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</si>
  <si>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</si>
  <si>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</si>
  <si>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</si>
  <si>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</si>
  <si>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</si>
  <si>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</si>
  <si>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</si>
  <si>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</si>
  <si>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</si>
  <si>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</si>
  <si>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</si>
  <si>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</si>
  <si>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</si>
  <si>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</si>
  <si>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</si>
  <si>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</si>
  <si>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</si>
  <si>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</si>
  <si>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</si>
  <si>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</si>
  <si>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</si>
  <si>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</si>
  <si>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</si>
  <si>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</si>
  <si>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</si>
  <si>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</si>
  <si>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</si>
  <si>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</si>
  <si>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</si>
  <si>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</si>
  <si>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</si>
  <si>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</si>
  <si>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</si>
  <si>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</si>
  <si>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</si>
  <si>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</si>
  <si>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</si>
  <si>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</si>
  <si>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</si>
  <si>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</si>
  <si>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</si>
  <si>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</si>
  <si>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</si>
  <si>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</si>
  <si>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</si>
  <si>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</si>
  <si>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</si>
  <si>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</si>
  <si>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</si>
  <si>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</si>
  <si>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</si>
  <si>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</si>
  <si>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</si>
  <si>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</si>
  <si>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</si>
  <si>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</si>
  <si>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</si>
  <si>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</si>
  <si>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</si>
  <si>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</si>
  <si>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</si>
  <si>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</si>
  <si>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</si>
  <si>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</si>
  <si>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</si>
  <si>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</si>
  <si>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</si>
  <si>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</si>
  <si>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</si>
  <si>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</si>
  <si>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</si>
  <si>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</si>
  <si>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</si>
  <si>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</si>
  <si>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</si>
  <si>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</si>
  <si>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</si>
  <si>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</si>
  <si>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</si>
  <si>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</si>
  <si>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</si>
  <si>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</si>
  <si>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</si>
  <si>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</si>
  <si>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</si>
  <si>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</si>
  <si>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</si>
  <si>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</si>
  <si>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</si>
  <si>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</si>
  <si>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</si>
  <si>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</si>
  <si>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</si>
  <si>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</si>
  <si>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</si>
  <si>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</si>
  <si>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</si>
  <si>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</si>
  <si>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</si>
  <si>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</si>
  <si>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</si>
  <si>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</si>
  <si>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</si>
  <si>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</si>
  <si>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</si>
  <si>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</si>
  <si>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</si>
  <si>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</si>
  <si>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</si>
  <si>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</si>
  <si>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</si>
  <si>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</si>
  <si>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</si>
  <si>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</si>
  <si>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</si>
  <si>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</si>
  <si>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</si>
  <si>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</si>
  <si>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</si>
  <si>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</si>
  <si>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</si>
  <si>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</si>
  <si>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</si>
  <si>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</si>
  <si>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</si>
  <si>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</si>
  <si>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</si>
  <si>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</si>
  <si>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</si>
  <si>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</si>
  <si>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</si>
  <si>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</si>
  <si>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</si>
  <si>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</si>
  <si>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</si>
  <si>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</si>
  <si>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</si>
  <si>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</si>
  <si>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</si>
  <si>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</si>
  <si>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</si>
  <si>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</si>
  <si>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</si>
  <si>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</si>
  <si>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</si>
  <si>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</si>
  <si>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</si>
  <si>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</si>
  <si>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</si>
  <si>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</si>
  <si>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</si>
  <si>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</si>
  <si>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</si>
  <si>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</si>
  <si>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</si>
  <si>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</si>
  <si>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</si>
  <si>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</si>
  <si>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</si>
  <si>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</si>
  <si>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</si>
  <si>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</si>
  <si>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</si>
  <si>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</si>
  <si>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</si>
  <si>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</si>
  <si>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</si>
  <si>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</si>
  <si>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</si>
  <si>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</si>
  <si>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</si>
  <si>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</si>
  <si>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</si>
  <si>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</si>
  <si>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</si>
  <si>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</si>
  <si>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</si>
  <si>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</si>
  <si>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</si>
  <si>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</si>
  <si>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</si>
  <si>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</si>
  <si>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</si>
  <si>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</si>
  <si>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</si>
  <si>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</si>
  <si>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</si>
  <si>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</si>
  <si>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</si>
  <si>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</si>
  <si>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</si>
  <si>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</si>
  <si>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</si>
  <si>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</si>
  <si>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</si>
  <si>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</si>
  <si>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</si>
  <si>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</si>
  <si>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</si>
  <si>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</si>
  <si>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</si>
  <si>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</si>
  <si>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</si>
  <si>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</si>
  <si>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</si>
  <si>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</si>
  <si>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</si>
  <si>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</si>
  <si>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</si>
  <si>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</si>
  <si>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</si>
  <si>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</si>
  <si>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</si>
  <si>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</si>
  <si>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</si>
  <si>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</si>
  <si>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</si>
  <si>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</si>
  <si>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</si>
  <si>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</si>
  <si>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</si>
  <si>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</si>
  <si>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</si>
  <si>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</si>
  <si>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</si>
  <si>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</si>
  <si>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</si>
  <si>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</si>
  <si>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</si>
  <si>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</si>
  <si>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</si>
  <si>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</si>
  <si>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</si>
  <si>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</si>
  <si>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</si>
  <si>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</si>
  <si>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</si>
  <si>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</si>
  <si>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</si>
  <si>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</si>
  <si>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</si>
  <si>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</si>
  <si>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</si>
  <si>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</si>
  <si>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</si>
  <si>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</si>
  <si>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</si>
  <si>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</si>
  <si>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</si>
  <si>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</si>
  <si>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</si>
  <si>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</si>
  <si>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</si>
  <si>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</si>
  <si>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</si>
  <si>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</si>
  <si>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</si>
  <si>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</si>
  <si>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</si>
  <si>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</si>
  <si>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</si>
  <si>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</si>
  <si>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</si>
  <si>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</si>
  <si>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</si>
  <si>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</si>
  <si>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</si>
  <si>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</si>
  <si>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</si>
  <si>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</si>
  <si>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</si>
  <si>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</si>
  <si>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</si>
  <si>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</si>
  <si>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</si>
  <si>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</si>
  <si>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</si>
  <si>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</si>
  <si>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</si>
  <si>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</si>
  <si>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</si>
  <si>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</si>
  <si>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</si>
  <si>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</si>
  <si>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</si>
  <si>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</si>
  <si>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</si>
  <si>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</si>
  <si>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</si>
  <si>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</si>
  <si>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</si>
  <si>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</si>
  <si>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</si>
  <si>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</si>
  <si>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</si>
  <si>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</si>
  <si>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</si>
  <si>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</si>
  <si>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</si>
  <si>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</si>
  <si>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</si>
  <si>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</si>
  <si>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</si>
  <si>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</si>
  <si>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</si>
  <si>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</si>
  <si>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</si>
  <si>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</si>
  <si>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</si>
  <si>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</si>
  <si>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</si>
  <si>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</si>
  <si>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</si>
  <si>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</si>
  <si>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</si>
  <si>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</si>
  <si>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</si>
  <si>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</si>
  <si>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</si>
  <si>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</si>
  <si>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</si>
  <si>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</si>
  <si>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</si>
  <si>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</si>
  <si>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</si>
  <si>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</si>
  <si>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</si>
  <si>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</si>
  <si>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</si>
  <si>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</si>
  <si>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</si>
  <si>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</si>
  <si>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</si>
  <si>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</si>
  <si>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</si>
  <si>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</si>
  <si>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</si>
  <si>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</si>
  <si>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</si>
  <si>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</si>
  <si>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</si>
  <si>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</si>
  <si>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</si>
  <si>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</si>
  <si>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</si>
  <si>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</si>
  <si>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</si>
  <si>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</si>
  <si>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</si>
  <si>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</si>
  <si>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</si>
  <si>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</si>
  <si>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</si>
  <si>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</si>
  <si>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</si>
  <si>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</si>
  <si>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</si>
  <si>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</si>
  <si>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</si>
  <si>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</si>
  <si>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</si>
  <si>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</si>
  <si>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</si>
  <si>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</si>
  <si>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</si>
  <si>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</si>
  <si>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</si>
  <si>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</si>
  <si>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</si>
  <si>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</si>
  <si>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</si>
  <si>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</si>
  <si>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</si>
  <si>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</si>
  <si>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</si>
  <si>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</si>
  <si>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</si>
  <si>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</si>
  <si>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</si>
  <si>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</si>
  <si>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</si>
  <si>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</si>
  <si>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</si>
  <si>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</si>
  <si>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</si>
  <si>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</si>
  <si>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</si>
  <si>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</si>
  <si>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</si>
  <si>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</si>
  <si>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</si>
  <si>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</si>
  <si>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</si>
  <si>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</si>
  <si>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</si>
  <si>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</si>
  <si>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</si>
  <si>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</si>
  <si>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</si>
  <si>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</si>
  <si>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</si>
  <si>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</si>
  <si>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</si>
  <si>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</si>
  <si>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</si>
  <si>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</si>
  <si>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</si>
  <si>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</si>
  <si>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</si>
  <si>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</si>
  <si>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</si>
  <si>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</si>
  <si>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</si>
  <si>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</si>
  <si>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</si>
  <si>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</si>
  <si>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</si>
  <si>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</si>
  <si>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</si>
  <si>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</si>
  <si>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</si>
  <si>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</si>
  <si>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</si>
  <si>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</si>
  <si>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</si>
  <si>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</si>
  <si>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</si>
  <si>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</si>
  <si>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</si>
  <si>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</si>
  <si>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</si>
  <si>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</si>
  <si>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</si>
  <si>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</si>
  <si>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</si>
  <si>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</si>
  <si>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</si>
  <si>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</si>
  <si>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</si>
  <si>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</si>
  <si>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</si>
  <si>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</si>
  <si>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</si>
  <si>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</si>
  <si>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</si>
  <si>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</si>
  <si>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</si>
  <si>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</si>
  <si>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</si>
  <si>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</si>
  <si>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</si>
  <si>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</si>
  <si>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</si>
  <si>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</si>
  <si>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</si>
  <si>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</si>
  <si>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</si>
  <si>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</si>
  <si>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</si>
  <si>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</si>
  <si>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</si>
  <si>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</si>
  <si>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</si>
  <si>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</si>
  <si>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</si>
  <si>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</si>
  <si>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</si>
  <si>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</si>
  <si>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</si>
  <si>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</si>
  <si>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</si>
  <si>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</si>
  <si>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</si>
  <si>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</si>
  <si>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</si>
  <si>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</si>
  <si>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</si>
  <si>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</si>
  <si>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</si>
  <si>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</si>
  <si>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</si>
  <si>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</si>
  <si>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</si>
  <si>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</si>
  <si>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</si>
  <si>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</si>
  <si>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</si>
  <si>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</si>
  <si>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</si>
  <si>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</si>
  <si>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</si>
  <si>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</si>
  <si>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</si>
  <si>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</si>
  <si>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</si>
  <si>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</si>
  <si>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</si>
  <si>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</si>
  <si>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</si>
  <si>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</si>
  <si>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</si>
  <si>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</si>
  <si>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</si>
  <si>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</si>
  <si>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</si>
  <si>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</si>
  <si>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</si>
  <si>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</si>
  <si>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</si>
  <si>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</si>
  <si>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</si>
  <si>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</si>
  <si>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</si>
  <si>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</si>
  <si>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</si>
  <si>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</si>
  <si>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</si>
  <si>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</si>
  <si>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</si>
  <si>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</si>
  <si>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</si>
  <si>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</si>
  <si>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</si>
  <si>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</si>
  <si>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</si>
  <si>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</si>
  <si>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</si>
  <si>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</si>
  <si>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</si>
  <si>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</si>
  <si>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</si>
  <si>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</si>
  <si>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</si>
  <si>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</si>
  <si>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</si>
  <si>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</si>
  <si>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</si>
  <si>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</si>
  <si>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</si>
  <si>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</si>
  <si>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</si>
  <si>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</si>
  <si>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</si>
  <si>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</si>
  <si>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</si>
  <si>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</si>
  <si>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</si>
  <si>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</si>
  <si>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</si>
  <si>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</si>
  <si>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</si>
  <si>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</si>
  <si>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</si>
  <si>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</si>
  <si>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</si>
  <si>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</si>
  <si>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</si>
  <si>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</si>
  <si>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</si>
  <si>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</si>
  <si>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</si>
  <si>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</si>
  <si>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</si>
  <si>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</si>
  <si>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</si>
  <si>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</si>
  <si>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</si>
  <si>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</si>
  <si>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</si>
  <si>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</si>
  <si>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</si>
  <si>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</si>
  <si>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</si>
  <si>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</si>
  <si>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</si>
  <si>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</si>
  <si>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</si>
  <si>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</si>
  <si>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</si>
  <si>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</si>
  <si>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</si>
  <si>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</si>
  <si>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</si>
  <si>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</si>
  <si>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</si>
  <si>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</si>
  <si>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</si>
  <si>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</si>
  <si>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</si>
  <si>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</si>
  <si>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</si>
  <si>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</si>
  <si>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</si>
  <si>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</si>
  <si>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</si>
  <si>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</si>
  <si>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</si>
  <si>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</si>
  <si>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</si>
  <si>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</si>
  <si>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</si>
  <si>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</si>
  <si>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</si>
  <si>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</si>
  <si>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</si>
  <si>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</si>
  <si>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</si>
  <si>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</si>
  <si>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</si>
  <si>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</si>
  <si>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</si>
  <si>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</si>
  <si>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</si>
  <si>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</si>
  <si>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</si>
  <si>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</si>
  <si>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</si>
  <si>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</si>
  <si>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</si>
  <si>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</si>
  <si>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</si>
  <si>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</si>
  <si>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</si>
  <si>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</si>
  <si>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</si>
  <si>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</si>
  <si>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</si>
  <si>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</si>
  <si>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</si>
  <si>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</si>
  <si>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</si>
  <si>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</si>
  <si>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</si>
  <si>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</si>
  <si>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</si>
  <si>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</si>
  <si>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</si>
  <si>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</si>
  <si>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</si>
  <si>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</si>
  <si>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</si>
  <si>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</si>
  <si>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</si>
  <si>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</si>
  <si>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</si>
  <si>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</si>
  <si>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</si>
  <si>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</si>
  <si>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</si>
  <si>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</si>
  <si>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</si>
  <si>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</si>
  <si>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</si>
  <si>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</si>
  <si>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</si>
  <si>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</si>
  <si>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</si>
  <si>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</si>
  <si>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</si>
  <si>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</si>
  <si>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</si>
  <si>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</si>
  <si>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</si>
  <si>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</si>
  <si>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</si>
  <si>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</si>
  <si>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</si>
  <si>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</si>
  <si>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</si>
  <si>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</si>
  <si>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</si>
  <si>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</si>
  <si>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</si>
  <si>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</si>
  <si>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</si>
  <si>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</si>
  <si>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</si>
  <si>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</si>
  <si>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</si>
  <si>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</si>
  <si>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</si>
  <si>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</si>
  <si>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</si>
  <si>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</si>
  <si>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</si>
  <si>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</si>
  <si>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</si>
  <si>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</si>
  <si>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</si>
  <si>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</si>
  <si>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</si>
  <si>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</si>
  <si>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</si>
  <si>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</si>
  <si>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</si>
  <si>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</si>
  <si>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</si>
  <si>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</si>
  <si>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</si>
  <si>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</si>
  <si>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</si>
  <si>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</si>
  <si>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</si>
  <si>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</si>
  <si>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</si>
  <si>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</si>
  <si>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</si>
  <si>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</si>
  <si>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</si>
  <si>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</si>
  <si>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</si>
  <si>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</si>
  <si>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</si>
  <si>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</si>
  <si>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</si>
  <si>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</si>
  <si>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</si>
  <si>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</si>
  <si>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</si>
  <si>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</si>
  <si>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</si>
  <si>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</si>
  <si>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</si>
  <si>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</si>
  <si>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</si>
  <si>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</si>
  <si>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</si>
  <si>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</si>
  <si>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</si>
  <si>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</si>
  <si>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</si>
  <si>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</si>
  <si>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</si>
  <si>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</si>
  <si>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</si>
  <si>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</si>
  <si>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</si>
  <si>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</si>
  <si>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</si>
  <si>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</si>
  <si>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</si>
  <si>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</si>
  <si>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</si>
  <si>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</si>
  <si>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</si>
  <si>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</si>
  <si>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</si>
  <si>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</si>
  <si>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</si>
  <si>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</si>
  <si>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</si>
  <si>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</si>
  <si>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</si>
  <si>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</si>
  <si>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</si>
  <si>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</si>
  <si>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</si>
  <si>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</si>
  <si>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</si>
  <si>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</si>
  <si>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</si>
  <si>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</si>
  <si>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</si>
  <si>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</si>
  <si>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</si>
  <si>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</si>
  <si>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</si>
  <si>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</si>
  <si>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</si>
  <si>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</si>
  <si>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</si>
  <si>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</si>
  <si>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</si>
  <si>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</si>
  <si>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</si>
  <si>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</si>
  <si>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</si>
  <si>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</si>
  <si>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</si>
  <si>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</si>
  <si>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</si>
  <si>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</si>
  <si>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</si>
  <si>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</si>
  <si>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</si>
  <si>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</si>
  <si>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</si>
  <si>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</si>
  <si>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</si>
  <si>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</si>
  <si>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</si>
  <si>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</si>
  <si>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</si>
  <si>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</si>
  <si>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</si>
  <si>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</si>
  <si>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</si>
  <si>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</si>
  <si>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</si>
  <si>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</si>
  <si>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</si>
  <si>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</si>
  <si>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</si>
  <si>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</si>
  <si>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</si>
  <si>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</si>
  <si>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</si>
  <si>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</si>
  <si>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</si>
  <si>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</si>
  <si>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</si>
  <si>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</si>
  <si>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</si>
  <si>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</si>
  <si>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</si>
  <si>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</si>
  <si>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</si>
  <si>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</si>
  <si>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</si>
  <si>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</si>
  <si>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</si>
  <si>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</si>
  <si>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</si>
  <si>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</si>
  <si>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</si>
  <si>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</si>
  <si>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</si>
  <si>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</si>
  <si>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</si>
  <si>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</si>
  <si>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</si>
  <si>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</si>
  <si>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</si>
  <si>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</si>
  <si>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</si>
  <si>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</si>
  <si>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</si>
  <si>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</si>
  <si>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</si>
  <si>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</si>
  <si>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</si>
  <si>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</si>
  <si>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</si>
  <si>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</si>
  <si>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</si>
  <si>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</si>
  <si>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</si>
  <si>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</si>
  <si>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</si>
  <si>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</si>
  <si>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</si>
  <si>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</si>
  <si>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</si>
  <si>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</si>
  <si>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</si>
  <si>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</si>
  <si>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</si>
  <si>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</si>
  <si>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</si>
  <si>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</si>
  <si>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</si>
  <si>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</si>
  <si>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</si>
  <si>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</si>
  <si>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</si>
  <si>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</si>
  <si>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</si>
  <si>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</si>
  <si>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</si>
  <si>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</si>
  <si>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</si>
  <si>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</si>
  <si>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</si>
  <si>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</si>
  <si>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</si>
  <si>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</si>
  <si>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</si>
  <si>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</si>
  <si>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</si>
  <si>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</si>
  <si>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</si>
  <si>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</si>
  <si>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</si>
  <si>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</si>
  <si>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</si>
  <si>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</si>
  <si>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</si>
  <si>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</si>
  <si>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</si>
  <si>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</si>
  <si>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</si>
  <si>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</si>
  <si>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</si>
  <si>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</si>
  <si>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</si>
  <si>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</si>
  <si>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</si>
  <si>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</si>
  <si>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</si>
  <si>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</si>
  <si>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</si>
  <si>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</si>
  <si>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</si>
  <si>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</si>
  <si>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</si>
  <si>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</si>
  <si>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</si>
  <si>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</si>
  <si>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</si>
  <si>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</si>
  <si>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</si>
  <si>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</si>
  <si>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</si>
  <si>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</si>
  <si>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</si>
  <si>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</si>
  <si>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</si>
  <si>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</si>
  <si>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</si>
  <si>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</si>
  <si>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</si>
  <si>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</si>
  <si>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</si>
  <si>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</si>
  <si>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</si>
  <si>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</si>
  <si>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</si>
  <si>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</si>
  <si>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</si>
  <si>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</si>
  <si>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</si>
  <si>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</si>
  <si>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</si>
  <si>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</si>
  <si>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</si>
  <si>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</si>
  <si>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</si>
  <si>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</si>
  <si>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</si>
  <si>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</si>
  <si>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</si>
  <si>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</si>
  <si>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</si>
  <si>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</si>
  <si>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</si>
  <si>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</si>
  <si>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</si>
  <si>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</si>
  <si>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</si>
  <si>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</si>
  <si>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</si>
  <si>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</si>
  <si>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</si>
  <si>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</si>
  <si>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</si>
  <si>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</si>
  <si>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</si>
  <si>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</si>
  <si>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</si>
  <si>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</si>
  <si>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</si>
  <si>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</si>
  <si>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</si>
  <si>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</si>
  <si>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</si>
  <si>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</si>
  <si>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</si>
  <si>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</si>
  <si>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</si>
  <si>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</si>
  <si>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</si>
  <si>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</si>
  <si>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</si>
  <si>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</si>
  <si>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</si>
  <si>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</si>
  <si>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</si>
  <si>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</si>
  <si>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</si>
  <si>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</si>
  <si>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</si>
  <si>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</si>
  <si>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</si>
  <si>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</si>
  <si>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</si>
  <si>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</si>
  <si>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</si>
  <si>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</si>
  <si>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</si>
  <si>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</si>
  <si>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</si>
  <si>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</si>
  <si>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</si>
  <si>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</si>
  <si>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</si>
  <si>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</si>
  <si>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</si>
  <si>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</si>
  <si>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</si>
  <si>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</si>
  <si>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</si>
  <si>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</si>
  <si>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</si>
  <si>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</si>
  <si>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</si>
  <si>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</si>
  <si>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</si>
  <si>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</si>
  <si>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</si>
  <si>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</si>
  <si>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</si>
  <si>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</si>
  <si>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</si>
  <si>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</si>
  <si>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</si>
  <si>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</si>
  <si>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</si>
  <si>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</si>
  <si>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</si>
  <si>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</si>
  <si>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</si>
  <si>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</si>
  <si>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</si>
  <si>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</si>
  <si>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</si>
  <si>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</si>
  <si>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</si>
  <si>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</si>
  <si>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</si>
  <si>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</si>
  <si>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</si>
  <si>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</si>
  <si>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</si>
  <si>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</si>
  <si>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</si>
  <si>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</si>
  <si>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</si>
  <si>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</si>
  <si>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</si>
  <si>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</si>
  <si>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</si>
  <si>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</si>
  <si>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</si>
  <si>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</si>
  <si>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</si>
  <si>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</si>
  <si>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</si>
  <si>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</si>
  <si>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</si>
  <si>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</si>
  <si>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</si>
  <si>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</si>
  <si>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</si>
  <si>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</si>
  <si>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</si>
  <si>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</si>
  <si>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</si>
  <si>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</si>
  <si>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</si>
  <si>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</si>
  <si>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</si>
  <si>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</si>
  <si>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</si>
  <si>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</si>
  <si>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</si>
  <si>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</si>
  <si>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</si>
  <si>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</si>
  <si>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</si>
  <si>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</si>
  <si>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</si>
  <si>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</si>
  <si>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</si>
  <si>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</si>
  <si>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</si>
  <si>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</si>
  <si>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</si>
  <si>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</si>
  <si>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</si>
  <si>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</si>
  <si>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</si>
  <si>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</si>
  <si>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</si>
  <si>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</si>
  <si>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</si>
  <si>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</si>
  <si>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</si>
  <si>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</si>
  <si>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</si>
  <si>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</si>
  <si>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</si>
  <si>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</si>
  <si>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</si>
  <si>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</si>
  <si>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</si>
  <si>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</si>
  <si>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</si>
  <si>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</si>
  <si>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</si>
  <si>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</si>
  <si>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</si>
  <si>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</si>
  <si>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</si>
  <si>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</si>
  <si>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</si>
  <si>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</si>
  <si>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</si>
  <si>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</si>
  <si>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</si>
  <si>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</si>
  <si>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</si>
  <si>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</si>
  <si>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</si>
  <si>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</si>
  <si>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</si>
  <si>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</si>
  <si>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</si>
  <si>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</si>
  <si>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</si>
  <si>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</si>
  <si>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</si>
  <si>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</si>
  <si>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</si>
  <si>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</si>
  <si>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</si>
  <si>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</si>
  <si>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</si>
  <si>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</si>
  <si>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</si>
  <si>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</si>
  <si>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</si>
  <si>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</si>
  <si>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</si>
  <si>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</si>
  <si>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</si>
  <si>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</si>
  <si>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</si>
  <si>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</si>
  <si>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</si>
  <si>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</si>
  <si>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</si>
  <si>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</si>
  <si>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</si>
  <si>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</si>
  <si>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</si>
  <si>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</si>
  <si>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</si>
  <si>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</si>
  <si>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</si>
  <si>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</si>
  <si>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</si>
  <si>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</si>
  <si>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</si>
  <si>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</si>
  <si>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</si>
  <si>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</si>
  <si>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</si>
  <si>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</si>
  <si>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</si>
  <si>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</si>
  <si>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</si>
  <si>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</si>
  <si>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</si>
  <si>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</si>
  <si>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</si>
  <si>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</si>
  <si>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</si>
  <si>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</si>
  <si>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</si>
  <si>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</si>
  <si>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</si>
  <si>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</si>
  <si>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</si>
  <si>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</si>
  <si>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</si>
  <si>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</si>
  <si>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</si>
  <si>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</si>
  <si>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</si>
  <si>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</si>
  <si>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</si>
  <si>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</si>
  <si>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</si>
  <si>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</si>
  <si>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</si>
  <si>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</si>
  <si>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</si>
  <si>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</si>
  <si>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</si>
  <si>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</si>
  <si>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</si>
  <si>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</si>
  <si>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</si>
  <si>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</si>
  <si>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</si>
  <si>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</si>
  <si>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</si>
  <si>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</si>
  <si>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</si>
  <si>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</si>
  <si>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</si>
  <si>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</si>
  <si>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</si>
  <si>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</si>
  <si>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</si>
  <si>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</si>
  <si>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</si>
  <si>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</si>
  <si>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</si>
  <si>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</si>
  <si>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</si>
  <si>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</si>
  <si>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</si>
  <si>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</si>
  <si>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</si>
  <si>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</si>
  <si>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</si>
  <si>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</si>
  <si>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</si>
  <si>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</si>
  <si>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</si>
  <si>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</si>
  <si>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</si>
  <si>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</si>
  <si>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</si>
  <si>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</si>
  <si>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</si>
  <si>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</si>
  <si>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</si>
  <si>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</si>
  <si>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</si>
  <si>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</si>
  <si>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</si>
  <si>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</si>
  <si>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</si>
  <si>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</si>
  <si>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</si>
  <si>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</si>
  <si>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</si>
  <si>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</si>
  <si>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</si>
  <si>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</si>
  <si>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</si>
  <si>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</si>
  <si>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</si>
  <si>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</si>
  <si>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</si>
  <si>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</si>
  <si>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</si>
  <si>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</si>
  <si>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</si>
  <si>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</si>
  <si>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</si>
  <si>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</si>
  <si>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</si>
  <si>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</si>
  <si>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</si>
  <si>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</si>
  <si>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</si>
  <si>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</si>
  <si>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</si>
  <si>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</si>
  <si>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</si>
  <si>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</si>
  <si>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</si>
  <si>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</si>
  <si>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</si>
  <si>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</si>
  <si>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</si>
  <si>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</si>
  <si>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</si>
  <si>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</si>
  <si>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</si>
  <si>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</si>
  <si>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</si>
  <si>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</si>
  <si>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</si>
  <si>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</si>
  <si>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</si>
  <si>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</si>
  <si>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</si>
  <si>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</si>
  <si>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</si>
  <si>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</si>
  <si>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</si>
  <si>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</si>
  <si>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</si>
  <si>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</si>
  <si>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</si>
  <si>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</si>
  <si>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</si>
  <si>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</si>
  <si>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</si>
  <si>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</si>
  <si>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</si>
  <si>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</si>
  <si>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</si>
  <si>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</si>
  <si>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</si>
  <si>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</si>
  <si>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</si>
  <si>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</si>
  <si>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</si>
  <si>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</si>
  <si>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</si>
  <si>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</si>
  <si>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</si>
  <si>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</si>
  <si>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</si>
  <si>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</si>
  <si>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</si>
  <si>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</si>
  <si>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</si>
  <si>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</si>
  <si>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</si>
  <si>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</si>
  <si>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</si>
  <si>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</si>
  <si>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</si>
  <si>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</si>
  <si>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</si>
  <si>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</si>
  <si>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</si>
  <si>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</si>
  <si>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</si>
  <si>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</si>
  <si>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</si>
  <si>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</si>
  <si>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</si>
  <si>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</si>
  <si>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</si>
  <si>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</si>
  <si>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</si>
  <si>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</si>
  <si>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</si>
  <si>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</si>
  <si>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</si>
  <si>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</si>
  <si>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</si>
  <si>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</si>
  <si>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</si>
  <si>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</si>
  <si>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</si>
  <si>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</si>
  <si>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</si>
  <si>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</si>
  <si>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</si>
  <si>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</si>
  <si>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</si>
  <si>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</si>
  <si>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</si>
  <si>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</si>
  <si>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</si>
  <si>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</si>
  <si>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</si>
  <si>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</si>
  <si>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</si>
  <si>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</si>
  <si>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</si>
  <si>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</si>
  <si>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</si>
  <si>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</si>
  <si>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</si>
  <si>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</si>
  <si>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</si>
  <si>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</si>
  <si>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</si>
  <si>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</si>
  <si>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</si>
  <si>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</si>
  <si>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</si>
  <si>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</si>
  <si>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</si>
  <si>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</si>
  <si>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</si>
  <si>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</si>
  <si>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</si>
  <si>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</si>
  <si>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</si>
  <si>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</si>
  <si>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</si>
  <si>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</si>
  <si>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</si>
  <si>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</si>
  <si>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</si>
  <si>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</si>
  <si>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</si>
  <si>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</si>
  <si>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</si>
  <si>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</si>
  <si>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</si>
  <si>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</si>
  <si>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</si>
  <si>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</si>
  <si>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</si>
  <si>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</si>
  <si>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</si>
  <si>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</si>
  <si>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</si>
  <si>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</si>
  <si>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</si>
  <si>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</si>
  <si>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</si>
  <si>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</si>
  <si>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</si>
  <si>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</si>
  <si>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</si>
  <si>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</si>
  <si>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</si>
  <si>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</si>
  <si>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</si>
  <si>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</si>
  <si>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</si>
  <si>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</si>
  <si>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</si>
  <si>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</si>
  <si>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</si>
  <si>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</si>
  <si>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</si>
  <si>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</si>
  <si>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</si>
  <si>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</si>
  <si>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</si>
  <si>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</si>
  <si>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</si>
  <si>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</si>
  <si>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</si>
  <si>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</si>
  <si>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</si>
  <si>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</si>
  <si>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</si>
  <si>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</si>
  <si>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</si>
  <si>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</si>
  <si>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</si>
  <si>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</si>
  <si>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</si>
  <si>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</si>
  <si>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</si>
  <si>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</si>
  <si>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</si>
  <si>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</si>
  <si>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</si>
  <si>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</si>
  <si>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</si>
  <si>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</si>
  <si>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</si>
  <si>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</si>
  <si>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</si>
  <si>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</si>
  <si>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</si>
  <si>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</si>
  <si>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</si>
  <si>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</si>
  <si>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</si>
  <si>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</si>
  <si>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</si>
  <si>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</si>
  <si>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</si>
  <si>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</si>
  <si>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</si>
  <si>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</si>
  <si>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</si>
  <si>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</si>
  <si>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</si>
  <si>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</si>
  <si>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</si>
  <si>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</si>
  <si>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</si>
  <si>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</si>
  <si>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</si>
  <si>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</si>
  <si>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</si>
  <si>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</si>
  <si>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</si>
  <si>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</si>
  <si>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</si>
  <si>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</si>
  <si>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</si>
  <si>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</si>
  <si>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</si>
  <si>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</si>
  <si>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</si>
  <si>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</si>
  <si>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</si>
  <si>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</si>
  <si>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</si>
  <si>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</si>
  <si>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</si>
  <si>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</si>
  <si>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</si>
  <si>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</si>
  <si>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</si>
  <si>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</si>
  <si>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</si>
  <si>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</si>
  <si>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</si>
  <si>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</si>
  <si>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</si>
  <si>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</si>
  <si>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</si>
  <si>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</si>
  <si>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</si>
  <si>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</si>
  <si>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</si>
  <si>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</si>
  <si>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</si>
  <si>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</si>
  <si>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</si>
  <si>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</si>
  <si>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</si>
  <si>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</si>
  <si>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</si>
  <si>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</si>
  <si>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</si>
  <si>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</si>
  <si>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</si>
  <si>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</si>
  <si>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</si>
  <si>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</si>
  <si>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</si>
  <si>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</si>
  <si>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</si>
  <si>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</si>
  <si>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</si>
  <si>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</si>
  <si>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</si>
  <si>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</si>
  <si>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</si>
  <si>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</si>
  <si>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</si>
  <si>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</si>
  <si>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</si>
  <si>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</si>
  <si>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</si>
  <si>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</si>
  <si>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</si>
  <si>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</si>
  <si>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</si>
  <si>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</si>
  <si>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</si>
  <si>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</si>
  <si>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</si>
  <si>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</si>
  <si>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</si>
  <si>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</si>
  <si>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</si>
  <si>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</si>
  <si>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</si>
  <si>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</si>
  <si>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</si>
  <si>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</si>
  <si>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</si>
  <si>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</si>
  <si>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</si>
  <si>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</si>
  <si>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</si>
  <si>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</si>
  <si>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</si>
  <si>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</si>
  <si>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</si>
  <si>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</si>
  <si>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</si>
  <si>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</si>
  <si>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</si>
  <si>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</si>
  <si>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</si>
  <si>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</si>
  <si>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</si>
  <si>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</si>
  <si>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</si>
  <si>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</si>
  <si>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</si>
  <si>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</si>
  <si>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</si>
  <si>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</si>
  <si>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</si>
  <si>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</si>
  <si>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</si>
  <si>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</si>
  <si>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</si>
  <si>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</si>
  <si>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</si>
  <si>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</si>
  <si>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</si>
  <si>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</si>
  <si>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</si>
  <si>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</si>
  <si>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</si>
  <si>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</si>
  <si>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</si>
  <si>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</si>
  <si>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</si>
  <si>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</si>
  <si>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</si>
  <si>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</si>
  <si>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</si>
  <si>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</si>
  <si>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</si>
  <si>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</si>
  <si>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</si>
  <si>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</si>
  <si>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</si>
  <si>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</si>
  <si>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</si>
  <si>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</si>
  <si>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</si>
  <si>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</si>
  <si>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</si>
  <si>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</si>
  <si>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</si>
  <si>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</si>
  <si>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</si>
  <si>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</si>
  <si>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</si>
  <si>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</si>
  <si>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</si>
  <si>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</si>
  <si>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</si>
  <si>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</si>
  <si>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</si>
  <si>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</si>
  <si>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</si>
  <si>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</si>
  <si>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</si>
  <si>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</si>
  <si>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</si>
  <si>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</si>
  <si>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</si>
  <si>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</si>
  <si>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</si>
  <si>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</si>
  <si>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</si>
  <si>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</si>
  <si>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</si>
  <si>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</si>
  <si>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</si>
  <si>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</si>
  <si>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</si>
  <si>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</si>
  <si>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</si>
  <si>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</si>
  <si>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</si>
  <si>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</si>
  <si>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</si>
  <si>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</si>
  <si>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</si>
  <si>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</si>
  <si>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</si>
  <si>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</si>
  <si>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</si>
  <si>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</si>
  <si>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</si>
  <si>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</si>
  <si>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</si>
  <si>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</si>
  <si>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</si>
  <si>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</si>
  <si>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</si>
  <si>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</si>
  <si>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</si>
  <si>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</si>
  <si>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</si>
  <si>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</si>
  <si>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</si>
  <si>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</si>
  <si>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</si>
  <si>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</si>
  <si>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</si>
  <si>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</si>
  <si>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</si>
  <si>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</si>
  <si>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</si>
  <si>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</si>
  <si>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</si>
  <si>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</si>
  <si>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</si>
  <si>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</si>
  <si>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</si>
  <si>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</si>
  <si>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</si>
  <si>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</si>
  <si>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</si>
  <si>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</si>
  <si>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</si>
  <si>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</si>
  <si>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</si>
  <si>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</si>
  <si>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</si>
  <si>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</si>
  <si>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</si>
  <si>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</si>
  <si>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</si>
  <si>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</si>
  <si>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</si>
  <si>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</si>
  <si>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</si>
  <si>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</si>
  <si>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</si>
  <si>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</si>
  <si>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</si>
  <si>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</si>
  <si>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</si>
  <si>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</si>
  <si>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</si>
  <si>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</si>
  <si>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</si>
  <si>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</si>
  <si>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</si>
  <si>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</si>
  <si>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</si>
  <si>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</si>
  <si>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</si>
  <si>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</si>
  <si>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</si>
  <si>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</si>
  <si>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</si>
  <si>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</si>
  <si>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</si>
  <si>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</si>
  <si>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</si>
  <si>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</si>
  <si>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</si>
  <si>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</si>
  <si>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</si>
  <si>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</si>
  <si>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</si>
  <si>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</si>
  <si>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</si>
  <si>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</si>
  <si>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</si>
  <si>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</si>
  <si>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</si>
  <si>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</si>
  <si>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</si>
  <si>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</si>
  <si>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</si>
  <si>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</si>
  <si>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</si>
  <si>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</si>
  <si>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</si>
  <si>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</si>
  <si>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</si>
  <si>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</si>
  <si>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</si>
  <si>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</si>
  <si>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</si>
  <si>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</si>
  <si>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</si>
  <si>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</si>
  <si>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</si>
  <si>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</si>
  <si>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</si>
  <si>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</si>
  <si>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</si>
  <si>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</si>
  <si>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</si>
  <si>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</si>
  <si>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</si>
  <si>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</si>
  <si>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</si>
  <si>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</si>
  <si>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</si>
  <si>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</si>
  <si>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</si>
  <si>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</si>
  <si>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</si>
  <si>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</si>
  <si>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</si>
  <si>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</si>
  <si>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</si>
  <si>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</si>
  <si>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</si>
  <si>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</si>
  <si>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</si>
  <si>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</si>
  <si>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</si>
  <si>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</si>
  <si>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</si>
  <si>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</si>
  <si>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</si>
  <si>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</si>
  <si>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</si>
  <si>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</si>
  <si>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</si>
  <si>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</si>
  <si>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</si>
  <si>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</si>
  <si>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</si>
  <si>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</si>
  <si>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</si>
  <si>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</si>
  <si>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</si>
  <si>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</si>
  <si>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</si>
  <si>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</si>
  <si>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</si>
  <si>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</si>
  <si>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</si>
  <si>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</si>
  <si>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</si>
  <si>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</si>
  <si>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</si>
  <si>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</si>
  <si>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</si>
  <si>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</si>
  <si>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</si>
  <si>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</si>
  <si>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</si>
  <si>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</si>
  <si>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</si>
  <si>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</si>
  <si>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</si>
  <si>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</si>
  <si>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</si>
  <si>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</si>
  <si>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</si>
  <si>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</si>
  <si>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</si>
  <si>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</si>
  <si>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</si>
  <si>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</si>
  <si>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</si>
  <si>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</si>
  <si>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</si>
  <si>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</si>
  <si>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</si>
  <si>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</si>
  <si>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</si>
  <si>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</si>
  <si>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</si>
  <si>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</si>
  <si>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</si>
  <si>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</si>
  <si>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</si>
  <si>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</si>
  <si>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</si>
  <si>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</si>
  <si>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</si>
  <si>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</si>
  <si>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</si>
  <si>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</si>
  <si>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</si>
  <si>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</si>
  <si>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</si>
  <si>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</si>
  <si>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</si>
  <si>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</si>
  <si>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</si>
  <si>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</si>
  <si>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</si>
  <si>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</si>
  <si>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</si>
  <si>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</si>
  <si>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</si>
  <si>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</si>
  <si>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</si>
  <si>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</si>
  <si>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</si>
  <si>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</si>
  <si>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</si>
  <si>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</si>
  <si>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</si>
  <si>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</si>
  <si>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</si>
  <si>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</si>
  <si>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</si>
  <si>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</si>
  <si>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</si>
  <si>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</si>
  <si>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</si>
  <si>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</si>
  <si>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</si>
  <si>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</si>
  <si>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</si>
  <si>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</si>
  <si>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</si>
  <si>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</si>
  <si>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</si>
  <si>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</si>
  <si>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</si>
  <si>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企业</t>
  </si>
  <si>
    <t>北京市</t>
  </si>
  <si>
    <t>抵押</t>
  </si>
  <si>
    <t>房地产抵押价值</t>
  </si>
  <si>
    <t>是</t>
  </si>
  <si>
    <t>地上</t>
  </si>
  <si>
    <t>办公楼</t>
  </si>
  <si>
    <t>办公</t>
    <phoneticPr fontId="7" type="noConversion"/>
  </si>
  <si>
    <t>单套模式</t>
  </si>
  <si>
    <t>售价</t>
  </si>
  <si>
    <t>楼层</t>
    <phoneticPr fontId="31" type="noConversion"/>
  </si>
  <si>
    <t>高区</t>
    <phoneticPr fontId="31" type="noConversion"/>
  </si>
  <si>
    <t>中区</t>
    <phoneticPr fontId="31" type="noConversion"/>
  </si>
  <si>
    <t>低区</t>
    <phoneticPr fontId="31" type="noConversion"/>
  </si>
  <si>
    <t>成新度</t>
  </si>
  <si>
    <t>收益法 (元)</t>
  </si>
  <si>
    <t>押一</t>
  </si>
  <si>
    <t>钢混</t>
  </si>
  <si>
    <t>非生产用房</t>
  </si>
  <si>
    <t>否</t>
  </si>
  <si>
    <t>比较法-工业</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</si>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</sst>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140995</xdr:colOff>
      <xdr:row>0</xdr:row>
      <xdr:rowOff>0</xdr:rowOff>
    </xdr:from>
    <xdr:to>
      <xdr:col>7</xdr:col>
      <xdr:colOff>579664</xdr:colOff>
      <xdr:row>23</xdr:row>
      <xdr:rowOff>141814</xdr:rowOff>
    </xdr:to>
    <xdr:pic>
      <xdr:nvPicPr>
        <xdr:cNvPr id="2" name="图片 1"/>
        <xdr:cNvPicPr>
          <a:picLocks noChangeAspect="1"/>
        </xdr:cNvPicPr>
      </xdr:nvPicPr>
      <xdr:blipFill>
        <a:blip xmlns:r="http://schemas.openxmlformats.org/officeDocument/2006/relationships" r:embed="rId1"/>
        <a:stretch>
          <a:fillRect/>
        </a:stretch>
      </xdr:blipFill>
      <xdr:spPr>
        <a:xfrm>
          <a:off x="140995" y="0"/>
          <a:ext cx="5239269" cy="40851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估价对象为北京市房地产，为所有。根据《国有土地使用证》[]，估价对象（分摊）出让国有建设用地使用权面积为0平方米，建筑面积为312.41平方米。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估价对象为北京市房地产,属开发建设的，该项目尚在开发建设中。根据《国有土地使用证》[]，估价对象（分摊）出让国有建设用地使用权面积为0平方米，规划建筑面积为312.41平方米。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2023年7月18日（评估专业人员实地查勘之日）</v>
      </c>
    </row>
    <row r="13" spans="1:2" s="1203" customFormat="1">
      <c r="A13" s="1201" t="s">
        <v>529</v>
      </c>
      <c r="B13" s="1202" t="str">
        <f>'预评函-1'!A18</f>
        <v>本次估价的“房地产价值”是指在正常市场情况下，在价值时点2023年7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274</v>
      </c>
    </row>
    <row r="21" spans="1:2" s="1203" customFormat="1">
      <c r="A21" s="1201" t="s">
        <v>537</v>
      </c>
      <c r="B21" s="1202">
        <f ca="1">'预评函-2'!D7</f>
        <v>8766</v>
      </c>
    </row>
    <row r="22" spans="1:2" s="1203" customFormat="1">
      <c r="A22" s="1201" t="s">
        <v>538</v>
      </c>
      <c r="B22" s="1202" t="str">
        <f ca="1">'预评函-2'!D6</f>
        <v>贰佰柒拾肆万元整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274</v>
      </c>
    </row>
    <row r="31" spans="1:2" s="1203" customFormat="1">
      <c r="A31" s="1201" t="s">
        <v>576</v>
      </c>
      <c r="B31" s="1202">
        <f ca="1">'预评函-2'!D15</f>
        <v>8766</v>
      </c>
    </row>
    <row r="32" spans="1:2" s="1203" customFormat="1">
      <c r="A32" s="1201" t="s">
        <v>543</v>
      </c>
      <c r="B32" s="1202" t="str">
        <f ca="1">'预评函-2'!D14</f>
        <v>贰佰柒拾肆万元整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312.41000000000003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45125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3.42</v>
      </c>
      <c r="D5" s="3025">
        <f>IF(ISERROR(ROUND(POWER(1+E5,A5-C5)*(POWER(1+E5,C5)-1)/(POWER(1+E5,A5)-1),3)),0,ROUND(POWER(1+E5,A5-C5)*(POWER(1+E5,C5)-1)/(POWER(1+E5,A5)-1),4))</f>
        <v>0.15859999999999999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13.43</v>
      </c>
      <c r="D6" s="3025">
        <f>IF(ISERROR(ROUND(POWER(1+E6,A6-C6)*(POWER(1+E6,C6)-1)/(POWER(1+E6,A6)-1),3)),0,ROUND(POWER(1+E6,A6-C6)*(POWER(1+E6,C6)-1)/(POWER(1+E6,A6)-1),4))</f>
        <v>0.47649999999999998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33.44</v>
      </c>
      <c r="D7" s="3025">
        <f>IF(ISERROR(ROUND(POWER(1+E7,A7-C7)*(POWER(1+E7,C7)-1)/(POWER(1+E7,A7)-1),3)),0,ROUND(POWER(1+E7,A7-C7)*(POWER(1+E7,C7)-1)/(POWER(1+E7,A7)-1),4))</f>
        <v>0.78069999999999995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3" sqref="E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45125</v>
      </c>
      <c r="C3" s="2374" t="s">
        <v>2171</v>
      </c>
      <c r="D3" s="2373">
        <f>B3</f>
        <v>45125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503"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504"/>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55634</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28.79</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312.41000000000003</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312.41000000000003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312.41000000000003</v>
      </c>
      <c r="H5" s="13">
        <f t="shared" ref="H5:AT5" si="0">SUM(H13:H656)</f>
        <v>312.41000000000003</v>
      </c>
      <c r="I5" s="13">
        <f t="shared" si="0"/>
        <v>312.41000000000003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312.41000000000003</v>
      </c>
      <c r="BA5" s="15">
        <f t="shared" si="1"/>
        <v>312.41000000000003</v>
      </c>
      <c r="BB5" s="15">
        <f t="shared" si="1"/>
        <v>312.41000000000003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312.41000000000003</v>
      </c>
      <c r="H13" s="17">
        <f>SUMIF(I$12:AB$12,"总值",I13:AB13)</f>
        <v>312.41000000000003</v>
      </c>
      <c r="I13" s="1626">
        <v>312.41000000000003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312.41000000000003</v>
      </c>
      <c r="BA13" s="13">
        <f>SUM(BB13:BK13)</f>
        <v>312.41000000000003</v>
      </c>
      <c r="BB13" s="13">
        <f>IF($D13="是",I13-J13,0)</f>
        <v>312.41000000000003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1" sqref="F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312.41000000000003</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312.41000000000003</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312.41000000000003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312.41000000000003</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312.41000000000003</v>
      </c>
      <c r="F19" s="2795">
        <v>312.41000000000003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312.41000000000003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312.41000000000003</v>
      </c>
      <c r="F27" s="1140">
        <f>IF(SUM(F19:F26)=E8,SUM(F19:F26),"地上面积有误")</f>
        <v>312.41000000000003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312.41000000000003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312.41000000000003</v>
      </c>
      <c r="F31" s="677">
        <f>F27+F30</f>
        <v>312.41000000000003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X6" activePane="bottomRight" state="frozen"/>
      <selection activeCell="C50" sqref="C50"/>
      <selection pane="topRight" activeCell="C50" sqref="C50"/>
      <selection pane="bottomLeft" activeCell="C50" sqref="C50"/>
      <selection pane="bottomRight" activeCell="AH36" sqref="AH3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3</v>
      </c>
      <c r="D6" s="858">
        <f>SUMIF(项目基本情况!C$12:I$12,C6,项目基本情况!C$14:I$14)</f>
        <v>50</v>
      </c>
      <c r="E6" s="857">
        <f>IF(B6="","",SUMIF(项目基本情况!C$12:I$12,C6,项目基本情况!C$13:I$13))</f>
        <v>55634</v>
      </c>
      <c r="F6" s="64">
        <f>SUMIF(项目基本情况!C$12:I$12,C6,项目基本情况!C$15:I$15)</f>
        <v>28.79</v>
      </c>
      <c r="G6" s="65">
        <f>IF(ISERROR(ROUND(POWER(1+H6,D6-F6)*(POWER(1+H6,F6)-1)/(POWER(1+H6,D6)-1),3)),0,ROUND(POWER(1+H6,D6-F6)*(POWER(1+H6,F6)-1)/(POWER(1+H6,D6)-1),3))</f>
        <v>0.82699999999999996</v>
      </c>
      <c r="H6" s="732">
        <v>0.05</v>
      </c>
      <c r="I6" s="732">
        <v>5.5E-2</v>
      </c>
      <c r="J6" s="66">
        <v>7.0000000000000007E-2</v>
      </c>
      <c r="K6" s="1030">
        <f>SUMIF('数据-汇总表'!C$19:C$33,A6,'数据-汇总表'!E$19:E$33)</f>
        <v>312.41000000000003</v>
      </c>
      <c r="L6" s="733">
        <v>3200</v>
      </c>
      <c r="M6" s="67">
        <f t="shared" ref="M6:M14" si="0">ROUND(K6*L6/10000,0)</f>
        <v>100</v>
      </c>
      <c r="N6" s="731">
        <f>ROUND(1-(2023-2018)/60,2)</f>
        <v>0.92</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1.3</v>
      </c>
      <c r="V6" s="70">
        <v>2.5000000000000001E-2</v>
      </c>
      <c r="W6" s="70">
        <v>0.1</v>
      </c>
      <c r="X6" s="1040"/>
      <c r="Y6" s="71">
        <f>N6</f>
        <v>0.92</v>
      </c>
      <c r="Z6" s="72"/>
      <c r="AA6" s="66"/>
      <c r="AB6" s="66"/>
      <c r="AC6" s="1040"/>
      <c r="AD6" s="73"/>
      <c r="AE6" s="1041">
        <f ca="1">IF(AN6="",0,SUMIF(INDIRECT("'"&amp;AN6&amp;"'"&amp;"!E:E"),$AE$5,INDIRECT("'"&amp;AN6&amp;"'"&amp;"!F:F")))</f>
        <v>28.79</v>
      </c>
      <c r="AF6" s="1348"/>
      <c r="AG6" s="138">
        <f>IF(AF6="",0,AE6-AF6)</f>
        <v>0</v>
      </c>
      <c r="AH6" s="74"/>
      <c r="AI6" s="76">
        <v>365</v>
      </c>
      <c r="AJ6" s="77"/>
      <c r="AK6" s="78">
        <v>0.01</v>
      </c>
      <c r="AL6" s="79">
        <v>1.5E-3</v>
      </c>
      <c r="AM6" s="80">
        <v>0.01</v>
      </c>
      <c r="AN6" s="1715" t="s">
        <v>3395</v>
      </c>
      <c r="AO6" s="52">
        <f ca="1">SUMIF(INDIRECT("'"&amp;AN6&amp;"'"&amp;"!A:A"),"总价",INDIRECT("'"&amp;AN6&amp;"'"&amp;"!B:B"))</f>
        <v>184.7697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0.82699999999999996</v>
      </c>
      <c r="H16" s="90">
        <f>ROUND(SUMPRODUCT(H6:H13,K6:K13)/SUMPRODUCT((H6:H13&gt;0)*(K6:K13)),3)</f>
        <v>0.05</v>
      </c>
      <c r="I16" s="91"/>
      <c r="J16" s="91"/>
      <c r="K16" s="92">
        <f>SUM(K6:K15)</f>
        <v>312.41000000000003</v>
      </c>
      <c r="L16" s="93">
        <f>ROUND(M16*10000/SUM(K6:K14),0)</f>
        <v>3201</v>
      </c>
      <c r="M16" s="93">
        <f>SUM(M6:M14)</f>
        <v>100</v>
      </c>
      <c r="N16" s="94">
        <f>ROUND(SUMPRODUCT(M6:M14,N6:N14)/M16,3)</f>
        <v>0.92</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40" sqref="D4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312.41000000000003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45125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274</v>
      </c>
      <c r="C5" s="2512">
        <f ca="1">IF(B5=D14,结果表!H102,ROUND(B5*10000/$B$1,0))</f>
        <v>8766</v>
      </c>
      <c r="D5" s="2512" t="e">
        <f ca="1">ROUND(B5*10000/$B$2,0)</f>
        <v>#DIV/0!</v>
      </c>
      <c r="E5" s="2686"/>
      <c r="F5" s="2687"/>
      <c r="G5" s="2687"/>
      <c r="H5" s="2688"/>
      <c r="I5" s="2688"/>
      <c r="J5" s="2688"/>
      <c r="K5" s="2688"/>
    </row>
    <row r="6" spans="1:11" ht="16.5">
      <c r="A6" s="2512" t="s">
        <v>656</v>
      </c>
      <c r="B6" s="2512">
        <f ca="1">SUM(G14:G23)</f>
        <v>274</v>
      </c>
      <c r="C6" s="2512">
        <f ca="1">IF(B6=G14,结果表!H108,ROUND(B6*10000/$B$1,0))</f>
        <v>8766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312.41000000000003</v>
      </c>
      <c r="C14" s="2518"/>
      <c r="D14" s="2518">
        <f ca="1">结果表!H118</f>
        <v>274</v>
      </c>
      <c r="E14" s="2518">
        <f ca="1">ROUND(D14*10000/B14,0)</f>
        <v>8771</v>
      </c>
      <c r="F14" s="2518" t="e">
        <f ca="1">ROUND(D14*10000/C14,0)</f>
        <v>#DIV/0!</v>
      </c>
      <c r="G14" s="2518">
        <f ca="1">D14</f>
        <v>274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8" zoomScale="70" zoomScaleNormal="100" zoomScaleSheetLayoutView="70" zoomScalePageLayoutView="80" workbookViewId="0">
      <selection activeCell="G44" sqref="G4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3400</v>
      </c>
      <c r="D4" s="1756" t="s">
        <v>3395</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6</v>
      </c>
      <c r="D14" s="3576">
        <v>4</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3" t="s">
        <v>2131</v>
      </c>
      <c r="F18" s="3564"/>
      <c r="G18" s="3564"/>
      <c r="H18" s="3564"/>
      <c r="I18" s="3564"/>
      <c r="K18" s="302" t="s">
        <v>1289</v>
      </c>
      <c r="L18" s="302">
        <f>IF(C1="",'数据-汇总表'!E3,SUMIF(项目类型,C1,'数据-汇总表'!E17:E26)+SUMIF(项目类型,C1,'数据-汇总表'!I17:I26))</f>
        <v>312.41000000000003</v>
      </c>
      <c r="M18" s="302">
        <f>IF(C1="",'数据-汇总表'!E3,SUMIF(项目类型,C1,'数据-汇总表'!E17:E26))</f>
        <v>312.41000000000003</v>
      </c>
    </row>
    <row r="19" spans="1:36" ht="15">
      <c r="A19" s="1761" t="s">
        <v>1290</v>
      </c>
      <c r="B19" s="1762" t="s">
        <v>1291</v>
      </c>
      <c r="C19" s="134">
        <f ca="1">SUMIF(INDIRECT("'"&amp;C4&amp;"'"&amp;"!A:A"),结果表!B19,INDIRECT("'"&amp;C4&amp;"'"&amp;"!B:B"))</f>
        <v>333.24770000000001</v>
      </c>
      <c r="D19" s="135">
        <f ca="1">SUMIF(INDIRECT("'"&amp;D4&amp;"'"&amp;"!A:A"),结果表!B19,INDIRECT("'"&amp;D4&amp;"'"&amp;"!B:B"))</f>
        <v>184.7697</v>
      </c>
      <c r="E19" s="1761" t="s">
        <v>1292</v>
      </c>
      <c r="F19" s="1762" t="s">
        <v>1291</v>
      </c>
      <c r="G19" s="136">
        <f ca="1">ROUND(C19*$C$18+D19*$D$18,0)</f>
        <v>274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10667</v>
      </c>
      <c r="D20" s="138">
        <f ca="1">SUMIF(INDIRECT("'"&amp;D4&amp;"'"&amp;"!A:A"),结果表!B20,INDIRECT("'"&amp;D4&amp;"'"&amp;"!B:B"))</f>
        <v>5914</v>
      </c>
      <c r="E20" s="1764"/>
      <c r="F20" s="1026" t="s">
        <v>1295</v>
      </c>
      <c r="G20" s="139">
        <f ca="1">ROUND(C20*$C$18+D20*$D$18,0)</f>
        <v>8766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0.80358413744244861</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8766</v>
      </c>
      <c r="D32" s="1775" t="s">
        <v>3401</v>
      </c>
      <c r="E32" s="129"/>
      <c r="F32" s="129"/>
      <c r="G32" s="129"/>
      <c r="H32" s="129"/>
      <c r="I32" s="129"/>
    </row>
    <row r="33" spans="1:15" ht="15">
      <c r="A33" s="786" t="s">
        <v>1306</v>
      </c>
      <c r="B33" s="1776"/>
      <c r="C33" s="1777" t="s">
        <v>3402</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274</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45125</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274</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274</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14</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14</v>
      </c>
      <c r="E53" s="2334" t="s">
        <v>1354</v>
      </c>
      <c r="F53" s="2554">
        <f>'数据-取费表'!B41</f>
        <v>5.5000000000000007E-2</v>
      </c>
      <c r="G53" s="2555"/>
      <c r="H53" s="2544"/>
      <c r="I53" s="1807"/>
      <c r="J53" s="2523">
        <v>2</v>
      </c>
      <c r="K53" s="3604" t="s">
        <v>1357</v>
      </c>
      <c r="L53" s="3604"/>
      <c r="M53" s="2525">
        <f t="shared" ref="M53:O54" ca="1" si="0">D55</f>
        <v>0</v>
      </c>
      <c r="N53" s="2523" t="str">
        <f t="shared" si="0"/>
        <v>销售额×税（费）率</v>
      </c>
      <c r="O53" s="2526" t="str">
        <f t="shared" si="0"/>
        <v>免征</v>
      </c>
    </row>
    <row r="54" spans="1:35" ht="12" customHeight="1">
      <c r="A54" s="2335" t="s">
        <v>1358</v>
      </c>
      <c r="B54" s="3565" t="s">
        <v>2292</v>
      </c>
      <c r="C54" s="3566"/>
      <c r="D54" s="1087">
        <f ca="1">C68</f>
        <v>14</v>
      </c>
      <c r="E54" s="327" t="s">
        <v>1359</v>
      </c>
      <c r="F54" s="2554">
        <f>'数据-取费表'!B41</f>
        <v>5.5000000000000007E-2</v>
      </c>
      <c r="G54" s="2555"/>
      <c r="H54" s="2556"/>
      <c r="I54" s="1807"/>
      <c r="J54" s="2523">
        <v>3</v>
      </c>
      <c r="K54" s="3604" t="s">
        <v>1360</v>
      </c>
      <c r="L54" s="3604"/>
      <c r="M54" s="2525">
        <f t="shared" ca="1" si="0"/>
        <v>156</v>
      </c>
      <c r="N54" s="2523" t="str">
        <f t="shared" si="0"/>
        <v>增值额×税（费）率</v>
      </c>
      <c r="O54" s="2527" t="str">
        <f t="shared" si="0"/>
        <v>免征</v>
      </c>
    </row>
    <row r="55" spans="1:35" ht="24" customHeight="1">
      <c r="A55" s="3554" t="s">
        <v>1361</v>
      </c>
      <c r="B55" s="3555"/>
      <c r="C55" s="3555"/>
      <c r="D55" s="2324">
        <f ca="1">IF(H55="个人住宅",0,ROUND(D45*I55,0))</f>
        <v>0</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3</v>
      </c>
      <c r="N55" s="2040" t="str">
        <f>E59</f>
        <v>差额计税</v>
      </c>
      <c r="O55" s="2529">
        <f>F59</f>
        <v>0.01</v>
      </c>
    </row>
    <row r="56" spans="1:35" ht="24.75">
      <c r="A56" s="3554" t="s">
        <v>1363</v>
      </c>
      <c r="B56" s="3555"/>
      <c r="C56" s="3555"/>
      <c r="D56" s="2324">
        <f ca="1">IF(H56="个人住宅",D57,D58)</f>
        <v>156</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159</v>
      </c>
      <c r="O57" s="2533"/>
      <c r="P57" s="2690">
        <f ca="1">N57/M49</f>
        <v>0.58029197080291972</v>
      </c>
    </row>
    <row r="58" spans="1:35" ht="24.75">
      <c r="A58" s="2335" t="s">
        <v>1352</v>
      </c>
      <c r="B58" s="3565" t="s">
        <v>1369</v>
      </c>
      <c r="C58" s="3539"/>
      <c r="D58" s="2324">
        <f ca="1">IF(H58="转让取得",C81,C97)</f>
        <v>156</v>
      </c>
      <c r="E58" s="2334" t="s">
        <v>1364</v>
      </c>
      <c r="F58" s="302" t="s">
        <v>28</v>
      </c>
      <c r="G58" s="2555"/>
      <c r="H58" s="2558"/>
      <c r="I58" s="1808"/>
      <c r="J58" s="3604"/>
      <c r="K58" s="3604"/>
      <c r="L58" s="2530" t="s">
        <v>1370</v>
      </c>
      <c r="M58" s="2534"/>
      <c r="N58" s="2535" t="str">
        <f ca="1">NUMBERSTRING(INT(N57*10000),2)&amp;"元整"</f>
        <v>壹佰伍拾玖万元整</v>
      </c>
      <c r="O58" s="2536"/>
    </row>
    <row r="59" spans="1:35" ht="24.75" thickBot="1">
      <c r="A59" s="3607" t="s">
        <v>1371</v>
      </c>
      <c r="B59" s="3608"/>
      <c r="C59" s="3608"/>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115</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壹佰壹拾伍万元整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3681</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261</v>
      </c>
      <c r="D63" s="167"/>
      <c r="E63" s="168"/>
      <c r="F63" s="1808"/>
      <c r="G63" s="1808"/>
      <c r="H63" s="1810"/>
      <c r="I63" s="129"/>
      <c r="J63" s="3629" t="s">
        <v>1379</v>
      </c>
      <c r="K63" s="1332" t="s">
        <v>1380</v>
      </c>
      <c r="L63" s="1332">
        <f ca="1">IF(M49&gt;10000,M49*0.5%,IF(AND(M49&gt;1000,M49&lt;=10000),M49*1%,IF(AND(M49&gt;100,M49&lt;=1000),M49*3%,IF(AND(M49&gt;10,M49&lt;=100),M49*5%,M49*8%))))</f>
        <v>8.2199999999999989</v>
      </c>
      <c r="M63" s="302">
        <f ca="1">ROUND(L63,1)</f>
        <v>8.1999999999999993</v>
      </c>
      <c r="N63" s="2543"/>
      <c r="Z63" s="1752"/>
      <c r="AI63" s="1753"/>
    </row>
    <row r="64" spans="1:35" ht="14.25" customHeight="1">
      <c r="A64" s="169" t="s">
        <v>325</v>
      </c>
      <c r="B64" s="170" t="s">
        <v>1381</v>
      </c>
      <c r="C64" s="2565">
        <f ca="1">D45</f>
        <v>274</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2.1920000000000002</v>
      </c>
      <c r="M64" s="302">
        <f t="shared" ref="M64:M65" ca="1" si="1">ROUND(L64,1)</f>
        <v>2.2000000000000002</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2.74</v>
      </c>
      <c r="M65" s="302">
        <f t="shared" ca="1" si="1"/>
        <v>2.7</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1.37</v>
      </c>
      <c r="M66" s="302">
        <f ca="1">IF(L66&gt;0.5,0.5,ROUND(L66,0))</f>
        <v>0.5</v>
      </c>
      <c r="N66" s="2544" t="s">
        <v>1388</v>
      </c>
      <c r="Z66" s="1752"/>
      <c r="AI66" s="1753"/>
    </row>
    <row r="67" spans="1:35" ht="14.25" customHeight="1">
      <c r="A67" s="173" t="s">
        <v>328</v>
      </c>
      <c r="B67" s="174" t="s">
        <v>1389</v>
      </c>
      <c r="C67" s="2568">
        <f ca="1">C63-C66</f>
        <v>261</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0.93500000000000005</v>
      </c>
      <c r="M67" s="302">
        <f ca="1">ROUND(L67*0.9,1)</f>
        <v>0.8</v>
      </c>
      <c r="N67" s="2543"/>
      <c r="Z67" s="1752"/>
      <c r="AI67" s="1753"/>
    </row>
    <row r="68" spans="1:35" ht="14.25" customHeight="1" thickBot="1">
      <c r="A68" s="176" t="s">
        <v>329</v>
      </c>
      <c r="B68" s="177" t="s">
        <v>1391</v>
      </c>
      <c r="C68" s="2569">
        <f ca="1">IF(C67&lt;=0,0,ROUND(C67*D68,0))</f>
        <v>14</v>
      </c>
      <c r="D68" s="2570">
        <f>'数据-取费表'!B41</f>
        <v>5.5000000000000007E-2</v>
      </c>
      <c r="E68" s="178"/>
      <c r="F68" s="1808"/>
      <c r="G68" s="1808"/>
      <c r="H68" s="1810"/>
      <c r="I68" s="129"/>
      <c r="J68" s="3629"/>
      <c r="K68" s="1332" t="s">
        <v>1392</v>
      </c>
      <c r="L68" s="1332">
        <f ca="1">IF(M49&gt;10000,M49*0.5%,IF(AND(M49&gt;5000,M49&lt;=10000),M49*1%,IF(AND(M49&gt;1000,M49&lt;=5000),M49*2%,IF(AND(M49&gt;200,M49&lt;=1000),M49*3%,M49*5%))))</f>
        <v>8.2199999999999989</v>
      </c>
      <c r="M68" s="302">
        <f ca="1">ROUND(L68,1)</f>
        <v>8.1999999999999993</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23</v>
      </c>
      <c r="N69" s="2545">
        <f ca="1">M69/M49</f>
        <v>8.3941605839416053E-2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261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260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260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156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261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260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260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156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比较法-工业</v>
      </c>
      <c r="D101" s="2586" t="str">
        <f>D4</f>
        <v>收益法 (元)</v>
      </c>
      <c r="E101" s="3626" t="s">
        <v>1431</v>
      </c>
      <c r="F101" s="3583"/>
      <c r="G101" s="1827" t="s">
        <v>1432</v>
      </c>
      <c r="H101" s="2595">
        <f ca="1">H118</f>
        <v>274</v>
      </c>
      <c r="I101" s="129"/>
    </row>
    <row r="102" spans="1:35" ht="18.75" customHeight="1">
      <c r="A102" s="3585" t="s">
        <v>1433</v>
      </c>
      <c r="B102" s="2584" t="s">
        <v>1432</v>
      </c>
      <c r="C102" s="2585">
        <f ca="1">IF(D32="楼面单价",ROUND(C19,0),C19)</f>
        <v>333</v>
      </c>
      <c r="D102" s="2586">
        <f ca="1">IF(D32="楼面单价",ROUND(D19,0),D19)</f>
        <v>185</v>
      </c>
      <c r="E102" s="3626"/>
      <c r="F102" s="3583"/>
      <c r="G102" s="1827" t="s">
        <v>1434</v>
      </c>
      <c r="H102" s="2555">
        <f ca="1">I118</f>
        <v>8766</v>
      </c>
      <c r="I102" s="129"/>
    </row>
    <row r="103" spans="1:35" ht="42.75" customHeight="1">
      <c r="A103" s="3585"/>
      <c r="B103" s="2584" t="s">
        <v>1434</v>
      </c>
      <c r="C103" s="2587">
        <f ca="1">C20</f>
        <v>10667</v>
      </c>
      <c r="D103" s="2588">
        <f ca="1">D20</f>
        <v>5914</v>
      </c>
      <c r="E103" s="3620" t="s">
        <v>1435</v>
      </c>
      <c r="F103" s="3621"/>
      <c r="G103" s="1828" t="s">
        <v>1436</v>
      </c>
      <c r="H103" s="2595">
        <f>IF(D36="正常操作",H104+H105+H106,H105+H106)</f>
        <v>0</v>
      </c>
      <c r="I103" s="129"/>
    </row>
    <row r="104" spans="1:35" ht="18.75" customHeight="1">
      <c r="A104" s="3585" t="s">
        <v>1437</v>
      </c>
      <c r="B104" s="2589" t="s">
        <v>1432</v>
      </c>
      <c r="C104" s="2590">
        <f ca="1">H118</f>
        <v>274</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8766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274</v>
      </c>
      <c r="I107" s="129"/>
    </row>
    <row r="108" spans="1:35" ht="18.75" customHeight="1">
      <c r="A108" s="129"/>
      <c r="B108" s="129"/>
      <c r="C108" s="129"/>
      <c r="D108" s="129"/>
      <c r="E108" s="3582"/>
      <c r="F108" s="3583"/>
      <c r="G108" s="1827" t="s">
        <v>1434</v>
      </c>
      <c r="H108" s="2555">
        <f ca="1">IF(H107=H101,H102,ROUND(H107*10000/'数据-汇总表'!E3,0))</f>
        <v>8766</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312.41000000000003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274</v>
      </c>
      <c r="I118" s="2329">
        <f ca="1">ROUND(IF(D32="楼面单价",C32,H118*10000/B118),0)</f>
        <v>8766</v>
      </c>
    </row>
    <row r="119" spans="1:27" ht="18.75" customHeight="1">
      <c r="A119" s="3553" t="s">
        <v>1452</v>
      </c>
      <c r="B119" s="3553"/>
      <c r="C119" s="3553"/>
      <c r="D119" s="3593" t="str">
        <f>NUMBERSTRING(INT(D118*10000),2)&amp;"元整"</f>
        <v>零元整</v>
      </c>
      <c r="E119" s="3595"/>
      <c r="F119" s="3593" t="str">
        <f>NUMBERSTRING(INT(F118*10000),2)&amp;"元整"</f>
        <v>零元整</v>
      </c>
      <c r="G119" s="3595"/>
      <c r="H119" s="3593" t="str">
        <f ca="1">NUMBERSTRING(INT(H118*10000),2)&amp;"元整"</f>
        <v>贰佰柒拾肆万元整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274</v>
      </c>
      <c r="E122" s="3618"/>
      <c r="F122" s="3618"/>
      <c r="G122" s="3618"/>
      <c r="H122" s="3618"/>
      <c r="I122" s="3619"/>
      <c r="AA122" s="725"/>
    </row>
    <row r="123" spans="1:27" ht="18.75" customHeight="1">
      <c r="A123" s="3553" t="s">
        <v>1452</v>
      </c>
      <c r="B123" s="3553"/>
      <c r="C123" s="3553"/>
      <c r="D123" s="3593" t="str">
        <f ca="1">NUMBERSTRING(INT(D122*10000),2)&amp;"元整"</f>
        <v>贰佰柒拾肆万元整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135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312.41000000000003</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312.41000000000003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100</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312.41000000000003</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11</v>
      </c>
      <c r="D45" s="235">
        <f ca="1">C47</f>
        <v>2E-3</v>
      </c>
      <c r="E45" s="236" t="s">
        <v>1539</v>
      </c>
      <c r="F45" s="246">
        <f ca="1">F27</f>
        <v>0.1</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138</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127</v>
      </c>
      <c r="D51" s="232"/>
      <c r="E51" s="232"/>
      <c r="F51" s="264"/>
      <c r="G51" s="234" t="s">
        <v>1560</v>
      </c>
    </row>
    <row r="52" spans="1:7" s="208" customFormat="1" ht="16.5" thickBot="1">
      <c r="A52" s="265" t="s">
        <v>1561</v>
      </c>
      <c r="B52" s="266"/>
      <c r="C52" s="267">
        <f ca="1">C31+C51</f>
        <v>135</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135.62819999999999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4341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312.41000000000003</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62482</v>
      </c>
      <c r="D19" s="849">
        <f ca="1">D9+D10</f>
        <v>312.41000000000003</v>
      </c>
      <c r="E19" s="211">
        <f>'数据-取费表'!B31</f>
        <v>200</v>
      </c>
      <c r="F19" s="231"/>
      <c r="G19" s="1856"/>
    </row>
    <row r="20" spans="1:7" s="214" customFormat="1" ht="13.5" customHeight="1">
      <c r="A20" s="255" t="s">
        <v>1574</v>
      </c>
      <c r="B20" s="210" t="s">
        <v>1575</v>
      </c>
      <c r="C20" s="232">
        <f ca="1">ROUND((C5+C19)*F20,0)</f>
        <v>1250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4559</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4515</v>
      </c>
      <c r="D24" s="238"/>
      <c r="E24" s="238"/>
      <c r="F24" s="239"/>
      <c r="G24" s="240" t="s">
        <v>1586</v>
      </c>
    </row>
    <row r="25" spans="1:7" s="214" customFormat="1" ht="24">
      <c r="A25" s="780" t="s">
        <v>1476</v>
      </c>
      <c r="B25" s="215" t="s">
        <v>1587</v>
      </c>
      <c r="C25" s="1128">
        <f ca="1">ROUND(IF('数据-取费表'!B22&lt;=1,C20*F22*'数据-取费表'!B22/2,C20*(POWER((1+F22),'数据-取费表'!B22/2)-1)),0)</f>
        <v>44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6373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6373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80727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1107181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999712</v>
      </c>
      <c r="D34" s="217"/>
      <c r="E34" s="220"/>
      <c r="F34" s="257"/>
      <c r="G34" s="219"/>
    </row>
    <row r="35" spans="1:7" ht="13.5" customHeight="1">
      <c r="A35" s="780" t="s">
        <v>351</v>
      </c>
      <c r="B35" s="215" t="s">
        <v>1527</v>
      </c>
      <c r="C35" s="220">
        <f ca="1">ROUND(C34*F35,0)</f>
        <v>29991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62482</v>
      </c>
      <c r="D37" s="217">
        <f ca="1">D19</f>
        <v>312.41000000000003</v>
      </c>
      <c r="E37" s="249">
        <f>'数据-取费表'!B35</f>
        <v>200</v>
      </c>
      <c r="F37" s="259"/>
      <c r="G37" s="261"/>
    </row>
    <row r="38" spans="1:7" ht="13.5" customHeight="1">
      <c r="A38" s="780" t="s">
        <v>354</v>
      </c>
      <c r="B38" s="215" t="s">
        <v>1533</v>
      </c>
      <c r="C38" s="220">
        <f ca="1">ROUND(C34*F38,0)</f>
        <v>14996</v>
      </c>
      <c r="D38" s="220"/>
      <c r="E38" s="220"/>
      <c r="F38" s="259">
        <f>'数据-取费表'!B36</f>
        <v>1.4999999999999999E-2</v>
      </c>
      <c r="G38" s="219" t="s">
        <v>1528</v>
      </c>
    </row>
    <row r="39" spans="1:7" s="214" customFormat="1" ht="13.5" customHeight="1">
      <c r="A39" s="255" t="s">
        <v>1534</v>
      </c>
      <c r="B39" s="210" t="s">
        <v>1535</v>
      </c>
      <c r="C39" s="232">
        <f ca="1">ROUND(C33*F20,0)</f>
        <v>22144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40091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39305</v>
      </c>
      <c r="D42" s="238"/>
      <c r="E42" s="238"/>
      <c r="F42" s="239"/>
      <c r="G42" s="3633" t="s">
        <v>1591</v>
      </c>
    </row>
    <row r="43" spans="1:7" ht="13.5" customHeight="1">
      <c r="A43" s="780" t="s">
        <v>347</v>
      </c>
      <c r="B43" s="215" t="s">
        <v>1545</v>
      </c>
      <c r="C43" s="238">
        <f ca="1">ROUND(IF('数据-取费表'!B22&lt;=1,C39*F22*'数据-取费表'!B20/2,C39*(POWER((1+F22),'数据-取费表'!B20/2)-1)),0)</f>
        <v>786</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112933</v>
      </c>
      <c r="D45" s="235">
        <f ca="1">C47</f>
        <v>2E-3</v>
      </c>
      <c r="E45" s="236" t="s">
        <v>1539</v>
      </c>
      <c r="F45" s="246">
        <f ca="1">F27</f>
        <v>0.1</v>
      </c>
      <c r="G45" s="247" t="s">
        <v>1548</v>
      </c>
    </row>
    <row r="46" spans="1:7" s="214" customFormat="1" ht="13.5" customHeight="1">
      <c r="A46" s="780" t="s">
        <v>346</v>
      </c>
      <c r="B46" s="248" t="s">
        <v>1549</v>
      </c>
      <c r="C46" s="249">
        <f ca="1">ROUND((C33+C39)*F27,0)</f>
        <v>112933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1386473</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1275555</v>
      </c>
      <c r="D51" s="232"/>
      <c r="E51" s="232"/>
      <c r="F51" s="264"/>
      <c r="G51" s="234" t="s">
        <v>1560</v>
      </c>
    </row>
    <row r="52" spans="1:7" s="208" customFormat="1" ht="16.5" thickBot="1">
      <c r="A52" s="265" t="s">
        <v>1561</v>
      </c>
      <c r="B52" s="266"/>
      <c r="C52" s="267">
        <f ca="1">C31+C51</f>
        <v>1356282</v>
      </c>
      <c r="D52" s="266"/>
      <c r="E52" s="266"/>
      <c r="F52" s="266"/>
      <c r="G52" s="268"/>
    </row>
    <row r="55" spans="1:7" ht="15">
      <c r="B55" s="270" t="s">
        <v>1562</v>
      </c>
      <c r="C55" s="271"/>
    </row>
    <row r="56" spans="1:7">
      <c r="B56" s="273" t="s">
        <v>802</v>
      </c>
      <c r="C56" s="275">
        <f ca="1">1-C57</f>
        <v>6.0000000000000053E-2</v>
      </c>
    </row>
    <row r="57" spans="1:7">
      <c r="B57" s="273" t="s">
        <v>803</v>
      </c>
      <c r="C57" s="274">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312.41000000000003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312.41000000000003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312.41000000000003</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58" sqref="K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28.79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184.7697</v>
      </c>
      <c r="C2" s="1387" t="s">
        <v>879</v>
      </c>
      <c r="D2" s="1471">
        <f ca="1">C40+J29+L46</f>
        <v>1847697</v>
      </c>
      <c r="E2" s="1388" t="s">
        <v>880</v>
      </c>
      <c r="F2" s="1389"/>
      <c r="G2" s="2706"/>
      <c r="H2" s="2695"/>
      <c r="I2" s="2695"/>
      <c r="J2" s="2695"/>
      <c r="K2" s="2696"/>
      <c r="L2" s="2695"/>
      <c r="M2" s="2695"/>
    </row>
    <row r="3" spans="1:37" ht="18" customHeight="1" thickBot="1">
      <c r="A3" s="1390" t="s">
        <v>881</v>
      </c>
      <c r="B3" s="1391">
        <f ca="1">IF(ISERROR(D2/F43),0,ROUND(D2/F43,0))</f>
        <v>5914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133582</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133415</v>
      </c>
      <c r="D6" s="155" t="s">
        <v>2106</v>
      </c>
      <c r="E6" s="302" t="s">
        <v>696</v>
      </c>
      <c r="F6" s="303">
        <f ca="1">INDIRECT("'数据-取费表'!u"&amp;$G$1)</f>
        <v>1.3</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312.41000000000003</v>
      </c>
      <c r="G7" s="1384"/>
      <c r="H7" s="304"/>
      <c r="I7" s="3639"/>
      <c r="J7" s="306"/>
      <c r="K7" s="307"/>
      <c r="L7" s="302" t="s">
        <v>697</v>
      </c>
      <c r="M7" s="303">
        <f ca="1">F7</f>
        <v>312.41000000000003</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167</v>
      </c>
      <c r="D10" s="1366" t="s">
        <v>2116</v>
      </c>
      <c r="E10" s="313" t="s">
        <v>701</v>
      </c>
      <c r="F10" s="1116" t="s">
        <v>3396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1275555</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999712</v>
      </c>
      <c r="D14" s="1345" t="s">
        <v>708</v>
      </c>
      <c r="E14" s="1342"/>
      <c r="F14" s="319"/>
      <c r="G14" s="1384"/>
      <c r="H14" s="982" t="s">
        <v>398</v>
      </c>
      <c r="I14" s="302" t="s">
        <v>709</v>
      </c>
      <c r="J14" s="21">
        <f ca="1">C29</f>
        <v>1386473</v>
      </c>
      <c r="K14" s="12"/>
      <c r="L14" s="807"/>
      <c r="M14" s="808"/>
    </row>
    <row r="15" spans="1:37" s="1397" customFormat="1" ht="18" customHeight="1" thickBot="1">
      <c r="A15" s="982" t="s">
        <v>399</v>
      </c>
      <c r="B15" s="302" t="s">
        <v>710</v>
      </c>
      <c r="C15" s="21">
        <f ca="1">ROUND(C14*F15,0)</f>
        <v>29991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13865</v>
      </c>
      <c r="K16" s="1087" t="s">
        <v>715</v>
      </c>
      <c r="L16" s="1088"/>
      <c r="M16" s="1072"/>
    </row>
    <row r="17" spans="1:37" s="1397" customFormat="1" ht="18" customHeight="1">
      <c r="A17" s="982" t="s">
        <v>681</v>
      </c>
      <c r="B17" s="302" t="s">
        <v>716</v>
      </c>
      <c r="C17" s="21">
        <f ca="1">ROUND(F17*(F43+INDIRECT("'数据-取费表'!S"&amp;$G$1)),0)</f>
        <v>62482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14996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1107181</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22144</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13865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40091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-13865</v>
      </c>
      <c r="K25" s="1095" t="s">
        <v>753</v>
      </c>
      <c r="L25" s="1096"/>
      <c r="M25" s="1097"/>
    </row>
    <row r="26" spans="1:37" ht="18" customHeight="1">
      <c r="A26" s="982" t="s">
        <v>397</v>
      </c>
      <c r="B26" s="302" t="s">
        <v>754</v>
      </c>
      <c r="C26" s="21">
        <f ca="1">ROUND((C19+C20)*F26,0)</f>
        <v>112933</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1386473</v>
      </c>
      <c r="D29" s="1092"/>
      <c r="E29" s="1090"/>
      <c r="F29" s="1093"/>
      <c r="G29" s="1396"/>
      <c r="H29" s="334" t="s">
        <v>396</v>
      </c>
      <c r="I29" s="335" t="s">
        <v>768</v>
      </c>
      <c r="J29" s="336">
        <f ca="1">ROUND(J26/(1+F40)^F41,0)</f>
        <v>0</v>
      </c>
      <c r="K29" s="337" t="s">
        <v>769</v>
      </c>
      <c r="L29" s="338"/>
      <c r="M29" s="339">
        <f ca="1">INDIRECT("'数据-取费表'!k"&amp;$G$1)</f>
        <v>312.41000000000003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39349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22235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6988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15247</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13865</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1913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1336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94233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1772163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28.79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5673</v>
      </c>
      <c r="D43" s="337" t="s">
        <v>777</v>
      </c>
      <c r="E43" s="338" t="s">
        <v>778</v>
      </c>
      <c r="F43" s="339">
        <f ca="1">INDIRECT("'数据-取费表'!k"&amp;$G$1)</f>
        <v>312.41000000000003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-199.76240000000001</v>
      </c>
      <c r="D45" s="3432" t="s">
        <v>3359</v>
      </c>
      <c r="E45" s="1400"/>
      <c r="F45" s="1400"/>
      <c r="O45" s="1403" t="s">
        <v>808</v>
      </c>
      <c r="P45" s="1461"/>
      <c r="Q45" s="1461"/>
      <c r="R45" s="1461"/>
    </row>
    <row r="46" spans="1:18" s="1384" customFormat="1" ht="13.5" thickBot="1">
      <c r="A46" s="1404" t="s">
        <v>809</v>
      </c>
      <c r="C46" s="1405">
        <f ca="1">ROUND(C45,0)</f>
        <v>-200</v>
      </c>
      <c r="D46" s="1406" t="str">
        <f>C2</f>
        <v>万元</v>
      </c>
      <c r="I46" s="1407" t="s">
        <v>810</v>
      </c>
      <c r="J46" s="1408"/>
      <c r="K46" s="1409"/>
      <c r="L46" s="1410">
        <f ca="1">IF(M47="住宅",0,IF(L48&gt;J51,L60,J60))</f>
        <v>75534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1772163</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28.79</v>
      </c>
      <c r="O48" s="1418" t="s">
        <v>404</v>
      </c>
      <c r="P48" s="1419" t="s">
        <v>821</v>
      </c>
      <c r="Q48" s="1420">
        <f ca="1">J60</f>
        <v>75534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1386473</v>
      </c>
      <c r="R49" s="1420" t="s">
        <v>818</v>
      </c>
    </row>
    <row r="50" spans="1:18" s="1384" customFormat="1" ht="13.5" thickBot="1">
      <c r="A50" s="976"/>
      <c r="B50" s="979"/>
      <c r="C50" s="980"/>
      <c r="D50" s="953"/>
      <c r="E50" s="1056" t="s">
        <v>697</v>
      </c>
      <c r="F50" s="1057">
        <f ca="1">F7</f>
        <v>312.41000000000003</v>
      </c>
      <c r="H50" s="723"/>
      <c r="I50" s="1421" t="s">
        <v>826</v>
      </c>
      <c r="J50" s="1429">
        <f>SUMPRODUCT((I63:I65=J47)*(J62:L62=J48)*(J63:L65))</f>
        <v>60</v>
      </c>
      <c r="K50" s="1423" t="s">
        <v>827</v>
      </c>
      <c r="L50" s="1427"/>
      <c r="M50" s="1430"/>
      <c r="O50" s="1428" t="s">
        <v>406</v>
      </c>
      <c r="P50" s="1419" t="s">
        <v>828</v>
      </c>
      <c r="Q50" s="1431">
        <f ca="1">J58</f>
        <v>0.437</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92127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28.79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28.79</v>
      </c>
      <c r="K53" s="3636" t="s">
        <v>837</v>
      </c>
      <c r="L53" s="3637"/>
      <c r="O53" s="1418" t="s">
        <v>409</v>
      </c>
      <c r="P53" s="1419" t="s">
        <v>838</v>
      </c>
      <c r="Q53" s="1420">
        <f ca="1">Q47+Q48</f>
        <v>1847697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0.437</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1275555</v>
      </c>
      <c r="D56" s="1447"/>
      <c r="E56" s="1448"/>
      <c r="F56" s="1440"/>
      <c r="I56" s="1449" t="s">
        <v>842</v>
      </c>
      <c r="J56" s="1450" t="s">
        <v>3399</v>
      </c>
      <c r="K56" s="1421" t="s">
        <v>843</v>
      </c>
      <c r="L56" s="1424" t="str">
        <f ca="1">IF(L48&lt;J51,"——",L48-J51)</f>
        <v>——</v>
      </c>
      <c r="O56" s="1418" t="s">
        <v>403</v>
      </c>
      <c r="P56" s="1419" t="s">
        <v>817</v>
      </c>
      <c r="Q56" s="1420">
        <f ca="1">C40+J29</f>
        <v>1772163</v>
      </c>
      <c r="R56" s="1420" t="s">
        <v>818</v>
      </c>
    </row>
    <row r="57" spans="1:18" s="1384" customFormat="1" ht="24.75" thickBot="1">
      <c r="A57" s="1451"/>
      <c r="B57" s="950" t="s">
        <v>767</v>
      </c>
      <c r="C57" s="238">
        <f ca="1">C29</f>
        <v>1386473</v>
      </c>
      <c r="D57" s="1452"/>
      <c r="E57" s="1453"/>
      <c r="F57" s="1454"/>
      <c r="I57" s="1455" t="s">
        <v>844</v>
      </c>
      <c r="J57" s="1456">
        <f ca="1">IF(OR(M47="住宅",J51&lt;L48,J56="是"),"——",J51-L48)</f>
        <v>26.21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15778</v>
      </c>
      <c r="D58" s="960" t="s">
        <v>715</v>
      </c>
      <c r="E58" s="961"/>
      <c r="F58" s="962"/>
      <c r="I58" s="1455" t="s">
        <v>848</v>
      </c>
      <c r="J58" s="1457">
        <f ca="1">IF(J55&lt;0.4,0.4,J55)</f>
        <v>0.437</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605889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75534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1772163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13865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1913</v>
      </c>
      <c r="D65" s="964" t="s">
        <v>743</v>
      </c>
      <c r="E65" s="950" t="s">
        <v>744</v>
      </c>
      <c r="F65" s="330">
        <f t="shared" ca="1" si="0"/>
        <v>1.5E-3</v>
      </c>
      <c r="I65" s="1462" t="s">
        <v>867</v>
      </c>
      <c r="J65" s="1463">
        <v>40</v>
      </c>
      <c r="K65" s="1463">
        <v>30</v>
      </c>
      <c r="L65" s="1463">
        <v>50</v>
      </c>
      <c r="M65" s="1465">
        <v>0.02</v>
      </c>
      <c r="O65" s="1418" t="s">
        <v>403</v>
      </c>
      <c r="P65" s="1419" t="s">
        <v>868</v>
      </c>
      <c r="Q65" s="1420">
        <f ca="1">C40+J29</f>
        <v>1772163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-15778</v>
      </c>
      <c r="D67" s="963" t="s">
        <v>753</v>
      </c>
      <c r="E67" s="968"/>
      <c r="F67" s="969"/>
      <c r="O67" s="1428" t="s">
        <v>405</v>
      </c>
      <c r="P67" s="1419" t="s">
        <v>850</v>
      </c>
      <c r="Q67" s="1466">
        <f ca="1">L51</f>
        <v>92127</v>
      </c>
      <c r="R67" s="1420" t="s">
        <v>870</v>
      </c>
    </row>
    <row r="68" spans="1:18" s="1384" customFormat="1" ht="16.5" thickBot="1">
      <c r="A68" s="947" t="s">
        <v>395</v>
      </c>
      <c r="B68" s="948" t="s">
        <v>774</v>
      </c>
      <c r="C68" s="301">
        <f ca="1">ROUND(C67*(1-((1+F70)/(1+F68))^F69)/(F68-F70),0)</f>
        <v>-225461</v>
      </c>
      <c r="D68" s="965" t="s">
        <v>758</v>
      </c>
      <c r="E68" s="950" t="s">
        <v>759</v>
      </c>
      <c r="F68" s="312">
        <f ca="1">F40</f>
        <v>5.5E-2</v>
      </c>
      <c r="O68" s="1428" t="s">
        <v>406</v>
      </c>
      <c r="P68" s="1467" t="s">
        <v>871</v>
      </c>
      <c r="Q68" s="1420">
        <f ca="1">ROUND(Q69-Q70*Q71,0)</f>
        <v>4944</v>
      </c>
      <c r="R68" s="1420" t="s">
        <v>414</v>
      </c>
    </row>
    <row r="69" spans="1:18" s="1384" customFormat="1" ht="13.5" thickBot="1">
      <c r="A69" s="951"/>
      <c r="B69" s="952"/>
      <c r="C69" s="306"/>
      <c r="D69" s="970" t="s">
        <v>762</v>
      </c>
      <c r="E69" s="950" t="s">
        <v>763</v>
      </c>
      <c r="F69" s="333">
        <f ca="1">F41</f>
        <v>28.79</v>
      </c>
      <c r="O69" s="1428" t="s">
        <v>411</v>
      </c>
      <c r="P69" s="1467" t="s">
        <v>872</v>
      </c>
      <c r="Q69" s="1420">
        <f ca="1">C39</f>
        <v>94233</v>
      </c>
      <c r="R69" s="1420" t="s">
        <v>818</v>
      </c>
    </row>
    <row r="70" spans="1:18" s="1384" customFormat="1" ht="13.5" thickBot="1">
      <c r="A70" s="954"/>
      <c r="B70" s="955"/>
      <c r="C70" s="310"/>
      <c r="D70" s="966"/>
      <c r="E70" s="950" t="s">
        <v>766</v>
      </c>
      <c r="F70" s="1054"/>
      <c r="O70" s="1428" t="s">
        <v>412</v>
      </c>
      <c r="P70" s="1467" t="s">
        <v>873</v>
      </c>
      <c r="Q70" s="1420">
        <f ca="1">C13</f>
        <v>1275555</v>
      </c>
      <c r="R70" s="1420" t="s">
        <v>818</v>
      </c>
    </row>
    <row r="71" spans="1:18" s="1384" customFormat="1" ht="13.5" thickBot="1">
      <c r="A71" s="971" t="s">
        <v>396</v>
      </c>
      <c r="B71" s="972" t="s">
        <v>776</v>
      </c>
      <c r="C71" s="336">
        <f ca="1">ROUND(C68/F71,0)</f>
        <v>-722</v>
      </c>
      <c r="D71" s="973" t="s">
        <v>777</v>
      </c>
      <c r="E71" s="974" t="s">
        <v>778</v>
      </c>
      <c r="F71" s="339">
        <f ca="1">F43</f>
        <v>312.41000000000003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89289</v>
      </c>
      <c r="D75" s="1384"/>
      <c r="E75" s="1384"/>
      <c r="F75" s="1384"/>
      <c r="K75" s="1402"/>
      <c r="L75" s="1384"/>
      <c r="O75" s="1418" t="s">
        <v>409</v>
      </c>
      <c r="P75" s="1419" t="s">
        <v>838</v>
      </c>
      <c r="Q75" s="1420">
        <f ca="1">Q65+Q66</f>
        <v>1772163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5.2000000000000046E-2</v>
      </c>
    </row>
    <row r="80" spans="1:18">
      <c r="B80" s="340" t="s">
        <v>800</v>
      </c>
      <c r="C80" s="274">
        <f ca="1">ROUND(C75/C39,3)</f>
        <v>0.94799999999999995</v>
      </c>
    </row>
    <row r="81" spans="2:3">
      <c r="B81" s="270" t="s">
        <v>801</v>
      </c>
      <c r="C81" s="238"/>
    </row>
    <row r="82" spans="2:3">
      <c r="B82" s="273" t="s">
        <v>802</v>
      </c>
      <c r="C82" s="275">
        <f ca="1">1-C83</f>
        <v>0.28000000000000003</v>
      </c>
    </row>
    <row r="83" spans="2:3">
      <c r="B83" s="273" t="s">
        <v>803</v>
      </c>
      <c r="C83" s="274">
        <f ca="1">ROUND(C13/C40,3)</f>
        <v>0.72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184.7697</v>
      </c>
      <c r="C2" s="1872" t="s">
        <v>1651</v>
      </c>
      <c r="D2" s="1873" t="s">
        <v>1652</v>
      </c>
      <c r="E2" s="2607">
        <f>SUM(E6:E13)</f>
        <v>312.41000000000003</v>
      </c>
      <c r="F2" s="2707"/>
      <c r="G2" s="1489"/>
      <c r="H2" s="1489"/>
      <c r="I2" s="1489"/>
      <c r="J2" s="1489"/>
      <c r="K2" s="1489"/>
      <c r="L2" s="1489"/>
      <c r="M2" s="1489"/>
      <c r="N2" s="1489"/>
      <c r="O2" s="1489"/>
      <c r="P2" s="1489"/>
      <c r="Q2" s="1489"/>
      <c r="R2" s="1489"/>
      <c r="S2" s="1489"/>
    </row>
    <row r="3" spans="1:22" ht="15.75">
      <c r="A3" s="1870" t="s">
        <v>686</v>
      </c>
      <c r="B3" s="2601">
        <f ca="1">ROUND(B2*10000/E2,0)</f>
        <v>5914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184.7697</v>
      </c>
      <c r="C6" s="1872" t="s">
        <v>1651</v>
      </c>
      <c r="D6" s="2709"/>
      <c r="E6" s="2606">
        <f>IF(OR(A6=0,F6="否"),0,'数据-取费表'!K6+'数据-取费表'!S6)</f>
        <v>312.41000000000003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312.41000000000003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312.41000000000003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45125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312.41000000000003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45125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39" sqref="I3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21</v>
      </c>
      <c r="E1" s="3433" t="s">
        <v>3388</v>
      </c>
      <c r="F1" s="1879" t="s">
        <v>3389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333.24770000000001</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10667</v>
      </c>
      <c r="C3" s="354" t="s">
        <v>1768</v>
      </c>
      <c r="D3" s="353">
        <f>IF(D1="",'数据-汇总表'!E3,SUMIF('数据-汇总表'!$C19:$C33,D1,'数据-汇总表'!$E19:$E33))</f>
        <v>312.41000000000003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45125</v>
      </c>
      <c r="D7" s="365">
        <v>100</v>
      </c>
      <c r="E7" s="366">
        <v>45108</v>
      </c>
      <c r="F7" s="367">
        <f>SUMIF(52:52,YEAR(E7)&amp;"-"&amp;MONTH(E7),53:53)</f>
        <v>100</v>
      </c>
      <c r="G7" s="366">
        <v>45108</v>
      </c>
      <c r="H7" s="365">
        <f>SUMIF(52:52,YEAR(G7)&amp;"-"&amp;MONTH(G7),53:53)</f>
        <v>100</v>
      </c>
      <c r="I7" s="366">
        <v>45108</v>
      </c>
      <c r="J7" s="365">
        <f>SUMIF(52:52,YEAR(I7)&amp;"-"&amp;MONTH(I7),53:53)</f>
        <v>100</v>
      </c>
      <c r="K7" s="560"/>
      <c r="L7" s="915"/>
      <c r="M7" s="916"/>
      <c r="N7" s="916"/>
      <c r="O7" s="916"/>
      <c r="P7" s="3701" t="s">
        <v>1680</v>
      </c>
      <c r="Q7" s="3703"/>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3789" t="s">
        <v>3390</v>
      </c>
      <c r="C25" s="3791" t="s">
        <v>3391</v>
      </c>
      <c r="D25" s="386">
        <v>100</v>
      </c>
      <c r="E25" s="3791" t="s">
        <v>3391</v>
      </c>
      <c r="F25" s="412">
        <f>SUMIF(80:80,E25,81:81)-SUMIF(80:80,C25,81:81)+100</f>
        <v>100</v>
      </c>
      <c r="G25" s="3791" t="s">
        <v>3391</v>
      </c>
      <c r="H25" s="386">
        <f>SUMIF(80:80,G25,81:81)-SUMIF(80:80,C25,81:81)+100</f>
        <v>100</v>
      </c>
      <c r="I25" s="3791" t="s">
        <v>3391</v>
      </c>
      <c r="J25" s="386">
        <f>SUMIF(80:80,I25,81:81)-SUMIF(80:80,C25,81:81)+100</f>
        <v>100</v>
      </c>
      <c r="K25" s="562"/>
      <c r="L25" s="923"/>
      <c r="M25" s="914"/>
      <c r="N25" s="914"/>
      <c r="O25" s="922"/>
      <c r="P25" s="3668"/>
      <c r="Q25" s="1352" t="str">
        <f>B25</f>
        <v>楼层</v>
      </c>
      <c r="R25" s="705" t="s">
        <v>14</v>
      </c>
      <c r="S25" s="706">
        <f>F25</f>
        <v>100</v>
      </c>
      <c r="T25" s="705" t="s">
        <v>14</v>
      </c>
      <c r="U25" s="706">
        <f>H25</f>
        <v>100</v>
      </c>
      <c r="V25" s="705" t="s">
        <v>14</v>
      </c>
      <c r="W25" s="706">
        <f>J25</f>
        <v>100</v>
      </c>
      <c r="X25" s="1355"/>
      <c r="Y25" s="3668"/>
      <c r="Z25" s="1356" t="str">
        <f>Q25</f>
        <v>楼层</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v>312.41000000000003</v>
      </c>
      <c r="D30" s="127">
        <v>100</v>
      </c>
      <c r="E30" s="381">
        <v>310</v>
      </c>
      <c r="F30" s="376">
        <f>LOOKUP(E30,91:91,92:92)-LOOKUP(C30,91:91,92:92)+100</f>
        <v>100</v>
      </c>
      <c r="G30" s="380">
        <v>300</v>
      </c>
      <c r="H30" s="127">
        <f>LOOKUP(G30,91:91,92:92)-LOOKUP(C30,91:91,92:92)+100</f>
        <v>100</v>
      </c>
      <c r="I30" s="380">
        <v>300</v>
      </c>
      <c r="J30" s="127">
        <f>LOOKUP(I30,91:91,92:92)-LOOKUP(C30,91:91,92:92)+100</f>
        <v>100</v>
      </c>
      <c r="K30" s="562"/>
      <c r="L30" s="921"/>
      <c r="M30" s="924"/>
      <c r="N30" s="924"/>
      <c r="O30" s="925"/>
      <c r="P30" s="3672"/>
      <c r="Q30" s="707" t="str">
        <f t="shared" si="11"/>
        <v>项目建筑规模</v>
      </c>
      <c r="R30" s="708" t="s">
        <v>14</v>
      </c>
      <c r="S30" s="709">
        <f t="shared" si="12"/>
        <v>100</v>
      </c>
      <c r="T30" s="708" t="s">
        <v>14</v>
      </c>
      <c r="U30" s="709">
        <f t="shared" si="13"/>
        <v>100</v>
      </c>
      <c r="V30" s="708" t="s">
        <v>14</v>
      </c>
      <c r="W30" s="709">
        <f t="shared" si="14"/>
        <v>100</v>
      </c>
      <c r="X30" s="710"/>
      <c r="Y30" s="3672"/>
      <c r="Z30" s="711" t="str">
        <f t="shared" si="15"/>
        <v>项目建筑规模</v>
      </c>
      <c r="AA30" s="1353">
        <f t="shared" si="3"/>
        <v>1</v>
      </c>
      <c r="AB30" s="1353">
        <f t="shared" si="4"/>
        <v>1</v>
      </c>
      <c r="AC30" s="1353">
        <f t="shared" si="5"/>
        <v>1</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5">
        <v>0.92</v>
      </c>
      <c r="D33" s="386">
        <v>100</v>
      </c>
      <c r="E33" s="425">
        <f>C33</f>
        <v>0.92</v>
      </c>
      <c r="F33" s="412">
        <f>LOOKUP(E33,98:98,99:99)-LOOKUP(C33,98:98,99:99)+100</f>
        <v>100</v>
      </c>
      <c r="G33" s="425">
        <f>C33</f>
        <v>0.92</v>
      </c>
      <c r="H33" s="412">
        <f>LOOKUP(G33,98:98,99:99)-LOOKUP(C33,98:98,99:99)+100</f>
        <v>100</v>
      </c>
      <c r="I33" s="425">
        <f>C33</f>
        <v>0.92</v>
      </c>
      <c r="J33" s="386">
        <f>LOOKUP(I33,98:98,99:99)-LOOKUP(C33,98:98,99:99)+100</f>
        <v>100</v>
      </c>
      <c r="K33" s="561"/>
      <c r="L33" s="923"/>
      <c r="M33" s="914"/>
      <c r="N33" s="914"/>
      <c r="O33" s="922"/>
      <c r="P33" s="3672"/>
      <c r="Q33" s="1352" t="str">
        <f t="shared" si="11"/>
        <v>成新度</v>
      </c>
      <c r="R33" s="705" t="s">
        <v>14</v>
      </c>
      <c r="S33" s="706">
        <f t="shared" si="12"/>
        <v>100</v>
      </c>
      <c r="T33" s="705" t="s">
        <v>14</v>
      </c>
      <c r="U33" s="706">
        <f t="shared" si="13"/>
        <v>100</v>
      </c>
      <c r="V33" s="705" t="s">
        <v>14</v>
      </c>
      <c r="W33" s="706">
        <f t="shared" si="14"/>
        <v>100</v>
      </c>
      <c r="X33" s="1355"/>
      <c r="Y33" s="3672"/>
      <c r="Z33" s="1356" t="str">
        <f t="shared" si="15"/>
        <v>成新度</v>
      </c>
      <c r="AA33" s="1353">
        <f t="shared" si="3"/>
        <v>1</v>
      </c>
      <c r="AB33" s="1353">
        <f t="shared" si="4"/>
        <v>1</v>
      </c>
      <c r="AC33" s="1353">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v>11000</v>
      </c>
      <c r="F41" s="1157"/>
      <c r="G41" s="1158">
        <v>11000</v>
      </c>
      <c r="H41" s="1159"/>
      <c r="I41" s="1156">
        <v>10000</v>
      </c>
      <c r="J41" s="1159"/>
      <c r="K41" s="714"/>
      <c r="L41" s="926"/>
      <c r="M41" s="927"/>
      <c r="N41" s="914"/>
      <c r="O41" s="927"/>
      <c r="P41" s="3665" t="str">
        <f>A41</f>
        <v>成交单价（元/平方米）</v>
      </c>
      <c r="Q41" s="3665"/>
      <c r="R41" s="3666">
        <f>E41</f>
        <v>11000</v>
      </c>
      <c r="S41" s="3666"/>
      <c r="T41" s="3666">
        <f>G41</f>
        <v>11000</v>
      </c>
      <c r="U41" s="3666"/>
      <c r="V41" s="3666">
        <f>I41</f>
        <v>10000</v>
      </c>
      <c r="W41" s="3666"/>
      <c r="X41" s="690"/>
      <c r="Y41" s="712"/>
      <c r="Z41" s="690"/>
      <c r="AA41" s="690"/>
      <c r="AB41" s="690"/>
      <c r="AC41" s="690"/>
    </row>
    <row r="42" spans="1:29" ht="15.75" thickBot="1">
      <c r="A42" s="437" t="s">
        <v>1793</v>
      </c>
      <c r="B42" s="438"/>
      <c r="C42" s="1160">
        <f>R43</f>
        <v>10667</v>
      </c>
      <c r="D42" s="2317" t="s">
        <v>2138</v>
      </c>
      <c r="E42" s="1161">
        <f>R42</f>
        <v>11000</v>
      </c>
      <c r="F42" s="2318"/>
      <c r="G42" s="1160">
        <f>T42</f>
        <v>11000</v>
      </c>
      <c r="H42" s="2318"/>
      <c r="I42" s="1161">
        <f>V42</f>
        <v>10000</v>
      </c>
      <c r="J42" s="2318"/>
      <c r="K42" s="2320">
        <f>F42+H42+J42</f>
        <v>0</v>
      </c>
      <c r="L42" s="926"/>
      <c r="M42" s="927"/>
      <c r="N42" s="914"/>
      <c r="O42" s="927"/>
      <c r="P42" s="3665" t="str">
        <f>A42</f>
        <v>比较价值（元/平方米）</v>
      </c>
      <c r="Q42" s="3665"/>
      <c r="R42" s="3666">
        <f>IF(F1="售价",ROUND(PRODUCT(R41,AA7:AA40),0),ROUND(PRODUCT(R41,AA7:AA40),1))</f>
        <v>11000</v>
      </c>
      <c r="S42" s="3666"/>
      <c r="T42" s="3666">
        <f>IF(F1="售价",ROUND(PRODUCT(T41,AB7:AB40),0),ROUND(PRODUCT(T41,AB7:AB40),1))</f>
        <v>11000</v>
      </c>
      <c r="U42" s="3666"/>
      <c r="V42" s="3666">
        <f>IF(F1="售价",ROUND(PRODUCT(V41,AC7:AC40),0),ROUND(PRODUCT(V41,AC7:AC40),1))</f>
        <v>10000</v>
      </c>
      <c r="W42" s="3666"/>
      <c r="X42" s="690"/>
      <c r="Y42" s="690"/>
      <c r="Z42" s="690"/>
      <c r="AA42" s="690"/>
      <c r="AB42" s="690"/>
      <c r="AC42" s="690"/>
    </row>
    <row r="43" spans="1:29" ht="15.75" thickBot="1">
      <c r="A43" s="441" t="s">
        <v>1794</v>
      </c>
      <c r="B43" s="442"/>
      <c r="C43" s="1163">
        <f>R43</f>
        <v>10667</v>
      </c>
      <c r="D43" s="1163"/>
      <c r="E43" s="1163"/>
      <c r="F43" s="1163"/>
      <c r="G43" s="1163"/>
      <c r="H43" s="1163"/>
      <c r="I43" s="1163"/>
      <c r="J43" s="1163"/>
      <c r="K43" s="715"/>
      <c r="L43" s="926"/>
      <c r="M43" s="927"/>
      <c r="N43" s="927"/>
      <c r="O43" s="927"/>
      <c r="P43" s="3662" t="str">
        <f>A43</f>
        <v>估价对象XX用房的比较价值（楼面单价，元/平方米）</v>
      </c>
      <c r="Q43" s="3663"/>
      <c r="R43" s="3664">
        <f>IF(F1="售价",ROUND(IF(D42="简单平均",AVERAGE(R42:V42),R42*F42+T42*H42+V42*J42),0),ROUND(IF(D42="简单平均",AVERAGE(R42:V42),R42*F42+T42*H42+V42*J42),1))</f>
        <v>10667</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0</v>
      </c>
      <c r="F46" s="449" t="str">
        <f>IF(OR(E46&gt;=0.3,E46&lt;=-0.3),"超过30%","")</f>
        <v/>
      </c>
      <c r="G46" s="448">
        <f>IF(G41&lt;G42,G42/G41-1,G41/G42-1)</f>
        <v>0</v>
      </c>
      <c r="H46" s="449" t="str">
        <f>IF(OR(G46&gt;=0.3,G46&lt;=-0.3),"超过30%","")</f>
        <v/>
      </c>
      <c r="I46" s="448">
        <f>IF(I41&lt;I42,I42/I41-1,I41/I42-1)</f>
        <v>0</v>
      </c>
      <c r="J46" s="449" t="str">
        <f>IF(OR(I46&gt;=0.3,I46&lt;=-0.3),"超过30%","")</f>
        <v/>
      </c>
      <c r="K46" s="2730"/>
      <c r="L46" s="889"/>
      <c r="M46" s="927"/>
      <c r="N46" s="927"/>
      <c r="O46" s="927"/>
    </row>
    <row r="47" spans="1:29" ht="13.5" customHeight="1">
      <c r="A47" s="2725"/>
      <c r="B47" s="2725"/>
      <c r="C47" s="446" t="s">
        <v>1796</v>
      </c>
      <c r="D47" s="450"/>
      <c r="E47" s="448">
        <f>IF(E42&lt;G42,G42/E42-1,E42/G42-1)</f>
        <v>0</v>
      </c>
      <c r="F47" s="449" t="str">
        <f>IF(OR(E47&gt;=0.2,E47&lt;=-0.2),"超过20%","")</f>
        <v/>
      </c>
      <c r="G47" s="448">
        <f>IF(G42&lt;I42,I42/G42-1,G42/I42-1)</f>
        <v>0.10000000000000009</v>
      </c>
      <c r="H47" s="449" t="str">
        <f>IF(OR(G47&gt;=0.2,G47&lt;=-0.2),"超过20%","")</f>
        <v/>
      </c>
      <c r="I47" s="448">
        <f>IF(I42&lt;E42,E42/I42-1,I42/E42-1)</f>
        <v>0.10000000000000009</v>
      </c>
      <c r="J47" s="449" t="str">
        <f>IF(OR(I47&gt;=0.2,I47&lt;=-0.2),"超过20%","")</f>
        <v/>
      </c>
      <c r="K47" s="2730"/>
      <c r="L47" s="889"/>
      <c r="M47" s="927"/>
      <c r="N47" s="927"/>
      <c r="O47" s="927"/>
    </row>
    <row r="48" spans="1:29" s="451" customFormat="1" ht="13.5" customHeight="1">
      <c r="A48" s="2728"/>
      <c r="B48" s="2728"/>
      <c r="C48" s="446" t="s">
        <v>1797</v>
      </c>
      <c r="D48" s="450"/>
      <c r="E48" s="448">
        <f>IF(E41&lt;G41,G41/E41-1,E41/G41-1)</f>
        <v>0</v>
      </c>
      <c r="F48" s="449" t="str">
        <f>IF(OR(E48&gt;=0.3,E48&lt;=-0.3),"超过30%","")</f>
        <v/>
      </c>
      <c r="G48" s="448">
        <f>IF(G41&lt;I41,I41/G41-1,G41/I41-1)</f>
        <v>0.10000000000000009</v>
      </c>
      <c r="H48" s="449" t="str">
        <f>IF(OR(G48&gt;=0.3,G48&lt;=-0.3),"超过30%","")</f>
        <v/>
      </c>
      <c r="I48" s="448">
        <f>IF(I41&lt;E41,E41/I41-1,I41/E41-1)</f>
        <v>0.10000000000000009</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t="str">
        <f>B25</f>
        <v>楼层</v>
      </c>
      <c r="C80" s="3790" t="s">
        <v>3391</v>
      </c>
      <c r="D80" s="3790" t="s">
        <v>3392</v>
      </c>
      <c r="E80" s="3790" t="s">
        <v>3393</v>
      </c>
      <c r="F80" s="503"/>
      <c r="G80" s="503"/>
      <c r="H80" s="503"/>
      <c r="I80" s="503"/>
      <c r="J80" s="503"/>
      <c r="K80" s="503"/>
      <c r="L80" s="529"/>
      <c r="M80" s="530"/>
      <c r="N80" s="932"/>
      <c r="O80" s="932"/>
      <c r="P80" s="42"/>
      <c r="Q80" s="453"/>
    </row>
    <row r="81" spans="1:17" s="108" customFormat="1" ht="15.75" thickBot="1">
      <c r="A81" s="528"/>
      <c r="B81" s="492"/>
      <c r="C81" s="509">
        <v>102</v>
      </c>
      <c r="D81" s="485">
        <v>100</v>
      </c>
      <c r="E81" s="485">
        <v>98</v>
      </c>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0(含)-300</v>
      </c>
      <c r="D90" s="527" t="str">
        <f t="shared" ref="D90:L90" si="20">D91&amp;"(含)"&amp;"-"&amp;E91</f>
        <v>300(含)-500</v>
      </c>
      <c r="E90" s="527" t="str">
        <f t="shared" si="20"/>
        <v>500(含)-800</v>
      </c>
      <c r="F90" s="527" t="str">
        <f t="shared" si="20"/>
        <v>800(含)-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300</v>
      </c>
      <c r="E91" s="544">
        <v>500</v>
      </c>
      <c r="F91" s="544">
        <v>800</v>
      </c>
      <c r="G91" s="544"/>
      <c r="H91" s="544"/>
      <c r="I91" s="544"/>
      <c r="J91" s="545"/>
      <c r="K91" s="545"/>
      <c r="L91" s="546"/>
      <c r="M91" s="547"/>
      <c r="N91" s="935"/>
      <c r="O91" s="935"/>
      <c r="P91" s="507"/>
      <c r="Q91" s="508"/>
    </row>
    <row r="92" spans="1:17" s="422" customFormat="1" ht="15.75" thickBot="1">
      <c r="A92" s="502"/>
      <c r="B92" s="492"/>
      <c r="C92" s="509">
        <v>98</v>
      </c>
      <c r="D92" s="485">
        <v>100</v>
      </c>
      <c r="E92" s="485">
        <v>98</v>
      </c>
      <c r="F92" s="485">
        <v>96</v>
      </c>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估价对象为北京市房地产，为所有。根据《国有土地使用证》[]，估价对象（分摊）出让国有建设用地使用权面积为0平方米，建筑面积为312.41平方米。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估价对象为北京市房地产,属开发建设的，该项目尚在开发建设中。根据《国有土地使用证》[]，估价对象（分摊）出让国有建设用地使用权面积为0平方米，规划建筑面积为312.41平方米。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45125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9"/>
      <c r="M10" s="2720"/>
      <c r="N10" s="2720"/>
      <c r="O10" s="2773"/>
      <c r="P10" s="3665"/>
      <c r="Q10" s="1343" t="str">
        <f t="shared" si="6"/>
        <v>土地使用年限（年）</v>
      </c>
      <c r="R10" s="701" t="s">
        <v>14</v>
      </c>
      <c r="S10" s="702">
        <f t="shared" si="0"/>
        <v>121</v>
      </c>
      <c r="T10" s="701" t="s">
        <v>14</v>
      </c>
      <c r="U10" s="702">
        <f t="shared" si="1"/>
        <v>121</v>
      </c>
      <c r="V10" s="701" t="s">
        <v>14</v>
      </c>
      <c r="W10" s="702">
        <f t="shared" si="2"/>
        <v>121</v>
      </c>
      <c r="X10" s="703"/>
      <c r="Y10" s="3540"/>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312.41000000000003</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312.41000000000003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9"/>
      <c r="M10" s="2720"/>
      <c r="N10" s="2720"/>
      <c r="O10" s="2773"/>
      <c r="P10" s="3665"/>
      <c r="Q10" s="1343" t="str">
        <f t="shared" si="6"/>
        <v>土地使用年限（年）</v>
      </c>
      <c r="R10" s="701" t="s">
        <v>14</v>
      </c>
      <c r="S10" s="702">
        <f t="shared" si="0"/>
        <v>121</v>
      </c>
      <c r="T10" s="701" t="s">
        <v>14</v>
      </c>
      <c r="U10" s="702">
        <f t="shared" si="1"/>
        <v>121</v>
      </c>
      <c r="V10" s="701" t="s">
        <v>14</v>
      </c>
      <c r="W10" s="702">
        <f t="shared" si="2"/>
        <v>121</v>
      </c>
      <c r="X10" s="703"/>
      <c r="Y10" s="3540"/>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312.41000000000003</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N18" sqref="N1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45125</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26762</v>
      </c>
      <c r="C2" s="2" t="s">
        <v>106</v>
      </c>
      <c r="D2" s="199"/>
      <c r="E2" s="199"/>
      <c r="F2" s="199"/>
      <c r="G2" s="199"/>
    </row>
    <row r="3" spans="1:7" s="200" customFormat="1" ht="18" customHeight="1" thickBot="1">
      <c r="A3" s="203" t="s">
        <v>58</v>
      </c>
      <c r="B3" s="204">
        <f ca="1">ROUND(B2*10000/'数据-汇总表'!E3,0)</f>
        <v>856631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312.41000000000003</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312.41000000000003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2103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26635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100</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312.41000000000003</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11</v>
      </c>
      <c r="D45" s="235">
        <f>C47</f>
        <v>2E-3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138</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127</v>
      </c>
      <c r="D51" s="232"/>
      <c r="E51" s="232"/>
      <c r="F51" s="264"/>
      <c r="G51" s="234" t="s">
        <v>37</v>
      </c>
    </row>
    <row r="52" spans="1:7" s="208" customFormat="1" ht="16.5" thickBot="1">
      <c r="A52" s="265" t="s">
        <v>38</v>
      </c>
      <c r="B52" s="266"/>
      <c r="C52" s="267">
        <f ca="1">C31+C51</f>
        <v>26762</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274</v>
      </c>
      <c r="E5" s="1491"/>
    </row>
    <row r="6" spans="1:5" ht="15.75">
      <c r="A6" s="1491"/>
      <c r="B6" s="3452"/>
      <c r="C6" s="1494" t="s">
        <v>911</v>
      </c>
      <c r="D6" s="850" t="str">
        <f ca="1">NUMBERSTRING(INT(D5*10000),2)&amp;"元整"</f>
        <v>贰佰柒拾肆万元整</v>
      </c>
      <c r="E6" s="1491"/>
    </row>
    <row r="7" spans="1:5" ht="15.75">
      <c r="A7" s="1491"/>
      <c r="B7" s="3457"/>
      <c r="C7" s="1495" t="s">
        <v>912</v>
      </c>
      <c r="D7" s="851">
        <f ca="1">结果表!H102</f>
        <v>8766</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274</v>
      </c>
      <c r="E13" s="1491"/>
    </row>
    <row r="14" spans="1:5" ht="15.75">
      <c r="A14" s="1491"/>
      <c r="B14" s="3452"/>
      <c r="C14" s="1494" t="s">
        <v>911</v>
      </c>
      <c r="D14" s="850" t="str">
        <f ca="1">NUMBERSTRING(INT(D13*10000),2)&amp;"元整"</f>
        <v>贰佰柒拾肆万元整</v>
      </c>
      <c r="E14" s="1491"/>
    </row>
    <row r="15" spans="1:5" ht="15">
      <c r="A15" s="1491"/>
      <c r="B15" s="3457"/>
      <c r="C15" s="1495" t="s">
        <v>921</v>
      </c>
      <c r="D15" s="859">
        <f ca="1">结果表!H108</f>
        <v>8766</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18" sqref="N1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N18" sqref="N18"/>
    </sheetView>
  </sheetViews>
  <sheetFormatPr defaultRowHeight="13.5"/>
  <cols>
    <col min="1" max="1" width="13.875" customWidth="1"/>
    <col min="11" max="17" width="0" hidden="1" customWidth="1"/>
    <col min="25" max="30" width="0" hidden="1" customWidth="1"/>
  </cols>
  <sheetData>
    <row r="1" spans="1:30">
      <c r="A1" s="3221">
        <f>基准地价修正!G23</f>
        <v>45125</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N18" sqref="N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45125</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4" sqref="D3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312.41000000000003</v>
      </c>
      <c r="C4" s="854">
        <f>项目基本情况!C18</f>
        <v>0</v>
      </c>
      <c r="D4" s="854">
        <f>结果表!D118</f>
        <v>0</v>
      </c>
      <c r="E4" s="854">
        <f>结果表!E118</f>
        <v>0</v>
      </c>
      <c r="F4" s="854">
        <f>结果表!F118</f>
        <v>0</v>
      </c>
      <c r="G4" s="854">
        <f>结果表!G118</f>
        <v>0</v>
      </c>
      <c r="H4" s="854">
        <f ca="1">结果表!H118</f>
        <v>274</v>
      </c>
      <c r="I4" s="854">
        <f ca="1">结果表!I118</f>
        <v>8766</v>
      </c>
    </row>
    <row r="5" spans="1:9" ht="30" customHeight="1">
      <c r="A5" s="3464" t="s">
        <v>927</v>
      </c>
      <c r="B5" s="3464"/>
      <c r="C5" s="3464"/>
      <c r="D5" s="3464" t="str">
        <f>结果表!D119</f>
        <v>零元整</v>
      </c>
      <c r="E5" s="3464"/>
      <c r="F5" s="3464" t="str">
        <f>结果表!F119</f>
        <v>零元整</v>
      </c>
      <c r="G5" s="3464"/>
      <c r="H5" s="3464" t="str">
        <f ca="1">结果表!H119</f>
        <v>贰佰柒拾肆万元整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274</v>
      </c>
      <c r="E8" s="3463"/>
      <c r="F8" s="3463"/>
      <c r="G8" s="3463"/>
      <c r="H8" s="3463"/>
      <c r="I8" s="3463"/>
    </row>
    <row r="9" spans="1:9" ht="15">
      <c r="A9" s="3464" t="s">
        <v>927</v>
      </c>
      <c r="B9" s="3464"/>
      <c r="C9" s="3464"/>
      <c r="D9" s="3464" t="str">
        <f ca="1">结果表!D123</f>
        <v>贰佰柒拾肆万元整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45125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2023-07-18T05:19:36Z</dcterms:modified>
</cp:coreProperties>
</file>