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D42" i="43"/>
  <c r="G44" i="43"/>
  <c r="D33" i="43"/>
  <c r="AH6" i="1"/>
  <c r="T21" i="1"/>
  <c r="V20" i="1"/>
  <c r="V19" i="1"/>
  <c r="V21" i="1" s="1"/>
  <c r="T19" i="1"/>
  <c r="T20" i="1"/>
  <c r="Y6" i="1"/>
  <c r="N20" i="1"/>
  <c r="N6" i="1" s="1"/>
  <c r="N18" i="1"/>
  <c r="B59" i="1"/>
  <c r="B21" i="1"/>
  <c r="G19" i="6"/>
  <c r="F19" i="6"/>
  <c r="U22" i="1" l="1"/>
  <c r="U21" i="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8" i="76"/>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5" i="73"/>
  <c r="F7" i="73"/>
  <c r="E2" i="69"/>
  <c r="M6" i="15"/>
  <c r="M29" i="15"/>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AA38" i="37" l="1"/>
  <c r="C18" i="9"/>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N370" i="46" l="1"/>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5" i="68" l="1"/>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C20" i="9"/>
  <c r="D34"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11" i="1"/>
  <c r="AO8" i="1"/>
  <c r="AO10" i="1"/>
  <c r="AO9" i="1"/>
  <c r="AO6" i="1"/>
  <c r="AO7"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27" i="9"/>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119" i="9" s="1"/>
  <c r="F5" i="52" s="1"/>
  <c r="B53" i="72" s="1"/>
  <c r="D118" i="9"/>
  <c r="D4" i="52" s="1"/>
  <c r="B47" i="72" s="1"/>
  <c r="H118" i="9"/>
  <c r="C104" i="9" l="1"/>
  <c r="D14" i="74"/>
  <c r="H101" i="9"/>
  <c r="D5" i="53" s="1"/>
  <c r="D6" i="53" s="1"/>
  <c r="B22" i="72" s="1"/>
  <c r="D119" i="9"/>
  <c r="D5" i="52" s="1"/>
  <c r="B49" i="72" s="1"/>
  <c r="I118" i="9"/>
  <c r="I4" i="52" s="1"/>
  <c r="H119" i="9"/>
  <c r="H5" i="52" s="1"/>
  <c r="B20" i="72"/>
  <c r="F4" i="52"/>
  <c r="B51" i="72" s="1"/>
  <c r="G118" i="9"/>
  <c r="G4" i="52" s="1"/>
  <c r="B52" i="72" s="1"/>
  <c r="H4" i="52"/>
  <c r="F14" i="74" l="1"/>
  <c r="E14" i="74"/>
  <c r="B5" i="74"/>
  <c r="D5" i="74" s="1"/>
  <c r="H102" i="9"/>
  <c r="D45" i="9"/>
  <c r="D52" i="9" s="1"/>
  <c r="C105" i="9"/>
  <c r="M48" i="9"/>
  <c r="H107" i="9"/>
  <c r="D122" i="9" s="1"/>
  <c r="E118" i="9"/>
  <c r="E4" i="52" s="1"/>
  <c r="B48" i="72" s="1"/>
  <c r="C72" i="9" l="1"/>
  <c r="C5" i="74"/>
  <c r="D53" i="9"/>
  <c r="D55" i="9"/>
  <c r="M53" i="9" s="1"/>
  <c r="C85" i="9"/>
  <c r="D7" i="53"/>
  <c r="B21" i="72" s="1"/>
  <c r="C93" i="9"/>
  <c r="C86" i="9" s="1"/>
  <c r="C64" i="9"/>
  <c r="C63" i="9" s="1"/>
  <c r="C67" i="9" s="1"/>
  <c r="C68" i="9" s="1"/>
  <c r="D54" i="9" s="1"/>
  <c r="C78" i="9"/>
  <c r="C73" i="9" s="1"/>
  <c r="C79" i="9" s="1"/>
  <c r="H108" i="9"/>
  <c r="D15" i="53" s="1"/>
  <c r="B31" i="72" s="1"/>
  <c r="M49" i="9"/>
  <c r="L63" i="9" s="1"/>
  <c r="M63" i="9" s="1"/>
  <c r="D13" i="53"/>
  <c r="D14" i="53" s="1"/>
  <c r="B32" i="72" s="1"/>
  <c r="C95" i="9"/>
  <c r="D8" i="52"/>
  <c r="D123" i="9"/>
  <c r="D9" i="52" s="1"/>
  <c r="D59" i="9"/>
  <c r="M55" i="9" s="1"/>
  <c r="L67" i="9" l="1"/>
  <c r="M67" i="9" s="1"/>
  <c r="B30" i="72"/>
  <c r="C6" i="74"/>
  <c r="L64" i="9"/>
  <c r="M64" i="9" s="1"/>
  <c r="L68" i="9"/>
  <c r="M68" i="9" s="1"/>
  <c r="L65" i="9"/>
  <c r="M65" i="9" s="1"/>
  <c r="L66" i="9"/>
  <c r="M66" i="9" s="1"/>
  <c r="C96" i="9"/>
  <c r="E96" i="9" s="1"/>
  <c r="E97" i="9" s="1"/>
  <c r="C80" i="9"/>
  <c r="E80" i="9" s="1"/>
  <c r="E81"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<sst xmlns="http://schemas.openxmlformats.org/spreadsheetml/2006/main" count="7831" uniqueCount="3427">
  <si>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</si>
  <si>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</si>
  <si>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</si>
  <si>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</si>
  <si>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</si>
  <si>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</si>
  <si>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</si>
  <si>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</si>
  <si>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</si>
  <si>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</si>
  <si>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</si>
  <si>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</si>
  <si>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</si>
  <si>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</si>
  <si>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</si>
  <si>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</si>
  <si>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</si>
  <si>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</si>
  <si>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</si>
  <si>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</si>
  <si>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</si>
  <si>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</si>
  <si>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</si>
  <si>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</si>
  <si>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</si>
  <si>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</si>
  <si>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</si>
  <si>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</si>
  <si>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</si>
  <si>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</si>
  <si>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</si>
  <si>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</si>
  <si>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</si>
  <si>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</si>
  <si>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</si>
  <si>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</si>
  <si>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</si>
  <si>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</si>
  <si>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</si>
  <si>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</si>
  <si>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</si>
  <si>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</si>
  <si>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</si>
  <si>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</si>
  <si>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</si>
  <si>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</si>
  <si>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</si>
  <si>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</si>
  <si>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</si>
  <si>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</si>
  <si>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</si>
  <si>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</si>
  <si>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</si>
  <si>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</si>
  <si>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</si>
  <si>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</si>
  <si>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</si>
  <si>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</si>
  <si>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</si>
  <si>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</si>
  <si>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</si>
  <si>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</si>
  <si>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</si>
  <si>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</si>
  <si>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</si>
  <si>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</si>
  <si>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</si>
  <si>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</si>
  <si>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</si>
  <si>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</si>
  <si>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</si>
  <si>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</si>
  <si>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</si>
  <si>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</si>
  <si>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</si>
  <si>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</si>
  <si>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</si>
  <si>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</si>
  <si>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</si>
  <si>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</si>
  <si>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</si>
  <si>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</si>
  <si>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</si>
  <si>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</si>
  <si>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</si>
  <si>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</si>
  <si>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</si>
  <si>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</si>
  <si>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</si>
  <si>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</si>
  <si>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</si>
  <si>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</si>
  <si>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</si>
  <si>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</si>
  <si>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</si>
  <si>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</si>
  <si>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</si>
  <si>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</si>
  <si>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</si>
  <si>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</si>
  <si>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</si>
  <si>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</si>
  <si>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</si>
  <si>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</si>
  <si>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</si>
  <si>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</si>
  <si>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</si>
  <si>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</si>
  <si>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</si>
  <si>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</si>
  <si>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</si>
  <si>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</si>
  <si>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</si>
  <si>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</si>
  <si>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</si>
  <si>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</si>
  <si>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</si>
  <si>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</si>
  <si>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</si>
  <si>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</si>
  <si>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</si>
  <si>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</si>
  <si>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</si>
  <si>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</si>
  <si>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</si>
  <si>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</si>
  <si>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</si>
  <si>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</si>
  <si>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</si>
  <si>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</si>
  <si>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</si>
  <si>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</si>
  <si>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</si>
  <si>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</si>
  <si>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</si>
  <si>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</si>
  <si>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</si>
  <si>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</si>
  <si>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</si>
  <si>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</si>
  <si>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</si>
  <si>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</si>
  <si>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</si>
  <si>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</si>
  <si>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</si>
  <si>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</si>
  <si>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</si>
  <si>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</si>
  <si>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</si>
  <si>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</si>
  <si>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</si>
  <si>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</si>
  <si>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</si>
  <si>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</si>
  <si>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</si>
  <si>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</si>
  <si>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</si>
  <si>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</si>
  <si>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</si>
  <si>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</si>
  <si>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</si>
  <si>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</si>
  <si>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</si>
  <si>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</si>
  <si>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</si>
  <si>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</si>
  <si>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</si>
  <si>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</si>
  <si>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</si>
  <si>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</si>
  <si>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</si>
  <si>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</si>
  <si>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</si>
  <si>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</si>
  <si>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</si>
  <si>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</si>
  <si>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</si>
  <si>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</si>
  <si>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</si>
  <si>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</si>
  <si>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</si>
  <si>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</si>
  <si>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</si>
  <si>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</si>
  <si>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</si>
  <si>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</si>
  <si>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</si>
  <si>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</si>
  <si>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</si>
  <si>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</si>
  <si>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</si>
  <si>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</si>
  <si>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</si>
  <si>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</si>
  <si>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</si>
  <si>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</si>
  <si>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</si>
  <si>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</si>
  <si>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</si>
  <si>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</si>
  <si>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</si>
  <si>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</si>
  <si>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</si>
  <si>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</si>
  <si>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</si>
  <si>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</si>
  <si>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</si>
  <si>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</si>
  <si>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</si>
  <si>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</si>
  <si>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</si>
  <si>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</si>
  <si>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</si>
  <si>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</si>
  <si>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</si>
  <si>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</si>
  <si>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</si>
  <si>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</si>
  <si>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</si>
  <si>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</si>
  <si>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</si>
  <si>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</si>
  <si>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</si>
  <si>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</si>
  <si>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</si>
  <si>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</si>
  <si>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</si>
  <si>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</si>
  <si>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</si>
  <si>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</si>
  <si>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</si>
  <si>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</si>
  <si>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</si>
  <si>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</si>
  <si>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</si>
  <si>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</si>
  <si>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</si>
  <si>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</si>
  <si>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</si>
  <si>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</si>
  <si>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</si>
  <si>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</si>
  <si>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</si>
  <si>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</si>
  <si>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</si>
  <si>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</si>
  <si>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</si>
  <si>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</si>
  <si>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</si>
  <si>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</si>
  <si>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</si>
  <si>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</si>
  <si>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</si>
  <si>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</si>
  <si>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</si>
  <si>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</si>
  <si>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</si>
  <si>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</si>
  <si>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</si>
  <si>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</si>
  <si>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</si>
  <si>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</si>
  <si>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</si>
  <si>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</si>
  <si>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</si>
  <si>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</si>
  <si>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</si>
  <si>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</si>
  <si>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</si>
  <si>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</si>
  <si>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</si>
  <si>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</si>
  <si>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</si>
  <si>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</si>
  <si>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</si>
  <si>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</si>
  <si>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</si>
  <si>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</si>
  <si>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</si>
  <si>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</si>
  <si>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</si>
  <si>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</si>
  <si>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</si>
  <si>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</si>
  <si>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</si>
  <si>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</si>
  <si>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</si>
  <si>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</si>
  <si>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</si>
  <si>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</si>
  <si>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</si>
  <si>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</si>
  <si>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</si>
  <si>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</si>
  <si>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</si>
  <si>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</si>
  <si>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</si>
  <si>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</si>
  <si>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</si>
  <si>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</si>
  <si>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</si>
  <si>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</si>
  <si>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</si>
  <si>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</si>
  <si>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</si>
  <si>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</si>
  <si>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</si>
  <si>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</si>
  <si>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</si>
  <si>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</si>
  <si>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</si>
  <si>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</si>
  <si>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</si>
  <si>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</si>
  <si>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</si>
  <si>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</si>
  <si>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</si>
  <si>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</si>
  <si>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</si>
  <si>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</si>
  <si>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</si>
  <si>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</si>
  <si>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</si>
  <si>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</si>
  <si>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</si>
  <si>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</si>
  <si>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</si>
  <si>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</si>
  <si>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</si>
  <si>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</si>
  <si>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</si>
  <si>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</si>
  <si>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</si>
  <si>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</si>
  <si>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</si>
  <si>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</si>
  <si>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</si>
  <si>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</si>
  <si>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</si>
  <si>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</si>
  <si>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</si>
  <si>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</si>
  <si>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</si>
  <si>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</si>
  <si>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</si>
  <si>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</si>
  <si>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</si>
  <si>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</si>
  <si>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</si>
  <si>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</si>
  <si>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</si>
  <si>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</si>
  <si>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</si>
  <si>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</si>
  <si>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</si>
  <si>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</si>
  <si>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</si>
  <si>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</si>
  <si>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</si>
  <si>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</si>
  <si>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</si>
  <si>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</si>
  <si>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</si>
  <si>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</si>
  <si>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</si>
  <si>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</si>
  <si>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</si>
  <si>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</si>
  <si>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</si>
  <si>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</si>
  <si>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</si>
  <si>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</si>
  <si>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</si>
  <si>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</si>
  <si>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</si>
  <si>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</si>
  <si>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</si>
  <si>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</si>
  <si>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</si>
  <si>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</si>
  <si>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</si>
  <si>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</si>
  <si>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</si>
  <si>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</si>
  <si>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</si>
  <si>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</si>
  <si>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</si>
  <si>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</si>
  <si>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</si>
  <si>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</si>
  <si>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</si>
  <si>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</si>
  <si>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</si>
  <si>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</si>
  <si>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</si>
  <si>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</si>
  <si>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</si>
  <si>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</si>
  <si>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</si>
  <si>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</si>
  <si>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</si>
  <si>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</si>
  <si>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</si>
  <si>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</si>
  <si>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</si>
  <si>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</si>
  <si>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</si>
  <si>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</si>
  <si>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</si>
  <si>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</si>
  <si>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</si>
  <si>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</si>
  <si>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</si>
  <si>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</si>
  <si>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</si>
  <si>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</si>
  <si>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</si>
  <si>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</si>
  <si>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</si>
  <si>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</si>
  <si>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</si>
  <si>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</si>
  <si>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</si>
  <si>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</si>
  <si>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</si>
  <si>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</si>
  <si>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</si>
  <si>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</si>
  <si>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</si>
  <si>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</si>
  <si>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</si>
  <si>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</si>
  <si>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</si>
  <si>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</si>
  <si>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</si>
  <si>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</si>
  <si>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</si>
  <si>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</si>
  <si>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</si>
  <si>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</si>
  <si>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</si>
  <si>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</si>
  <si>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</si>
  <si>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</si>
  <si>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</si>
  <si>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</si>
  <si>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</si>
  <si>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</si>
  <si>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</si>
  <si>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</si>
  <si>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</si>
  <si>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</si>
  <si>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</si>
  <si>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</si>
  <si>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</si>
  <si>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</si>
  <si>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</si>
  <si>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</si>
  <si>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</si>
  <si>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</si>
  <si>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</si>
  <si>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</si>
  <si>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</si>
  <si>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</si>
  <si>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</si>
  <si>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</si>
  <si>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</si>
  <si>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</si>
  <si>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</si>
  <si>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</si>
  <si>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</si>
  <si>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</si>
  <si>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</si>
  <si>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</si>
  <si>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</si>
  <si>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</si>
  <si>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</si>
  <si>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</si>
  <si>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</si>
  <si>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</si>
  <si>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</si>
  <si>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</si>
  <si>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</si>
  <si>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</si>
  <si>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</si>
  <si>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</si>
  <si>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</si>
  <si>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</si>
  <si>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</si>
  <si>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</si>
  <si>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</si>
  <si>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</si>
  <si>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</si>
  <si>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</si>
  <si>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</si>
  <si>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</si>
  <si>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</si>
  <si>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</si>
  <si>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</si>
  <si>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</si>
  <si>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</si>
  <si>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</si>
  <si>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</si>
  <si>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</si>
  <si>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</si>
  <si>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</si>
  <si>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</si>
  <si>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</si>
  <si>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</si>
  <si>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</si>
  <si>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</si>
  <si>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</si>
  <si>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</si>
  <si>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</si>
  <si>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</si>
  <si>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</si>
  <si>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</si>
  <si>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</si>
  <si>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</si>
  <si>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</si>
  <si>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</si>
  <si>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</si>
  <si>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</si>
  <si>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</si>
  <si>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</si>
  <si>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</si>
  <si>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</si>
  <si>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</si>
  <si>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</si>
  <si>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</si>
  <si>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</si>
  <si>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</si>
  <si>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</si>
  <si>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</si>
  <si>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</si>
  <si>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</si>
  <si>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</si>
  <si>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</si>
  <si>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</si>
  <si>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</si>
  <si>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</si>
  <si>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</si>
  <si>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</si>
  <si>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</si>
  <si>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</si>
  <si>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</si>
  <si>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</si>
  <si>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</si>
  <si>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</si>
  <si>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</si>
  <si>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</si>
  <si>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</si>
  <si>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</si>
  <si>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</si>
  <si>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</si>
  <si>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</si>
  <si>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</si>
  <si>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</si>
  <si>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</si>
  <si>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</si>
  <si>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</si>
  <si>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</si>
  <si>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</si>
  <si>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</si>
  <si>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</si>
  <si>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</si>
  <si>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</si>
  <si>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</si>
  <si>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</si>
  <si>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</si>
  <si>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</si>
  <si>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</si>
  <si>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</si>
  <si>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</si>
  <si>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</si>
  <si>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</si>
  <si>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</si>
  <si>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</si>
  <si>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</si>
  <si>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</si>
  <si>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</si>
  <si>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</si>
  <si>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</si>
  <si>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</si>
  <si>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</si>
  <si>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</si>
  <si>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</si>
  <si>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</si>
  <si>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</si>
  <si>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</si>
  <si>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</si>
  <si>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</si>
  <si>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</si>
  <si>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</si>
  <si>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</si>
  <si>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</si>
  <si>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</si>
  <si>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</si>
  <si>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</si>
  <si>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</si>
  <si>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</si>
  <si>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</si>
  <si>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</si>
  <si>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</si>
  <si>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</si>
  <si>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</si>
  <si>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</si>
  <si>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</si>
  <si>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</si>
  <si>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</si>
  <si>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</si>
  <si>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</si>
  <si>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</si>
  <si>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</si>
  <si>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</si>
  <si>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</si>
  <si>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</si>
  <si>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</si>
  <si>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</si>
  <si>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</si>
  <si>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</si>
  <si>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</si>
  <si>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</si>
  <si>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</si>
  <si>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</si>
  <si>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</si>
  <si>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</si>
  <si>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</si>
  <si>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</si>
  <si>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</si>
  <si>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</si>
  <si>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</si>
  <si>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</si>
  <si>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</si>
  <si>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</si>
  <si>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</si>
  <si>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</si>
  <si>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</si>
  <si>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</si>
  <si>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</si>
  <si>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</si>
  <si>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</si>
  <si>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</si>
  <si>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</si>
  <si>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</si>
  <si>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</si>
  <si>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</si>
  <si>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</si>
  <si>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</si>
  <si>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</si>
  <si>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</si>
  <si>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</si>
  <si>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</si>
  <si>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</si>
  <si>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</si>
  <si>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</si>
  <si>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</si>
  <si>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</si>
  <si>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</si>
  <si>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</si>
  <si>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</si>
  <si>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</si>
  <si>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</si>
  <si>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</si>
  <si>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</si>
  <si>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</si>
  <si>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</si>
  <si>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</si>
  <si>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</si>
  <si>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</si>
  <si>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</si>
  <si>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</si>
  <si>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</si>
  <si>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</si>
  <si>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</si>
  <si>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</si>
  <si>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</si>
  <si>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</si>
  <si>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</si>
  <si>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</si>
  <si>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</si>
  <si>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</si>
  <si>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</si>
  <si>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</si>
  <si>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</si>
  <si>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</si>
  <si>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</si>
  <si>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</si>
  <si>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</si>
  <si>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</si>
  <si>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</si>
  <si>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</si>
  <si>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</si>
  <si>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</si>
  <si>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</si>
  <si>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</si>
  <si>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</si>
  <si>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</si>
  <si>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</si>
  <si>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</si>
  <si>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</si>
  <si>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</si>
  <si>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</si>
  <si>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</si>
  <si>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</si>
  <si>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</si>
  <si>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</si>
  <si>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</si>
  <si>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</si>
  <si>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</si>
  <si>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</si>
  <si>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</si>
  <si>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</si>
  <si>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</si>
  <si>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</si>
  <si>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</si>
  <si>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</si>
  <si>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</si>
  <si>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</si>
  <si>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</si>
  <si>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</si>
  <si>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</si>
  <si>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</si>
  <si>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</si>
  <si>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</si>
  <si>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</si>
  <si>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</si>
  <si>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</si>
  <si>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</si>
  <si>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</si>
  <si>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</si>
  <si>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</si>
  <si>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</si>
  <si>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</si>
  <si>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</si>
  <si>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</si>
  <si>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</si>
  <si>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</si>
  <si>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</si>
  <si>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</si>
  <si>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</si>
  <si>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</si>
  <si>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</si>
  <si>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</si>
  <si>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</si>
  <si>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</si>
  <si>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</si>
  <si>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</si>
  <si>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</si>
  <si>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</si>
  <si>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</si>
  <si>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</si>
  <si>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</si>
  <si>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</si>
  <si>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</si>
  <si>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</si>
  <si>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</si>
  <si>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</si>
  <si>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</si>
  <si>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</si>
  <si>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</si>
  <si>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</si>
  <si>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</si>
  <si>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</si>
  <si>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</si>
  <si>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</si>
  <si>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</si>
  <si>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</si>
  <si>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</si>
  <si>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</si>
  <si>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</si>
  <si>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</si>
  <si>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</si>
  <si>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</si>
  <si>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</si>
  <si>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</si>
  <si>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</si>
  <si>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</si>
  <si>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</si>
  <si>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</si>
  <si>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</si>
  <si>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</si>
  <si>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</si>
  <si>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</si>
  <si>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</si>
  <si>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</si>
  <si>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</si>
  <si>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</si>
  <si>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</si>
  <si>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</si>
  <si>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</si>
  <si>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</si>
  <si>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</si>
  <si>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</si>
  <si>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</si>
  <si>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</si>
  <si>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</si>
  <si>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</si>
  <si>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</si>
  <si>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</si>
  <si>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</si>
  <si>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</si>
  <si>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</si>
  <si>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</si>
  <si>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</si>
  <si>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</si>
  <si>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</si>
  <si>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</si>
  <si>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</si>
  <si>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</si>
  <si>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</si>
  <si>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</si>
  <si>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</si>
  <si>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</si>
  <si>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</si>
  <si>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</si>
  <si>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</si>
  <si>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</si>
  <si>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</si>
  <si>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</si>
  <si>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</si>
  <si>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</si>
  <si>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</si>
  <si>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</si>
  <si>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</si>
  <si>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</si>
  <si>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</si>
  <si>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</si>
  <si>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</si>
  <si>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</si>
  <si>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</si>
  <si>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</si>
  <si>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</si>
  <si>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</si>
  <si>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</si>
  <si>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</si>
  <si>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</si>
  <si>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</si>
  <si>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</si>
  <si>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</si>
  <si>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</si>
  <si>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</si>
  <si>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</si>
  <si>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</si>
  <si>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</si>
  <si>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</si>
  <si>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</si>
  <si>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</si>
  <si>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</si>
  <si>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</si>
  <si>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</si>
  <si>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</si>
  <si>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</si>
  <si>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</si>
  <si>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</si>
  <si>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</si>
  <si>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</si>
  <si>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</si>
  <si>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</si>
  <si>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</si>
  <si>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</si>
  <si>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</si>
  <si>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</si>
  <si>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</si>
  <si>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</si>
  <si>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</si>
  <si>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</si>
  <si>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</si>
  <si>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</si>
  <si>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</si>
  <si>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</si>
  <si>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</si>
  <si>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</si>
  <si>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</si>
  <si>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</si>
  <si>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</si>
  <si>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</si>
  <si>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</si>
  <si>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</si>
  <si>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</si>
  <si>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</si>
  <si>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</si>
  <si>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</si>
  <si>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</si>
  <si>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</si>
  <si>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</si>
  <si>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</si>
  <si>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</si>
  <si>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</si>
  <si>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</si>
  <si>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</si>
  <si>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</si>
  <si>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</si>
  <si>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</si>
  <si>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</si>
  <si>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</si>
  <si>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</si>
  <si>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</si>
  <si>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</si>
  <si>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</si>
  <si>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</si>
  <si>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</si>
  <si>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</si>
  <si>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</si>
  <si>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</si>
  <si>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</si>
  <si>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</si>
  <si>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</si>
  <si>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</si>
  <si>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</si>
  <si>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</si>
  <si>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</si>
  <si>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</si>
  <si>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</si>
  <si>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</si>
  <si>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</si>
  <si>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</si>
  <si>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</si>
  <si>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</si>
  <si>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</si>
  <si>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</si>
  <si>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</si>
  <si>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</si>
  <si>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</si>
  <si>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</si>
  <si>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</si>
  <si>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</si>
  <si>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</si>
  <si>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</si>
  <si>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</si>
  <si>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</si>
  <si>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</si>
  <si>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</si>
  <si>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</si>
  <si>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</si>
  <si>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</si>
  <si>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</si>
  <si>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</si>
  <si>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</si>
  <si>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</si>
  <si>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</si>
  <si>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</si>
  <si>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</si>
  <si>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</si>
  <si>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</si>
  <si>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</si>
  <si>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</si>
  <si>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</si>
  <si>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</si>
  <si>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</si>
  <si>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</si>
  <si>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</si>
  <si>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</si>
  <si>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</si>
  <si>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</si>
  <si>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</si>
  <si>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</si>
  <si>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</si>
  <si>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</si>
  <si>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</si>
  <si>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</si>
  <si>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</si>
  <si>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</si>
  <si>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</si>
  <si>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</si>
  <si>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</si>
  <si>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</si>
  <si>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</si>
  <si>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</si>
  <si>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</si>
  <si>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</si>
  <si>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</si>
  <si>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</si>
  <si>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</si>
  <si>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</si>
  <si>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</si>
  <si>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</si>
  <si>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</si>
  <si>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</si>
  <si>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</si>
  <si>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</si>
  <si>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</si>
  <si>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</si>
  <si>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</si>
  <si>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</si>
  <si>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</si>
  <si>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</si>
  <si>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</si>
  <si>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</si>
  <si>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</si>
  <si>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</si>
  <si>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</si>
  <si>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</si>
  <si>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</si>
  <si>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</si>
  <si>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</si>
  <si>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</si>
  <si>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</si>
  <si>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</si>
  <si>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</si>
  <si>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</si>
  <si>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</si>
  <si>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</si>
  <si>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</si>
  <si>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</si>
  <si>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</si>
  <si>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</si>
  <si>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</si>
  <si>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</si>
  <si>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</si>
  <si>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</si>
  <si>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</si>
  <si>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</si>
  <si>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</si>
  <si>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</si>
  <si>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</si>
  <si>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</si>
  <si>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</si>
  <si>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</si>
  <si>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</si>
  <si>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</si>
  <si>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</si>
  <si>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</si>
  <si>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</si>
  <si>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</si>
  <si>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</si>
  <si>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</si>
  <si>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</si>
  <si>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</si>
  <si>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</si>
  <si>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</si>
  <si>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</si>
  <si>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</si>
  <si>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</si>
  <si>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</si>
  <si>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</si>
  <si>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</si>
  <si>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</si>
  <si>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</si>
  <si>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</si>
  <si>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</si>
  <si>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</si>
  <si>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</si>
  <si>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</si>
  <si>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</si>
  <si>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</si>
  <si>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</si>
  <si>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</si>
  <si>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</si>
  <si>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</si>
  <si>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</si>
  <si>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</si>
  <si>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</si>
  <si>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</si>
  <si>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</si>
  <si>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</si>
  <si>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</si>
  <si>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</si>
  <si>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</si>
  <si>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</si>
  <si>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</si>
  <si>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</si>
  <si>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</si>
  <si>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</si>
  <si>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</si>
  <si>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</si>
  <si>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</si>
  <si>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</si>
  <si>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</si>
  <si>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</si>
  <si>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</si>
  <si>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</si>
  <si>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</si>
  <si>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</si>
  <si>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</si>
  <si>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</si>
  <si>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</si>
  <si>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</si>
  <si>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</si>
  <si>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</si>
  <si>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</si>
  <si>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</si>
  <si>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</si>
  <si>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</si>
  <si>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</si>
  <si>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</si>
  <si>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</si>
  <si>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</si>
  <si>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</si>
  <si>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</si>
  <si>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</si>
  <si>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</si>
  <si>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</si>
  <si>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</si>
  <si>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</si>
  <si>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</si>
  <si>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</si>
  <si>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</si>
  <si>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</si>
  <si>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</si>
  <si>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</si>
  <si>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</si>
  <si>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</si>
  <si>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</si>
  <si>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</si>
  <si>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</si>
  <si>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</si>
  <si>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</si>
  <si>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</si>
  <si>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</si>
  <si>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</si>
  <si>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</si>
  <si>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</si>
  <si>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</si>
  <si>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</si>
  <si>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</si>
  <si>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</si>
  <si>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</si>
  <si>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</si>
  <si>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</si>
  <si>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</si>
  <si>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</si>
  <si>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</si>
  <si>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</si>
  <si>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</si>
  <si>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</si>
  <si>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</si>
  <si>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</si>
  <si>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</si>
  <si>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</si>
  <si>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</si>
  <si>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</si>
  <si>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</si>
  <si>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</si>
  <si>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</si>
  <si>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</si>
  <si>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</si>
  <si>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</si>
  <si>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</si>
  <si>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</si>
  <si>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</si>
  <si>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</si>
  <si>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</si>
  <si>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</si>
  <si>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</si>
  <si>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</si>
  <si>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</si>
  <si>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</si>
  <si>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</si>
  <si>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</si>
  <si>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</si>
  <si>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</si>
  <si>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</si>
  <si>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</si>
  <si>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</si>
  <si>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</si>
  <si>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</si>
  <si>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</si>
  <si>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</si>
  <si>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</si>
  <si>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</si>
  <si>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</si>
  <si>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</si>
  <si>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</si>
  <si>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</si>
  <si>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</si>
  <si>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</si>
  <si>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</si>
  <si>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</si>
  <si>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</si>
  <si>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</si>
  <si>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</si>
  <si>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</si>
  <si>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</si>
  <si>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</si>
  <si>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</si>
  <si>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</si>
  <si>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</si>
  <si>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</si>
  <si>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</si>
  <si>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</si>
  <si>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</si>
  <si>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</si>
  <si>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</si>
  <si>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</si>
  <si>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</si>
  <si>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</si>
  <si>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</si>
  <si>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</si>
  <si>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</si>
  <si>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</si>
  <si>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</si>
  <si>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</si>
  <si>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</si>
  <si>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</si>
  <si>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</si>
  <si>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</si>
  <si>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</si>
  <si>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</si>
  <si>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</si>
  <si>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</si>
  <si>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</si>
  <si>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</si>
  <si>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</si>
  <si>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</si>
  <si>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</si>
  <si>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</si>
  <si>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</si>
  <si>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</si>
  <si>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</si>
  <si>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</si>
  <si>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</si>
  <si>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</si>
  <si>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</si>
  <si>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</si>
  <si>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</si>
  <si>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</si>
  <si>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</si>
  <si>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</si>
  <si>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</si>
  <si>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</si>
  <si>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</si>
  <si>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</si>
  <si>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</si>
  <si>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</si>
  <si>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</si>
  <si>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</si>
  <si>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</si>
  <si>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</si>
  <si>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</si>
  <si>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</si>
  <si>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</si>
  <si>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</si>
  <si>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</si>
  <si>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</si>
  <si>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</si>
  <si>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</si>
  <si>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</si>
  <si>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</si>
  <si>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</si>
  <si>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</si>
  <si>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</si>
  <si>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</si>
  <si>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</si>
  <si>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</si>
  <si>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</si>
  <si>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</si>
  <si>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</si>
  <si>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</si>
  <si>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</si>
  <si>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</si>
  <si>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</si>
  <si>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</si>
  <si>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</si>
  <si>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</si>
  <si>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</si>
  <si>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</si>
  <si>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</si>
  <si>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</si>
  <si>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</si>
  <si>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</si>
  <si>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</si>
  <si>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</si>
  <si>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</si>
  <si>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</si>
  <si>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</si>
  <si>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</si>
  <si>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</si>
  <si>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</si>
  <si>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</si>
  <si>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</si>
  <si>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</si>
  <si>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</si>
  <si>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</si>
  <si>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</si>
  <si>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</si>
  <si>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</si>
  <si>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</si>
  <si>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</si>
  <si>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</si>
  <si>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</si>
  <si>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</si>
  <si>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</si>
  <si>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</si>
  <si>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</si>
  <si>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</si>
  <si>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</si>
  <si>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</si>
  <si>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</si>
  <si>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</si>
  <si>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</si>
  <si>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</si>
  <si>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</si>
  <si>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</si>
  <si>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</si>
  <si>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</si>
  <si>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</si>
  <si>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</si>
  <si>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</si>
  <si>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</si>
  <si>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</si>
  <si>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</si>
  <si>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</si>
  <si>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</si>
  <si>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</si>
  <si>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</si>
  <si>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</si>
  <si>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</si>
  <si>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</si>
  <si>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</si>
  <si>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</si>
  <si>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</si>
  <si>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</si>
  <si>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</si>
  <si>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</si>
  <si>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</si>
  <si>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</si>
  <si>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</si>
  <si>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</si>
  <si>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</si>
  <si>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</si>
  <si>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</si>
  <si>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</si>
  <si>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</si>
  <si>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</si>
  <si>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</si>
  <si>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</si>
  <si>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</si>
  <si>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</si>
  <si>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</si>
  <si>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</si>
  <si>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</si>
  <si>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</si>
  <si>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</si>
  <si>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</si>
  <si>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</si>
  <si>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</si>
  <si>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</si>
  <si>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</si>
  <si>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</si>
  <si>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</si>
  <si>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</si>
  <si>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</si>
  <si>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</si>
  <si>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</si>
  <si>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</si>
  <si>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</si>
  <si>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</si>
  <si>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</si>
  <si>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</si>
  <si>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</si>
  <si>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</si>
  <si>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</si>
  <si>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</si>
  <si>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</si>
  <si>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</si>
  <si>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</si>
  <si>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</si>
  <si>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</si>
  <si>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</si>
  <si>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</si>
  <si>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</si>
  <si>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</si>
  <si>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</si>
  <si>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</si>
  <si>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</si>
  <si>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</si>
  <si>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</si>
  <si>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</si>
  <si>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</si>
  <si>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</si>
  <si>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</si>
  <si>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</si>
  <si>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</si>
  <si>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</si>
  <si>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</si>
  <si>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</si>
  <si>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</si>
  <si>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</si>
  <si>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</si>
  <si>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</si>
  <si>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</si>
  <si>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</si>
  <si>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</si>
  <si>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</si>
  <si>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</si>
  <si>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</si>
  <si>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</si>
  <si>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</si>
  <si>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</si>
  <si>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</si>
  <si>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</si>
  <si>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</si>
  <si>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</si>
  <si>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</si>
  <si>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</si>
  <si>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</si>
  <si>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</si>
  <si>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</si>
  <si>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</si>
  <si>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</si>
  <si>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</si>
  <si>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</si>
  <si>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</si>
  <si>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</si>
  <si>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</si>
  <si>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</si>
  <si>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</si>
  <si>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</si>
  <si>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</si>
  <si>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</si>
  <si>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</si>
  <si>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</si>
  <si>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</si>
  <si>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</si>
  <si>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</si>
  <si>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</si>
  <si>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</si>
  <si>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</si>
  <si>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</si>
  <si>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</si>
  <si>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</si>
  <si>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</si>
  <si>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</si>
  <si>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</si>
  <si>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</si>
  <si>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</si>
  <si>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</si>
  <si>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</si>
  <si>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</si>
  <si>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</si>
  <si>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</si>
  <si>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</si>
  <si>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</si>
  <si>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</si>
  <si>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</si>
  <si>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</si>
  <si>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</si>
  <si>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</si>
  <si>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</si>
  <si>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</si>
  <si>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</si>
  <si>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</si>
  <si>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</si>
  <si>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</si>
  <si>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</si>
  <si>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</si>
  <si>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</si>
  <si>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</si>
  <si>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</si>
  <si>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</si>
  <si>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</si>
  <si>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</si>
  <si>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</si>
  <si>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</si>
  <si>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</si>
  <si>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</si>
  <si>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</si>
  <si>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</si>
  <si>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</si>
  <si>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</si>
  <si>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</si>
  <si>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</si>
  <si>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</si>
  <si>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</si>
  <si>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</si>
  <si>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</si>
  <si>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</si>
  <si>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</si>
  <si>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</si>
  <si>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</si>
  <si>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</si>
  <si>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</si>
  <si>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</si>
  <si>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</si>
  <si>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</si>
  <si>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</si>
  <si>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</si>
  <si>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</si>
  <si>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</si>
  <si>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</si>
  <si>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</si>
  <si>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</si>
  <si>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</si>
  <si>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</si>
  <si>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</si>
  <si>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</si>
  <si>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</si>
  <si>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</si>
  <si>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</si>
  <si>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</si>
  <si>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</si>
  <si>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</si>
  <si>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</si>
  <si>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</si>
  <si>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</si>
  <si>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</si>
  <si>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</si>
  <si>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</si>
  <si>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</si>
  <si>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</si>
  <si>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</si>
  <si>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</si>
  <si>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</si>
  <si>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</si>
  <si>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</si>
  <si>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</si>
  <si>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</si>
  <si>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</si>
  <si>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</si>
  <si>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</si>
  <si>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</si>
  <si>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</si>
  <si>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</si>
  <si>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</si>
  <si>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</si>
  <si>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</si>
  <si>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</si>
  <si>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</si>
  <si>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</si>
  <si>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</si>
  <si>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</si>
  <si>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</si>
  <si>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</si>
  <si>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</si>
  <si>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</si>
  <si>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</si>
  <si>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</si>
  <si>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</si>
  <si>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</si>
  <si>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</si>
  <si>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</si>
  <si>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</si>
  <si>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</si>
  <si>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</si>
  <si>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</si>
  <si>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</si>
  <si>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</si>
  <si>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</si>
  <si>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</si>
  <si>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</si>
  <si>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</si>
  <si>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</si>
  <si>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</si>
  <si>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</si>
  <si>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</si>
  <si>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</si>
  <si>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</si>
  <si>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</si>
  <si>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</si>
  <si>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</si>
  <si>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</si>
  <si>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</si>
  <si>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</si>
  <si>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</si>
  <si>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</si>
  <si>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</si>
  <si>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</si>
  <si>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</si>
  <si>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</si>
  <si>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</si>
  <si>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</si>
  <si>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</si>
  <si>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</si>
  <si>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</si>
  <si>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</si>
  <si>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</si>
  <si>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</si>
  <si>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</si>
  <si>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</si>
  <si>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</si>
  <si>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</si>
  <si>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</si>
  <si>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</si>
  <si>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</si>
  <si>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</si>
  <si>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</si>
  <si>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</si>
  <si>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</si>
  <si>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</si>
  <si>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</si>
  <si>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</si>
  <si>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</si>
  <si>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</si>
  <si>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</si>
  <si>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</si>
  <si>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</si>
  <si>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</si>
  <si>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</si>
  <si>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</si>
  <si>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</si>
  <si>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</si>
  <si>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</si>
  <si>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</si>
  <si>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</si>
  <si>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</si>
  <si>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</si>
  <si>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</si>
  <si>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</si>
  <si>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</si>
  <si>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</si>
  <si>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</si>
  <si>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</si>
  <si>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</si>
  <si>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</si>
  <si>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</si>
  <si>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</si>
  <si>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</si>
  <si>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</si>
  <si>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</si>
  <si>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</si>
  <si>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</si>
  <si>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</si>
  <si>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</si>
  <si>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</si>
  <si>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</si>
  <si>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</si>
  <si>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</si>
  <si>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</si>
  <si>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</si>
  <si>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</si>
  <si>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</si>
  <si>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</si>
  <si>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</si>
  <si>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</si>
  <si>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</si>
  <si>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</si>
  <si>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</si>
  <si>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</si>
  <si>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</si>
  <si>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</si>
  <si>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</si>
  <si>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</si>
  <si>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</si>
  <si>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</si>
  <si>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</si>
  <si>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</si>
  <si>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</si>
  <si>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</si>
  <si>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</si>
  <si>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</si>
  <si>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</si>
  <si>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</si>
  <si>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</si>
  <si>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</si>
  <si>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</si>
  <si>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</si>
  <si>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</si>
  <si>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</si>
  <si>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</si>
  <si>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</si>
  <si>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</si>
  <si>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</si>
  <si>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</si>
  <si>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</si>
  <si>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</si>
  <si>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</si>
  <si>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</si>
  <si>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</si>
  <si>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</si>
  <si>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</si>
  <si>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</si>
  <si>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</si>
  <si>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</si>
  <si>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</si>
  <si>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</si>
  <si>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</si>
  <si>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</si>
  <si>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</si>
  <si>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</si>
  <si>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</si>
  <si>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</si>
  <si>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</si>
  <si>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</si>
  <si>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</si>
  <si>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</si>
  <si>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</si>
  <si>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</si>
  <si>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</si>
  <si>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</si>
  <si>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</si>
  <si>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</si>
  <si>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</si>
  <si>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</si>
  <si>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</si>
  <si>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</si>
  <si>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</si>
  <si>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</si>
  <si>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</si>
  <si>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</si>
  <si>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</si>
  <si>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</si>
  <si>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</si>
  <si>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</si>
  <si>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</si>
  <si>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</si>
  <si>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</si>
  <si>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</si>
  <si>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</si>
  <si>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</si>
  <si>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</si>
  <si>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</si>
  <si>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</si>
  <si>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</si>
  <si>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</si>
  <si>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</si>
  <si>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</si>
  <si>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</si>
  <si>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</si>
  <si>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</si>
  <si>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</si>
  <si>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</si>
  <si>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</si>
  <si>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</si>
  <si>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</si>
  <si>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</si>
  <si>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</si>
  <si>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</si>
  <si>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</si>
  <si>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</si>
  <si>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</si>
  <si>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</si>
  <si>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</si>
  <si>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</si>
  <si>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</si>
  <si>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</si>
  <si>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</si>
  <si>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</si>
  <si>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</si>
  <si>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</si>
  <si>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</si>
  <si>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</si>
  <si>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</si>
  <si>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</si>
  <si>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</si>
  <si>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</si>
  <si>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</si>
  <si>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</si>
  <si>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</si>
  <si>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</si>
  <si>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</si>
  <si>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</si>
  <si>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</si>
  <si>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</si>
  <si>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</si>
  <si>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</si>
  <si>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</si>
  <si>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</si>
  <si>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</si>
  <si>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</si>
  <si>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</si>
  <si>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</si>
  <si>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</si>
  <si>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</si>
  <si>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</si>
  <si>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</si>
  <si>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</si>
  <si>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</si>
  <si>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</si>
  <si>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</si>
  <si>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</si>
  <si>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</si>
  <si>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</si>
  <si>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</si>
  <si>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</si>
  <si>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</si>
  <si>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</si>
  <si>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</si>
  <si>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</si>
  <si>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</si>
  <si>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</si>
  <si>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</si>
  <si>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</si>
  <si>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</si>
  <si>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</si>
  <si>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</si>
  <si>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</si>
  <si>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</si>
  <si>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</si>
  <si>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</si>
  <si>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</si>
  <si>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</si>
  <si>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</si>
  <si>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</si>
  <si>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</si>
  <si>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</si>
  <si>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</si>
  <si>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</si>
  <si>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</si>
  <si>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</si>
  <si>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</si>
  <si>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</si>
  <si>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</si>
  <si>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</si>
  <si>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</si>
  <si>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</si>
  <si>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</si>
  <si>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</si>
  <si>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</si>
  <si>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</si>
  <si>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</si>
  <si>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</si>
  <si>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</si>
  <si>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</si>
  <si>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</si>
  <si>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</si>
  <si>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</si>
  <si>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</si>
  <si>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</si>
  <si>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</si>
  <si>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</si>
  <si>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</si>
  <si>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</si>
  <si>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</si>
  <si>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</si>
  <si>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</si>
  <si>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</si>
  <si>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</si>
  <si>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</si>
  <si>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</si>
  <si>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</si>
  <si>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</si>
  <si>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</si>
  <si>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</si>
  <si>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</si>
  <si>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</si>
  <si>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</si>
  <si>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</si>
  <si>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</si>
  <si>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</si>
  <si>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</si>
  <si>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</si>
  <si>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</si>
  <si>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</si>
  <si>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</si>
  <si>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</si>
  <si>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</si>
  <si>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</si>
  <si>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</si>
  <si>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</si>
  <si>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</si>
  <si>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</si>
  <si>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</si>
  <si>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</si>
  <si>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</si>
  <si>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</si>
  <si>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</si>
  <si>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</si>
  <si>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</si>
  <si>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</si>
  <si>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</si>
  <si>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</si>
  <si>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</si>
  <si>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</si>
  <si>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</si>
  <si>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</si>
  <si>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</si>
  <si>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</si>
  <si>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</si>
  <si>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</si>
  <si>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</si>
  <si>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</si>
  <si>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</si>
  <si>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</si>
  <si>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</si>
  <si>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</si>
  <si>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</si>
  <si>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</si>
  <si>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</si>
  <si>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</si>
  <si>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</si>
  <si>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</si>
  <si>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</si>
  <si>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</si>
  <si>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</si>
  <si>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</si>
  <si>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</si>
  <si>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</si>
  <si>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</si>
  <si>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</si>
  <si>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</si>
  <si>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</si>
  <si>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</si>
  <si>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</si>
  <si>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</si>
  <si>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</si>
  <si>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</si>
  <si>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</si>
  <si>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</si>
  <si>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</si>
  <si>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</si>
  <si>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</si>
  <si>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</si>
  <si>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</si>
  <si>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</si>
  <si>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</si>
  <si>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</si>
  <si>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</si>
  <si>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</si>
  <si>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</si>
  <si>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</si>
  <si>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</si>
  <si>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</si>
  <si>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</si>
  <si>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</si>
  <si>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</si>
  <si>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</si>
  <si>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</si>
  <si>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</si>
  <si>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</si>
  <si>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</si>
  <si>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</si>
  <si>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</si>
  <si>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</si>
  <si>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</si>
  <si>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</si>
  <si>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</si>
  <si>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</si>
  <si>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</si>
  <si>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</si>
  <si>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</si>
  <si>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</si>
  <si>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</si>
  <si>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</si>
  <si>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</si>
  <si>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</si>
  <si>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</si>
  <si>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</si>
  <si>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</si>
  <si>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</si>
  <si>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</si>
  <si>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</si>
  <si>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</si>
  <si>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</si>
  <si>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</si>
  <si>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</si>
  <si>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</si>
  <si>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</si>
  <si>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</si>
  <si>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</si>
  <si>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</si>
  <si>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</si>
  <si>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</si>
  <si>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</si>
  <si>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</si>
  <si>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</si>
  <si>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</si>
  <si>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</si>
  <si>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</si>
  <si>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</si>
  <si>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</si>
  <si>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</si>
  <si>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</si>
  <si>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</si>
  <si>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</si>
  <si>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</si>
  <si>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</si>
  <si>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</si>
  <si>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</si>
  <si>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</si>
  <si>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</si>
  <si>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</si>
  <si>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</si>
  <si>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</si>
  <si>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</si>
  <si>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</si>
  <si>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</si>
  <si>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</si>
  <si>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</si>
  <si>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</si>
  <si>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</si>
  <si>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</si>
  <si>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</si>
  <si>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</si>
  <si>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</si>
  <si>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</si>
  <si>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</si>
  <si>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</si>
  <si>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</si>
  <si>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</si>
  <si>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</si>
  <si>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</si>
  <si>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</si>
  <si>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</si>
  <si>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</si>
  <si>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</si>
  <si>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</si>
  <si>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</si>
  <si>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</si>
  <si>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</si>
  <si>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</si>
  <si>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</si>
  <si>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</si>
  <si>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</si>
  <si>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</si>
  <si>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</si>
  <si>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</si>
  <si>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</si>
  <si>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</si>
  <si>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</si>
  <si>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</si>
  <si>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</si>
  <si>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</si>
  <si>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</si>
  <si>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</si>
  <si>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</si>
  <si>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</si>
  <si>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</si>
  <si>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</si>
  <si>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</si>
  <si>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</si>
  <si>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</si>
  <si>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</si>
  <si>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</si>
  <si>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</si>
  <si>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</si>
  <si>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</si>
  <si>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</si>
  <si>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</si>
  <si>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</si>
  <si>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</si>
  <si>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</si>
  <si>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</si>
  <si>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</si>
  <si>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</si>
  <si>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</si>
  <si>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</si>
  <si>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</si>
  <si>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</si>
  <si>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</si>
  <si>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</si>
  <si>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</si>
  <si>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</si>
  <si>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</si>
  <si>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</si>
  <si>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</si>
  <si>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</si>
  <si>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</si>
  <si>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</si>
  <si>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</si>
  <si>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</si>
  <si>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</si>
  <si>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</si>
  <si>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</si>
  <si>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</si>
  <si>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</si>
  <si>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</si>
  <si>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</si>
  <si>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</si>
  <si>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</si>
  <si>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</si>
  <si>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</si>
  <si>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</si>
  <si>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</si>
  <si>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</si>
  <si>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</si>
  <si>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</si>
  <si>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</si>
  <si>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</si>
  <si>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</si>
  <si>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</si>
  <si>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</si>
  <si>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</si>
  <si>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</si>
  <si>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</si>
  <si>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</si>
  <si>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</si>
  <si>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</si>
  <si>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</si>
  <si>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</si>
  <si>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</si>
  <si>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</si>
  <si>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</si>
  <si>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</si>
  <si>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</si>
  <si>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</si>
  <si>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</si>
  <si>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</si>
  <si>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</si>
  <si>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</si>
  <si>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</si>
  <si>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</si>
  <si>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</si>
  <si>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</si>
  <si>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</si>
  <si>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</si>
  <si>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</si>
  <si>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</si>
  <si>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</si>
  <si>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</si>
  <si>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</si>
  <si>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</si>
  <si>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</si>
  <si>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</si>
  <si>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</si>
  <si>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</si>
  <si>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</si>
  <si>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</si>
  <si>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</si>
  <si>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</si>
  <si>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</si>
  <si>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</si>
  <si>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</si>
  <si>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</si>
  <si>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</si>
  <si>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</si>
  <si>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</si>
  <si>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</si>
  <si>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</si>
  <si>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</si>
  <si>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</si>
  <si>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</si>
  <si>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</si>
  <si>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</si>
  <si>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</si>
  <si>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</si>
  <si>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</si>
  <si>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</si>
  <si>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</si>
  <si>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</si>
  <si>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</si>
  <si>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</si>
  <si>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</si>
  <si>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</si>
  <si>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</si>
  <si>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</si>
  <si>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</si>
  <si>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</si>
  <si>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</si>
  <si>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</si>
  <si>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</si>
  <si>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</si>
  <si>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</si>
  <si>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</si>
  <si>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</si>
  <si>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</si>
  <si>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</si>
  <si>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</si>
  <si>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</si>
  <si>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</si>
  <si>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</si>
  <si>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</si>
  <si>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</si>
  <si>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</si>
  <si>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</si>
  <si>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</si>
  <si>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</si>
  <si>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</si>
  <si>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</si>
  <si>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</si>
  <si>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</si>
  <si>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</si>
  <si>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</si>
  <si>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</si>
  <si>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</si>
  <si>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</si>
  <si>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</si>
  <si>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</si>
  <si>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</si>
  <si>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</si>
  <si>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</si>
  <si>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</si>
  <si>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</si>
  <si>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</si>
  <si>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</si>
  <si>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</si>
  <si>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</si>
  <si>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</si>
  <si>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</si>
  <si>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</si>
  <si>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</si>
  <si>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</si>
  <si>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</si>
  <si>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</si>
  <si>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</si>
  <si>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</si>
  <si>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</si>
  <si>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</si>
  <si>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</si>
  <si>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</si>
  <si>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</si>
  <si>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</si>
  <si>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</si>
  <si>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</si>
  <si>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</si>
  <si>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</si>
  <si>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</si>
  <si>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</si>
  <si>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</si>
  <si>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</si>
  <si>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</si>
  <si>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</si>
  <si>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</si>
  <si>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</si>
  <si>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</si>
  <si>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</si>
  <si>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</si>
  <si>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</si>
  <si>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</si>
  <si>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</si>
  <si>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</si>
  <si>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</si>
  <si>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</si>
  <si>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</si>
  <si>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</si>
  <si>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</si>
  <si>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</si>
  <si>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</si>
  <si>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</si>
  <si>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</si>
  <si>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</si>
  <si>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</si>
  <si>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</si>
  <si>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</si>
  <si>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</si>
  <si>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</si>
  <si>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</si>
  <si>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</si>
  <si>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</si>
  <si>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</si>
  <si>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</si>
  <si>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</si>
  <si>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</si>
  <si>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</si>
  <si>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</si>
  <si>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</si>
  <si>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</si>
  <si>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</si>
  <si>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</si>
  <si>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</si>
  <si>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</si>
  <si>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</si>
  <si>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</si>
  <si>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</si>
  <si>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</si>
  <si>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</si>
  <si>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</si>
  <si>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</si>
  <si>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</si>
  <si>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</si>
  <si>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</si>
  <si>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</si>
  <si>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</si>
  <si>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</si>
  <si>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</si>
  <si>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</si>
  <si>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</si>
  <si>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</si>
  <si>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</si>
  <si>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</si>
  <si>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</si>
  <si>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</si>
  <si>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</si>
  <si>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</si>
  <si>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</si>
  <si>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</si>
  <si>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</si>
  <si>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</si>
  <si>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</si>
  <si>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</si>
  <si>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</si>
  <si>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</si>
  <si>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</si>
  <si>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</si>
  <si>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</si>
  <si>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</si>
  <si>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</si>
  <si>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</si>
  <si>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</si>
  <si>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</si>
  <si>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</si>
  <si>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</si>
  <si>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</si>
  <si>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</si>
  <si>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</si>
  <si>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</si>
  <si>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</si>
  <si>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</si>
  <si>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</si>
  <si>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</si>
  <si>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</si>
  <si>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</si>
  <si>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</si>
  <si>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</si>
  <si>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</si>
  <si>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</si>
  <si>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</si>
  <si>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</si>
  <si>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</si>
  <si>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</si>
  <si>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</si>
  <si>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</si>
  <si>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</si>
  <si>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</si>
  <si>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</si>
  <si>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</si>
  <si>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</si>
  <si>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</si>
  <si>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</si>
  <si>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</si>
  <si>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</si>
  <si>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</si>
  <si>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</si>
  <si>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</si>
  <si>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</si>
  <si>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</si>
  <si>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</si>
  <si>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</si>
  <si>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</si>
  <si>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</si>
  <si>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</si>
  <si>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</si>
  <si>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</si>
  <si>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</si>
  <si>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</si>
  <si>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</si>
  <si>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</si>
  <si>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</si>
  <si>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</si>
  <si>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</si>
  <si>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</si>
  <si>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</si>
  <si>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</si>
  <si>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</si>
  <si>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</si>
  <si>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</si>
  <si>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</si>
  <si>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</si>
  <si>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</si>
  <si>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</si>
  <si>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</si>
  <si>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</si>
  <si>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</si>
  <si>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</si>
  <si>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</si>
  <si>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</si>
  <si>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</si>
  <si>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</si>
  <si>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</si>
  <si>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</si>
  <si>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</si>
  <si>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</si>
  <si>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</si>
  <si>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</si>
  <si>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</si>
  <si>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</si>
  <si>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</si>
  <si>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</si>
  <si>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</si>
  <si>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</si>
  <si>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</si>
  <si>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</si>
  <si>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</si>
  <si>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</si>
  <si>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</si>
  <si>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</si>
  <si>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</si>
  <si>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</si>
  <si>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</si>
  <si>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</si>
  <si>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</si>
  <si>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</si>
  <si>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</si>
  <si>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</si>
  <si>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</si>
  <si>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</si>
  <si>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</si>
  <si>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</si>
  <si>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</si>
  <si>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</si>
  <si>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</si>
  <si>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</si>
  <si>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</si>
  <si>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</si>
  <si>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</si>
  <si>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</si>
  <si>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</si>
  <si>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</si>
  <si>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</si>
  <si>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</si>
  <si>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</si>
  <si>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</si>
  <si>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</si>
  <si>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</si>
  <si>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</si>
  <si>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</si>
  <si>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</si>
  <si>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</si>
  <si>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</si>
  <si>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</si>
  <si>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</si>
  <si>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</si>
  <si>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</si>
  <si>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</si>
  <si>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</si>
  <si>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</si>
  <si>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</si>
  <si>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</si>
  <si>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</si>
  <si>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</si>
  <si>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</si>
  <si>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</si>
  <si>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</si>
  <si>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</si>
  <si>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</si>
  <si>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</si>
  <si>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</si>
  <si>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</si>
  <si>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</si>
  <si>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</si>
  <si>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</si>
  <si>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</si>
  <si>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</si>
  <si>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</si>
  <si>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</si>
  <si>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</si>
  <si>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</si>
  <si>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</si>
  <si>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</si>
  <si>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</si>
  <si>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</si>
  <si>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</si>
  <si>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</si>
  <si>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</si>
  <si>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</si>
  <si>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</si>
  <si>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</si>
  <si>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</si>
  <si>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</si>
  <si>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</si>
  <si>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</si>
  <si>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</si>
  <si>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</si>
  <si>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</si>
  <si>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</si>
  <si>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</si>
  <si>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</si>
  <si>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</si>
  <si>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</si>
  <si>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</si>
  <si>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</si>
  <si>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</si>
  <si>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</si>
  <si>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</si>
  <si>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</si>
  <si>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</si>
  <si>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</si>
  <si>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</si>
  <si>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</si>
  <si>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</si>
  <si>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</si>
  <si>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</si>
  <si>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</si>
  <si>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</si>
  <si>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</si>
  <si>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</si>
  <si>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</si>
  <si>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</si>
  <si>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</si>
  <si>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</si>
  <si>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</si>
  <si>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</si>
  <si>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</si>
  <si>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</si>
  <si>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</si>
  <si>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</si>
  <si>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</si>
  <si>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</si>
  <si>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</si>
  <si>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</si>
  <si>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</si>
  <si>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</si>
  <si>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</si>
  <si>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</si>
  <si>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</si>
  <si>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</si>
  <si>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</si>
  <si>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</si>
  <si>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</si>
  <si>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</si>
  <si>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</si>
  <si>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</si>
  <si>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</si>
  <si>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</si>
  <si>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</si>
  <si>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</si>
  <si>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</si>
  <si>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</si>
  <si>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</si>
  <si>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</si>
  <si>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</si>
  <si>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</si>
  <si>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</si>
  <si>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</si>
  <si>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</si>
  <si>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</si>
  <si>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</si>
  <si>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</si>
  <si>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</si>
  <si>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</si>
  <si>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</si>
  <si>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</si>
  <si>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</si>
  <si>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</si>
  <si>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</si>
  <si>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</si>
  <si>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</si>
  <si>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</si>
  <si>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</si>
  <si>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</si>
  <si>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</si>
  <si>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</si>
  <si>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</si>
  <si>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</si>
  <si>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</si>
  <si>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</si>
  <si>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</si>
  <si>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</si>
  <si>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</si>
  <si>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</si>
  <si>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</si>
  <si>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</si>
  <si>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</si>
  <si>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</si>
  <si>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</si>
  <si>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</si>
  <si>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</si>
  <si>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</si>
  <si>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</si>
  <si>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</si>
  <si>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</si>
  <si>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</si>
  <si>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</si>
  <si>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</si>
  <si>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</si>
  <si>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</si>
  <si>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</si>
  <si>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</si>
  <si>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</si>
  <si>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</si>
  <si>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</si>
  <si>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</si>
  <si>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</si>
  <si>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</si>
  <si>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</si>
  <si>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</si>
  <si>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</si>
  <si>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</si>
  <si>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</si>
  <si>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</si>
  <si>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</si>
  <si>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</si>
  <si>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</si>
  <si>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</si>
  <si>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</si>
  <si>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</si>
  <si>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</si>
  <si>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</si>
  <si>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</si>
  <si>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</si>
  <si>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</si>
  <si>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</si>
  <si>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</si>
  <si>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</si>
  <si>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</si>
  <si>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</si>
  <si>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</si>
  <si>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</si>
  <si>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</si>
  <si>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</si>
  <si>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</si>
  <si>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</si>
  <si>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</si>
  <si>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</si>
  <si>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</si>
  <si>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</si>
  <si>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</si>
  <si>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</si>
  <si>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</si>
  <si>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</si>
  <si>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</si>
  <si>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</si>
  <si>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</si>
  <si>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</si>
  <si>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</si>
  <si>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</si>
  <si>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</si>
  <si>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</si>
  <si>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</si>
  <si>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</si>
  <si>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</si>
  <si>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</si>
  <si>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</si>
  <si>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</si>
  <si>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</si>
  <si>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</si>
  <si>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</si>
  <si>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</si>
  <si>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</si>
  <si>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</si>
  <si>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</si>
  <si>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</si>
  <si>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</si>
  <si>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</si>
  <si>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</si>
  <si>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</si>
  <si>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</si>
  <si>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</si>
  <si>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</si>
  <si>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</si>
  <si>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</si>
  <si>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</si>
  <si>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</si>
  <si>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</si>
  <si>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</si>
  <si>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</si>
  <si>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</si>
  <si>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</si>
  <si>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</si>
  <si>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</si>
  <si>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</si>
  <si>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</si>
  <si>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</si>
  <si>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</si>
  <si>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</si>
  <si>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</si>
  <si>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</si>
  <si>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</si>
  <si>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</si>
  <si>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</si>
  <si>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</si>
  <si>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</si>
  <si>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</si>
  <si>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</si>
  <si>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</si>
  <si>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</si>
  <si>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</si>
  <si>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</si>
  <si>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</si>
  <si>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</si>
  <si>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</si>
  <si>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</si>
  <si>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</si>
  <si>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</si>
  <si>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</si>
  <si>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</si>
  <si>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</si>
  <si>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</si>
  <si>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</si>
  <si>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</si>
  <si>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</si>
  <si>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</si>
  <si>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</si>
  <si>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</si>
  <si>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</si>
  <si>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</si>
  <si>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</si>
  <si>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</si>
  <si>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</si>
  <si>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</si>
  <si>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</si>
  <si>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</si>
  <si>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</si>
  <si>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</si>
  <si>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</si>
  <si>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</si>
  <si>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</si>
  <si>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</si>
  <si>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</si>
  <si>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</si>
  <si>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</si>
  <si>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</si>
  <si>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</si>
  <si>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</si>
  <si>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</si>
  <si>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</si>
  <si>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</si>
  <si>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</si>
  <si>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</si>
  <si>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</si>
  <si>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</si>
  <si>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</si>
  <si>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</si>
  <si>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</si>
  <si>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</si>
  <si>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</si>
  <si>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</si>
  <si>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</si>
  <si>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</si>
  <si>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</si>
  <si>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</si>
  <si>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</si>
  <si>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</si>
  <si>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</si>
  <si>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</si>
  <si>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</si>
  <si>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</si>
  <si>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</si>
  <si>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</si>
  <si>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</si>
  <si>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</si>
  <si>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</si>
  <si>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</si>
  <si>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</si>
  <si>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</si>
  <si>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</si>
  <si>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</si>
  <si>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</si>
  <si>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</si>
  <si>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</si>
  <si>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</si>
  <si>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</si>
  <si>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</si>
  <si>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</si>
  <si>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</si>
  <si>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</si>
  <si>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</si>
  <si>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</si>
  <si>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</si>
  <si>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</si>
  <si>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</si>
  <si>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</si>
  <si>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</si>
  <si>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</si>
  <si>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</si>
  <si>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</si>
  <si>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</si>
  <si>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</si>
  <si>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</si>
  <si>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</si>
  <si>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</si>
  <si>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</si>
  <si>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</si>
  <si>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</si>
  <si>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</si>
  <si>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</si>
  <si>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</si>
  <si>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</si>
  <si>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</si>
  <si>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</si>
  <si>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</si>
  <si>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</si>
  <si>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</si>
  <si>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</si>
  <si>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</si>
  <si>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</si>
  <si>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</si>
  <si>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</si>
  <si>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</si>
  <si>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</si>
  <si>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</si>
  <si>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</si>
  <si>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</si>
  <si>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</si>
  <si>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</si>
  <si>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</si>
  <si>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</si>
  <si>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</si>
  <si>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</si>
  <si>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</si>
  <si>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</si>
  <si>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</si>
  <si>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</si>
  <si>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</si>
  <si>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</si>
  <si>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</si>
  <si>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</si>
  <si>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</si>
  <si>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</si>
  <si>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</si>
  <si>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</si>
  <si>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</si>
  <si>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</si>
  <si>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</si>
  <si>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</si>
  <si>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</si>
  <si>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</si>
  <si>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</si>
  <si>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</si>
  <si>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</si>
  <si>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</si>
  <si>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</si>
  <si>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</si>
  <si>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</si>
  <si>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</si>
  <si>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</si>
  <si>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</si>
  <si>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</si>
  <si>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</si>
  <si>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</si>
  <si>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</si>
  <si>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</si>
  <si>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</si>
  <si>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</si>
  <si>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</si>
  <si>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</si>
  <si>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</si>
  <si>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</si>
  <si>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</si>
  <si>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</si>
  <si>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</si>
  <si>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</si>
  <si>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</si>
  <si>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</si>
  <si>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</si>
  <si>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</si>
  <si>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</si>
  <si>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</si>
  <si>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</si>
  <si>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</si>
  <si>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</si>
  <si>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</si>
  <si>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</si>
  <si>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</si>
  <si>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</si>
  <si>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</si>
  <si>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</si>
  <si>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</si>
  <si>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</si>
  <si>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</si>
  <si>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</si>
  <si>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</si>
  <si>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</si>
  <si>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</si>
  <si>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</si>
  <si>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</si>
  <si>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</si>
  <si>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</si>
  <si>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</si>
  <si>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</si>
  <si>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</si>
  <si>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</si>
  <si>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</si>
  <si>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</si>
  <si>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</si>
  <si>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</si>
  <si>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</si>
  <si>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</si>
  <si>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</si>
  <si>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</si>
  <si>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</si>
  <si>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</si>
  <si>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</si>
  <si>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</si>
  <si>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</si>
  <si>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</si>
  <si>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</si>
  <si>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</si>
  <si>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</si>
  <si>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</si>
  <si>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</si>
  <si>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</si>
  <si>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</si>
  <si>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</si>
  <si>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</si>
  <si>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</si>
  <si>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</si>
  <si>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</si>
  <si>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</si>
  <si>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</si>
  <si>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</si>
  <si>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</si>
  <si>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</si>
  <si>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</si>
  <si>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</si>
  <si>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</si>
  <si>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</si>
  <si>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</si>
  <si>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</si>
  <si>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</si>
  <si>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</si>
  <si>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</si>
  <si>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</si>
  <si>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</si>
  <si>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</si>
  <si>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</si>
  <si>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</si>
  <si>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</si>
  <si>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</si>
  <si>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</si>
  <si>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</si>
  <si>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</si>
  <si>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</si>
  <si>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</si>
  <si>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</si>
  <si>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</si>
  <si>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</si>
  <si>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</si>
  <si>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</si>
  <si>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</si>
  <si>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</si>
  <si>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</si>
  <si>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</si>
  <si>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</si>
  <si>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</si>
  <si>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</si>
  <si>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</si>
  <si>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</si>
  <si>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</si>
  <si>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</si>
  <si>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</si>
  <si>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</si>
  <si>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</si>
  <si>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</si>
  <si>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</si>
  <si>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</si>
  <si>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</si>
  <si>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</si>
  <si>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</si>
  <si>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</si>
  <si>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</si>
  <si>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</si>
  <si>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</si>
  <si>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</si>
  <si>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</si>
  <si>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</si>
  <si>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</si>
  <si>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</si>
  <si>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</si>
  <si>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</si>
  <si>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</si>
  <si>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</si>
  <si>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</si>
  <si>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</si>
  <si>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</si>
  <si>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</si>
  <si>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</si>
  <si>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</si>
  <si>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</si>
  <si>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</si>
  <si>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</si>
  <si>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</si>
  <si>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</si>
  <si>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</si>
  <si>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</si>
  <si>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</si>
  <si>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</si>
  <si>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</si>
  <si>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</si>
  <si>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</si>
  <si>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</si>
  <si>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</si>
  <si>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</si>
  <si>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</si>
  <si>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</si>
  <si>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</si>
  <si>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</si>
  <si>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</si>
  <si>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</si>
  <si>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</si>
  <si>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</si>
  <si>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</si>
  <si>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</si>
  <si>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</si>
  <si>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</si>
  <si>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</si>
  <si>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</si>
  <si>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</si>
  <si>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</si>
  <si>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</si>
  <si>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</si>
  <si>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</si>
  <si>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</si>
  <si>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</si>
  <si>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</si>
  <si>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</si>
  <si>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</si>
  <si>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</si>
  <si>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</si>
  <si>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</si>
  <si>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</si>
  <si>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</si>
  <si>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</si>
  <si>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</si>
  <si>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</si>
  <si>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</si>
  <si>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</si>
  <si>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</si>
  <si>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</si>
  <si>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</si>
  <si>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</si>
  <si>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</si>
  <si>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</si>
  <si>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</si>
  <si>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</si>
  <si>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</si>
  <si>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</si>
  <si>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</si>
  <si>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</si>
  <si>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</si>
  <si>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</si>
  <si>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</si>
  <si>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</si>
  <si>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</si>
  <si>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</si>
  <si>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</si>
  <si>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</si>
  <si>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</si>
  <si>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</si>
  <si>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</si>
  <si>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</si>
  <si>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</si>
  <si>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</si>
  <si>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</si>
  <si>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</si>
  <si>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</si>
  <si>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</si>
  <si>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</si>
  <si>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</si>
  <si>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</si>
  <si>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</si>
  <si>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</si>
  <si>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</si>
  <si>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</si>
  <si>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</si>
  <si>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</si>
  <si>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</si>
  <si>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</si>
  <si>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</si>
  <si>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</si>
  <si>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</si>
  <si>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</si>
  <si>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</si>
  <si>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</si>
  <si>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</si>
  <si>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</si>
  <si>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</si>
  <si>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</si>
  <si>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</si>
  <si>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</si>
  <si>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</si>
  <si>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</si>
  <si>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</si>
  <si>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</si>
  <si>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</si>
  <si>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</si>
  <si>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</si>
  <si>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</si>
  <si>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</si>
  <si>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</si>
  <si>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</si>
  <si>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</si>
  <si>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</si>
  <si>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</si>
  <si>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</si>
  <si>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</si>
  <si>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</si>
  <si>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</si>
  <si>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</si>
  <si>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</si>
  <si>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</si>
  <si>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</si>
  <si>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</si>
  <si>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</si>
  <si>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</si>
  <si>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</si>
  <si>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</si>
  <si>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</si>
  <si>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</si>
  <si>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</si>
  <si>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</si>
  <si>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</si>
  <si>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</si>
  <si>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</si>
  <si>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</si>
  <si>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</si>
  <si>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</si>
  <si>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</si>
  <si>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</si>
  <si>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</si>
  <si>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</si>
  <si>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</si>
  <si>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</si>
  <si>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</si>
  <si>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</si>
  <si>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</si>
  <si>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</si>
  <si>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</si>
  <si>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</si>
  <si>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</si>
  <si>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</si>
  <si>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</si>
  <si>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</si>
  <si>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</si>
  <si>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</si>
  <si>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</si>
  <si>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</si>
  <si>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</si>
  <si>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</si>
  <si>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</si>
  <si>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</si>
  <si>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</si>
  <si>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</si>
  <si>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</si>
  <si>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</si>
  <si>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</si>
  <si>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</si>
  <si>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</si>
  <si>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</si>
  <si>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</si>
  <si>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</si>
  <si>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</si>
  <si>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</si>
  <si>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</si>
  <si>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</si>
  <si>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</si>
  <si>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</si>
  <si>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</si>
  <si>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</si>
  <si>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</si>
  <si>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</si>
  <si>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</si>
  <si>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</si>
  <si>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</si>
  <si>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</si>
  <si>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</si>
  <si>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</si>
  <si>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</si>
  <si>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</si>
  <si>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</si>
  <si>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</si>
  <si>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</si>
  <si>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</si>
  <si>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</si>
  <si>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</si>
  <si>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</si>
  <si>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</si>
  <si>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</si>
  <si>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</si>
  <si>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</si>
  <si>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</si>
  <si>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</si>
  <si>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</si>
  <si>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</si>
  <si>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</si>
  <si>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</si>
  <si>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</si>
  <si>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</si>
  <si>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</si>
  <si>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</si>
  <si>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</si>
  <si>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</si>
  <si>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</si>
  <si>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</si>
  <si>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</si>
  <si>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</si>
  <si>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</si>
  <si>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</si>
  <si>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</si>
  <si>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</si>
  <si>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</si>
  <si>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</si>
  <si>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</si>
  <si>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</si>
  <si>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</si>
  <si>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</si>
  <si>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</si>
  <si>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</si>
  <si>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</si>
  <si>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</si>
  <si>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</si>
  <si>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</si>
  <si>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</si>
  <si>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</si>
  <si>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</si>
  <si>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</si>
  <si>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</si>
  <si>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</si>
  <si>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</si>
  <si>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</si>
  <si>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</si>
  <si>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</si>
  <si>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</si>
  <si>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</si>
  <si>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</si>
  <si>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</si>
  <si>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</si>
  <si>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</si>
  <si>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</si>
  <si>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</si>
  <si>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</si>
  <si>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</si>
  <si>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</si>
  <si>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</si>
  <si>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</si>
  <si>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</si>
  <si>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</si>
  <si>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</si>
  <si>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</si>
  <si>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</si>
  <si>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</si>
  <si>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</si>
  <si>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</si>
  <si>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</si>
  <si>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</si>
  <si>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</si>
  <si>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</si>
  <si>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</si>
  <si>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</si>
  <si>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</si>
  <si>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</si>
  <si>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</si>
  <si>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</si>
  <si>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</si>
  <si>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</si>
  <si>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</si>
  <si>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</si>
  <si>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</si>
  <si>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</si>
  <si>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</si>
  <si>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</si>
  <si>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</si>
  <si>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</si>
  <si>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</si>
  <si>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</si>
  <si>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</si>
  <si>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</si>
  <si>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</si>
  <si>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</si>
  <si>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</si>
  <si>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</si>
  <si>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</si>
  <si>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</si>
  <si>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</si>
  <si>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</si>
  <si>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</si>
  <si>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</si>
  <si>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</si>
  <si>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</si>
  <si>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</si>
  <si>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</si>
  <si>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</si>
  <si>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</si>
  <si>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</si>
  <si>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</si>
  <si>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</si>
  <si>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</si>
  <si>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</si>
  <si>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</si>
  <si>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</si>
  <si>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</si>
  <si>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</si>
  <si>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</si>
  <si>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</si>
  <si>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</si>
  <si>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</si>
  <si>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</si>
  <si>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</si>
  <si>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</si>
  <si>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</si>
  <si>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</si>
  <si>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</si>
  <si>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</si>
  <si>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</si>
  <si>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</si>
  <si>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</si>
  <si>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</si>
  <si>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</si>
  <si>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</si>
  <si>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</si>
  <si>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</si>
  <si>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</si>
  <si>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</si>
  <si>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</si>
  <si>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</si>
  <si>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</si>
  <si>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</si>
  <si>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</si>
  <si>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</si>
  <si>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</si>
  <si>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</si>
  <si>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</si>
  <si>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</si>
  <si>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</si>
  <si>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</si>
  <si>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</si>
  <si>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</si>
  <si>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</si>
  <si>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</si>
  <si>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</si>
  <si>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</si>
  <si>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</si>
  <si>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</si>
  <si>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</si>
  <si>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</si>
  <si>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</si>
  <si>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</si>
  <si>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</si>
  <si>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</si>
  <si>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</si>
  <si>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</si>
  <si>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</si>
  <si>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</si>
  <si>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</si>
  <si>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</si>
  <si>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</si>
  <si>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</si>
  <si>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</si>
  <si>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</si>
  <si>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</si>
  <si>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</si>
  <si>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</si>
  <si>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</si>
  <si>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</si>
  <si>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</si>
  <si>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</si>
  <si>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</si>
  <si>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</si>
  <si>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</si>
  <si>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</si>
  <si>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</si>
  <si>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</si>
  <si>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</si>
  <si>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</si>
  <si>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</si>
  <si>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</si>
  <si>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</si>
  <si>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</si>
  <si>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</si>
  <si>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</si>
  <si>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</si>
  <si>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</si>
  <si>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</si>
  <si>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</si>
  <si>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</si>
  <si>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</si>
  <si>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</si>
  <si>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</si>
  <si>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</si>
  <si>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</si>
  <si>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</si>
  <si>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</si>
  <si>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</si>
  <si>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</si>
  <si>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</si>
  <si>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</si>
  <si>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</si>
  <si>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</si>
  <si>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</si>
  <si>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</si>
  <si>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</si>
  <si>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</si>
  <si>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</si>
  <si>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</si>
  <si>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</si>
  <si>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</si>
  <si>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</si>
  <si>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</si>
  <si>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</si>
  <si>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</si>
  <si>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</si>
  <si>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</si>
  <si>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</si>
  <si>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</si>
  <si>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</si>
  <si>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</si>
  <si>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</si>
  <si>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</si>
  <si>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</si>
  <si>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</si>
  <si>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</si>
  <si>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</si>
  <si>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</si>
  <si>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</si>
  <si>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</si>
  <si>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</si>
  <si>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</si>
  <si>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</si>
  <si>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</si>
  <si>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</si>
  <si>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</si>
  <si>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</si>
  <si>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</si>
  <si>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</si>
  <si>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</si>
  <si>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</si>
  <si>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</si>
  <si>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</si>
  <si>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</si>
  <si>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</si>
  <si>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</si>
  <si>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</si>
  <si>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</si>
  <si>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</si>
  <si>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</si>
  <si>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</si>
  <si>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</si>
  <si>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</si>
  <si>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</si>
  <si>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</si>
  <si>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</si>
  <si>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</si>
  <si>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</si>
  <si>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成新度</t>
  </si>
  <si>
    <t>直线</t>
    <phoneticPr fontId="3" type="noConversion"/>
  </si>
  <si>
    <t>观察</t>
    <phoneticPr fontId="3" type="noConversion"/>
  </si>
  <si>
    <t>收益法</t>
  </si>
  <si>
    <t>地上</t>
    <phoneticPr fontId="3" type="noConversion"/>
  </si>
  <si>
    <t>地下</t>
    <phoneticPr fontId="3" type="noConversion"/>
  </si>
  <si>
    <t>押一</t>
  </si>
  <si>
    <t>钢混</t>
  </si>
  <si>
    <t>非生产用房</t>
  </si>
  <si>
    <t>否</t>
  </si>
  <si>
    <t>宗地容积率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</si>
  <si>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</si>
  <si>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</si>
  <si>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</si>
  <si>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</si>
  <si>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</si>
  <si>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</si>
  <si>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</si>
  <si>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</si>
  <si>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</si>
  <si>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</si>
  <si>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</si>
  <si>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</si>
  <si>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</si>
  <si>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成本法</t>
  </si>
  <si>
    <t>总价</t>
  </si>
  <si>
    <t>成本比率</t>
  </si>
  <si>
    <t>项目模式</t>
  </si>
  <si>
    <t>售价</t>
  </si>
  <si>
    <t>地下</t>
    <phoneticPr fontId="31" type="noConversion"/>
  </si>
  <si>
    <t>有</t>
    <phoneticPr fontId="31" type="noConversion"/>
  </si>
  <si>
    <t>无</t>
    <phoneticPr fontId="31" type="noConversion"/>
  </si>
  <si>
    <t>无</t>
    <phoneticPr fontId="31"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</si>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</sst>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2023年8月2日</v>
      </c>
    </row>
    <row r="13" spans="1:2" s="1203" customFormat="1">
      <c r="A13" s="1201" t="s">
        <v>529</v>
      </c>
      <c r="B13" s="1202" t="str">
        <f>'预评函-1'!A18</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54966</v>
      </c>
    </row>
    <row r="21" spans="1:2" s="1203" customFormat="1">
      <c r="A21" s="1201" t="s">
        <v>537</v>
      </c>
      <c r="B21" s="1202">
        <f ca="1">'预评函-2'!D7</f>
        <v>23973</v>
      </c>
    </row>
    <row r="22" spans="1:2" s="1203" customFormat="1">
      <c r="A22" s="1201" t="s">
        <v>538</v>
      </c>
      <c r="B22" s="1202" t="str">
        <f ca="1">'预评函-2'!D6</f>
        <v>伍亿肆仟玖佰陆拾陆万元整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54966</v>
      </c>
    </row>
    <row r="31" spans="1:2" s="1203" customFormat="1">
      <c r="A31" s="1201" t="s">
        <v>576</v>
      </c>
      <c r="B31" s="1202">
        <f ca="1">'预评函-2'!D15</f>
        <v>23973</v>
      </c>
    </row>
    <row r="32" spans="1:2" s="1203" customFormat="1">
      <c r="A32" s="1201" t="s">
        <v>543</v>
      </c>
      <c r="B32" s="1202" t="str">
        <f ca="1">'预评函-2'!D14</f>
        <v>伍亿肆仟玖佰陆拾陆万元整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29517</v>
      </c>
    </row>
    <row r="48" spans="1:2" s="1203" customFormat="1">
      <c r="A48" s="1201" t="s">
        <v>549</v>
      </c>
      <c r="B48" s="1202">
        <f ca="1">'预评函-3'!E4</f>
        <v>12874</v>
      </c>
    </row>
    <row r="49" spans="1:2" s="1203" customFormat="1">
      <c r="A49" s="1201" t="s">
        <v>550</v>
      </c>
      <c r="B49" s="1202" t="str">
        <f ca="1">'预评函-3'!D5</f>
        <v>贰亿玖仟伍佰壹拾柒万元整</v>
      </c>
    </row>
    <row r="50" spans="1:2" s="1203" customFormat="1">
      <c r="A50" s="1201" t="s">
        <v>574</v>
      </c>
      <c r="B50" s="1202" t="str">
        <f>'预评函-3'!F2</f>
        <v>在建建筑物价值</v>
      </c>
    </row>
    <row r="51" spans="1:2" s="1203" customFormat="1">
      <c r="A51" s="1201" t="s">
        <v>551</v>
      </c>
      <c r="B51" s="1202">
        <f ca="1">'预评函-3'!F4</f>
        <v>25449</v>
      </c>
    </row>
    <row r="52" spans="1:2" s="1203" customFormat="1">
      <c r="A52" s="1201" t="s">
        <v>552</v>
      </c>
      <c r="B52" s="1202">
        <f ca="1">'预评函-3'!G4</f>
        <v>11099</v>
      </c>
    </row>
    <row r="53" spans="1:2" s="1203" customFormat="1">
      <c r="A53" s="1201" t="s">
        <v>580</v>
      </c>
      <c r="B53" s="1202" t="str">
        <f ca="1">'预评函-3'!F5</f>
        <v>贰亿伍仟肆佰肆拾玖万元整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45140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8"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499"/>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22928.349999999995</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39" t="s">
        <v>1111</v>
      </c>
      <c r="C6" s="3539"/>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31"/>
      <c r="B7" s="3532"/>
      <c r="C7" s="3533"/>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3500</v>
      </c>
      <c r="M6" s="67">
        <f t="shared" ref="M6:M14" si="0">ROUND(K6*L6/10000,0)</f>
        <v>8025</v>
      </c>
      <c r="N6" s="731">
        <f>N20</f>
        <v>0.74</v>
      </c>
      <c r="O6" s="67" t="str">
        <f>IF($N$5="成新度","——",ROUND(M6*N6,0))</f>
        <v>——</v>
      </c>
      <c r="P6" s="68" t="str">
        <f>IF($N$5="成新度","——",M6-O6)</f>
        <v>——</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5.5</v>
      </c>
      <c r="V6" s="70">
        <v>2.5000000000000001E-2</v>
      </c>
      <c r="W6" s="70">
        <v>0.1</v>
      </c>
      <c r="X6" s="1040"/>
      <c r="Y6" s="71">
        <f>N6</f>
        <v>0.74</v>
      </c>
      <c r="Z6" s="72"/>
      <c r="AA6" s="66"/>
      <c r="AB6" s="66"/>
      <c r="AC6" s="1040"/>
      <c r="AD6" s="73"/>
      <c r="AE6" s="1041">
        <f ca="1">IF(AN6="",0,SUMIF(INDIRECT("'"&amp;AN6&amp;"'"&amp;"!E:E"),$AE$5,INDIRECT("'"&amp;AN6&amp;"'"&amp;"!F:F")))</f>
        <v>23.79</v>
      </c>
      <c r="AF6" s="1348"/>
      <c r="AG6" s="138">
        <f>IF(AF6="",0,AE6-AF6)</f>
        <v>0</v>
      </c>
      <c r="AH6" s="74">
        <f>T19</f>
        <v>18681.78</v>
      </c>
      <c r="AI6" s="76">
        <v>365</v>
      </c>
      <c r="AJ6" s="77"/>
      <c r="AK6" s="78">
        <v>5.0000000000000001E-3</v>
      </c>
      <c r="AL6" s="79">
        <v>1E-3</v>
      </c>
      <c r="AM6" s="80">
        <v>0.01</v>
      </c>
      <c r="AN6" s="1715" t="s">
        <v>3396</v>
      </c>
      <c r="AO6" s="52">
        <f ca="1">SUMIF(INDIRECT("'"&amp;AN6&amp;"'"&amp;"!A:A"),"总价",INDIRECT("'"&amp;AN6&amp;"'"&amp;"!B:B"))</f>
        <v>45719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3500</v>
      </c>
      <c r="M16" s="93">
        <f>SUM(M6:M14)</f>
        <v>8025</v>
      </c>
      <c r="N16" s="94">
        <f>ROUND(SUMPRODUCT(M6:M14,N6:N14)/M16,3)</f>
        <v>0.74</v>
      </c>
      <c r="O16" s="93">
        <f>SUM(O6:O14)</f>
        <v>0</v>
      </c>
      <c r="P16" s="93">
        <f>SUM(P6:P14)</f>
        <v>0</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3394</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3395</v>
      </c>
      <c r="N19" s="2671">
        <v>0.8</v>
      </c>
      <c r="O19" s="2671"/>
      <c r="P19" s="2671"/>
      <c r="Q19" s="2671"/>
      <c r="R19" s="2671"/>
      <c r="S19" s="3452" t="s">
        <v>3397</v>
      </c>
      <c r="T19" s="2671">
        <f>'数据-基础表'!I13</f>
        <v>18681.78</v>
      </c>
      <c r="U19" s="2671">
        <v>5.8</v>
      </c>
      <c r="V19" s="2671">
        <f>U19*T19</f>
        <v>108354.32399999999</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2" t="s">
        <v>3398</v>
      </c>
      <c r="T20" s="2671">
        <f>'数据-汇总表'!G19</f>
        <v>4025.44</v>
      </c>
      <c r="U20" s="2671">
        <v>1</v>
      </c>
      <c r="V20" s="2671">
        <f>U20*T20</f>
        <v>4025.44</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f>T19+T20</f>
        <v>22707.219999999998</v>
      </c>
      <c r="U21" s="2671">
        <f>V21/T21</f>
        <v>4.949076284987771</v>
      </c>
      <c r="V21" s="2671">
        <f>V19+V20</f>
        <v>112379.764</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V21/T19</f>
        <v>6.0154741143509884</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54966</v>
      </c>
      <c r="C5" s="2512">
        <f ca="1">IF(B5=D14,结果表!H102,ROUND(B5*10000/$B$1,0))</f>
        <v>23973</v>
      </c>
      <c r="D5" s="2512">
        <f ca="1">ROUND(B5*10000/$B$2,0)</f>
        <v>67704</v>
      </c>
      <c r="E5" s="2686"/>
      <c r="F5" s="2687"/>
      <c r="G5" s="2687"/>
      <c r="H5" s="2688"/>
      <c r="I5" s="2688"/>
      <c r="J5" s="2688"/>
      <c r="K5" s="2688"/>
    </row>
    <row r="6" spans="1:11" ht="16.5">
      <c r="A6" s="2512" t="s">
        <v>656</v>
      </c>
      <c r="B6" s="2512">
        <f>SUM(G14:G23)</f>
        <v>0</v>
      </c>
      <c r="C6" s="2512">
        <f ca="1">IF(B6=G14,结果表!H108,ROUND(B6*10000/$B$1,0))</f>
        <v>23973</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54966</v>
      </c>
      <c r="E14" s="2518">
        <f ca="1">ROUND(D14*10000/B14,0)</f>
        <v>23973</v>
      </c>
      <c r="F14" s="2518">
        <f ca="1">ROUND(D14*10000/C14,0)</f>
        <v>67704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K25" sqref="K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3426</v>
      </c>
      <c r="D4" s="1756" t="s">
        <v>3396</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55</v>
      </c>
      <c r="D14" s="3603">
        <v>45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34" t="s">
        <v>2131</v>
      </c>
      <c r="F18" s="3635"/>
      <c r="G18" s="3635"/>
      <c r="H18" s="3635"/>
      <c r="I18" s="3635"/>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62532</v>
      </c>
      <c r="D19" s="135">
        <f ca="1">SUMIF(INDIRECT("'"&amp;D4&amp;"'"&amp;"!A:A"),结果表!B19,INDIRECT("'"&amp;D4&amp;"'"&amp;"!B:B"))</f>
        <v>45719</v>
      </c>
      <c r="E19" s="1761" t="s">
        <v>1292</v>
      </c>
      <c r="F19" s="1762" t="s">
        <v>1291</v>
      </c>
      <c r="G19" s="136">
        <f ca="1">ROUND(C19*$C$18+D19*$D$18,0)</f>
        <v>54966</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27273</v>
      </c>
      <c r="D20" s="138">
        <f ca="1">SUMIF(INDIRECT("'"&amp;D4&amp;"'"&amp;"!A:A"),结果表!B20,INDIRECT("'"&amp;D4&amp;"'"&amp;"!B:B"))</f>
        <v>19940</v>
      </c>
      <c r="E20" s="1764"/>
      <c r="F20" s="1026" t="s">
        <v>1295</v>
      </c>
      <c r="G20" s="139">
        <f ca="1">ROUND(C20*$C$18+D20*$D$18,0)</f>
        <v>23973</v>
      </c>
      <c r="H20" s="808" t="s">
        <v>1296</v>
      </c>
      <c r="I20" s="129"/>
    </row>
    <row r="21" spans="1:36" ht="15" customHeight="1" thickBot="1">
      <c r="A21" s="828"/>
      <c r="B21" s="1765" t="s">
        <v>1297</v>
      </c>
      <c r="C21" s="719">
        <f ca="1">ROUND(C19*10000/L19,0)</f>
        <v>77024</v>
      </c>
      <c r="D21" s="720">
        <f ca="1">ROUND(D19*10000/L19,0)</f>
        <v>56314</v>
      </c>
      <c r="E21" s="828"/>
      <c r="F21" s="1765" t="s">
        <v>1297</v>
      </c>
      <c r="G21" s="140">
        <f ca="1">ROUND(G19*10000/L19,0)</f>
        <v>67704</v>
      </c>
      <c r="H21" s="1766" t="s">
        <v>1296</v>
      </c>
      <c r="I21" s="129"/>
    </row>
    <row r="22" spans="1:36" ht="15" thickBot="1">
      <c r="A22" s="1688" t="s">
        <v>1298</v>
      </c>
      <c r="B22" s="1767"/>
      <c r="C22" s="1768"/>
      <c r="D22" s="721">
        <f ca="1">IF(C19&lt;D19,D19/C19-1,C19/D19-1)</f>
        <v>0.36774645114722548</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G19/'数据-汇总表'!F19</f>
        <v>2.907806258401485</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54966</v>
      </c>
      <c r="D32" s="1775" t="s">
        <v>3418</v>
      </c>
      <c r="E32" s="129"/>
      <c r="F32" s="129"/>
      <c r="G32" s="129"/>
      <c r="H32" s="129"/>
      <c r="I32" s="129"/>
    </row>
    <row r="33" spans="1:15" ht="15">
      <c r="A33" s="786" t="s">
        <v>1306</v>
      </c>
      <c r="B33" s="1776"/>
      <c r="C33" s="1777" t="s">
        <v>3419</v>
      </c>
      <c r="D33" s="1778" t="s">
        <v>3417</v>
      </c>
      <c r="E33" s="1779" t="s">
        <v>1307</v>
      </c>
      <c r="F33" s="1780" t="str">
        <f>IF(D32="楼面单价","取值（单价）","取值（总价）")</f>
        <v>取值（总价）</v>
      </c>
      <c r="G33" s="129"/>
      <c r="H33" s="129"/>
      <c r="I33" s="129"/>
    </row>
    <row r="34" spans="1:15" ht="15">
      <c r="A34" s="1781"/>
      <c r="B34" s="1782" t="s">
        <v>1308</v>
      </c>
      <c r="C34" s="148">
        <f ca="1">IF(C33="自定义",F34,C32-C35)</f>
        <v>29517</v>
      </c>
      <c r="D34" s="861">
        <f ca="1">IF(C33="自定义",ROUND(C34/C32,3),IF(C33="收益比率",SUMIF(INDIRECT("'"&amp;D33&amp;"'"&amp;"!b:b"),"土地收益比率",INDIRECT("'"&amp;D33&amp;"'"&amp;"!c:c")),SUMIF(INDIRECT("'"&amp;D33&amp;"'"&amp;"!b:b"),"土地成本比率",INDIRECT("'"&amp;D33&amp;"'"&amp;"!c:c"))))</f>
        <v>0.53699999999999992</v>
      </c>
      <c r="E34" s="1783" t="s">
        <v>1309</v>
      </c>
      <c r="F34" s="1330"/>
      <c r="G34" s="129"/>
      <c r="H34" s="129"/>
      <c r="I34" s="129"/>
    </row>
    <row r="35" spans="1:15" ht="15.75" thickBot="1">
      <c r="A35" s="1784"/>
      <c r="B35" s="1785" t="s">
        <v>1310</v>
      </c>
      <c r="C35" s="1170">
        <f ca="1">IF(C33="自定义",F35,ROUND(C32*D35,0))</f>
        <v>25449</v>
      </c>
      <c r="D35" s="1171">
        <f ca="1">IF(C33="自定义",ROUND(C35/C32,3),IF(C33="收益比率",SUMIF(INDIRECT("'"&amp;D33&amp;"'"&amp;"!b:b"),"建筑物收益比率",INDIRECT("'"&amp;D33&amp;"'"&amp;"!c:c")),SUMIF(INDIRECT("'"&amp;D33&amp;"'"&amp;"!b:b"),"建筑物成本比率",INDIRECT("'"&amp;D33&amp;"'"&amp;"!c:c"))))</f>
        <v>0.46300000000000002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54966</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45140</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5" t="s">
        <v>1340</v>
      </c>
      <c r="L48" s="3545"/>
      <c r="M48" s="3548">
        <f ca="1">H101</f>
        <v>54966</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54966</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2932</v>
      </c>
      <c r="E52" s="2334" t="s">
        <v>1354</v>
      </c>
      <c r="F52" s="2554">
        <f>'数据-取费表'!B41</f>
        <v>5.6000000000000001E-2</v>
      </c>
      <c r="G52" s="2555"/>
      <c r="H52" s="2544"/>
      <c r="I52" s="1807"/>
      <c r="J52" s="2523">
        <v>1</v>
      </c>
      <c r="K52" s="3570" t="s">
        <v>1355</v>
      </c>
      <c r="L52" s="3570"/>
      <c r="M52" s="2525" t="b">
        <f>D48</f>
        <v>0</v>
      </c>
      <c r="N52" s="2523" t="str">
        <f>E48</f>
        <v>销售额×税（费）率</v>
      </c>
      <c r="O52" s="2526">
        <f>F48</f>
        <v>5.6000000000000001E-2</v>
      </c>
    </row>
    <row r="53" spans="1:35" ht="12" customHeight="1">
      <c r="A53" s="2335" t="s">
        <v>1356</v>
      </c>
      <c r="B53" s="3594" t="s">
        <v>2291</v>
      </c>
      <c r="C53" s="3595"/>
      <c r="D53" s="1087">
        <f ca="1">ROUND(D45*'数据-取费表'!B41/(1+'数据-取费表'!C42),0)</f>
        <v>2932</v>
      </c>
      <c r="E53" s="2334" t="s">
        <v>1354</v>
      </c>
      <c r="F53" s="2554">
        <f>'数据-取费表'!B41</f>
        <v>5.6000000000000001E-2</v>
      </c>
      <c r="G53" s="2555"/>
      <c r="H53" s="2544"/>
      <c r="I53" s="1807"/>
      <c r="J53" s="2523">
        <v>2</v>
      </c>
      <c r="K53" s="3570" t="s">
        <v>1357</v>
      </c>
      <c r="L53" s="3570"/>
      <c r="M53" s="2525">
        <f t="shared" ref="M53:O54" ca="1" si="0">D55</f>
        <v>27</v>
      </c>
      <c r="N53" s="2523" t="str">
        <f t="shared" si="0"/>
        <v>销售额×税（费）率</v>
      </c>
      <c r="O53" s="2526" t="str">
        <f t="shared" si="0"/>
        <v>免征</v>
      </c>
    </row>
    <row r="54" spans="1:35" ht="12" customHeight="1">
      <c r="A54" s="2335" t="s">
        <v>1358</v>
      </c>
      <c r="B54" s="3594" t="s">
        <v>2292</v>
      </c>
      <c r="C54" s="3595"/>
      <c r="D54" s="1087">
        <f ca="1">C68</f>
        <v>2932</v>
      </c>
      <c r="E54" s="327" t="s">
        <v>1359</v>
      </c>
      <c r="F54" s="2554">
        <f>'数据-取费表'!B41</f>
        <v>5.6000000000000001E-2</v>
      </c>
      <c r="G54" s="2555"/>
      <c r="H54" s="2556"/>
      <c r="I54" s="1807"/>
      <c r="J54" s="2523">
        <v>3</v>
      </c>
      <c r="K54" s="3570" t="s">
        <v>1360</v>
      </c>
      <c r="L54" s="3570"/>
      <c r="M54" s="2525">
        <f t="shared" ca="1" si="0"/>
        <v>31111</v>
      </c>
      <c r="N54" s="2523" t="str">
        <f t="shared" si="0"/>
        <v>增值额×税（费）率</v>
      </c>
      <c r="O54" s="2527" t="str">
        <f t="shared" si="0"/>
        <v>免征</v>
      </c>
    </row>
    <row r="55" spans="1:35" ht="24" customHeight="1">
      <c r="A55" s="3630" t="s">
        <v>1361</v>
      </c>
      <c r="B55" s="3608"/>
      <c r="C55" s="3608"/>
      <c r="D55" s="2324">
        <f ca="1">IF(H55="个人住宅",0,ROUND(D45*I55,0))</f>
        <v>27</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523</v>
      </c>
      <c r="N55" s="2040" t="str">
        <f>E59</f>
        <v>差额计税</v>
      </c>
      <c r="O55" s="2529">
        <f>F59</f>
        <v>0.01</v>
      </c>
    </row>
    <row r="56" spans="1:35" ht="24.75">
      <c r="A56" s="3630" t="s">
        <v>1363</v>
      </c>
      <c r="B56" s="3608"/>
      <c r="C56" s="3608"/>
      <c r="D56" s="2324">
        <f ca="1">IF(H56="个人住宅",D57,D58)</f>
        <v>31111</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31661</v>
      </c>
      <c r="O57" s="2533"/>
      <c r="P57" s="2690">
        <f ca="1">N57/M49</f>
        <v>0.57601062474984532</v>
      </c>
    </row>
    <row r="58" spans="1:35" ht="24.75">
      <c r="A58" s="2335" t="s">
        <v>1352</v>
      </c>
      <c r="B58" s="3594" t="s">
        <v>1369</v>
      </c>
      <c r="C58" s="3593"/>
      <c r="D58" s="2324">
        <f ca="1">IF(H58="转让取得",C81,C97)</f>
        <v>31111</v>
      </c>
      <c r="E58" s="2334" t="s">
        <v>1364</v>
      </c>
      <c r="F58" s="302" t="s">
        <v>28</v>
      </c>
      <c r="G58" s="2555"/>
      <c r="H58" s="2558"/>
      <c r="I58" s="1808"/>
      <c r="J58" s="3570"/>
      <c r="K58" s="3570"/>
      <c r="L58" s="2530" t="s">
        <v>1370</v>
      </c>
      <c r="M58" s="2534"/>
      <c r="N58" s="2535" t="str">
        <f ca="1">NUMBERSTRING(INT(N57*10000),2)&amp;"元整"</f>
        <v>叁亿壹仟陆佰陆拾壹万元整</v>
      </c>
      <c r="O58" s="2536"/>
    </row>
    <row r="59" spans="1:35" ht="24.75" thickBot="1">
      <c r="A59" s="3574" t="s">
        <v>1371</v>
      </c>
      <c r="B59" s="3575"/>
      <c r="C59" s="3575"/>
      <c r="D59" s="2560">
        <f ca="1">IF(H59="非个人房产","——",IF(H59="个人住宅（满五唯一有凭证）",0,IF(H59="个人其他（无凭证）",ROUND(D45*F59,0),ROUND(C67*F59,0))))</f>
        <v>523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f ca="1">M49-N57</f>
        <v>23305</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贰亿叁仟叁佰零伍万元整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10164</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52349</v>
      </c>
      <c r="D63" s="167"/>
      <c r="E63" s="168"/>
      <c r="F63" s="1808"/>
      <c r="G63" s="1808"/>
      <c r="H63" s="1810"/>
      <c r="I63" s="129"/>
      <c r="J63" s="3553" t="s">
        <v>1379</v>
      </c>
      <c r="K63" s="1332" t="s">
        <v>1380</v>
      </c>
      <c r="L63" s="1332">
        <f ca="1">IF(M49&gt;10000,M49*0.5%,IF(AND(M49&gt;1000,M49&lt;=10000),M49*1%,IF(AND(M49&gt;100,M49&lt;=1000),M49*3%,IF(AND(M49&gt;10,M49&lt;=100),M49*5%,M49*8%))))</f>
        <v>274.83</v>
      </c>
      <c r="M63" s="302">
        <f ca="1">ROUND(L63,1)</f>
        <v>274.8</v>
      </c>
      <c r="N63" s="2543"/>
      <c r="Z63" s="1752"/>
      <c r="AI63" s="1753"/>
    </row>
    <row r="64" spans="1:35" ht="14.25" customHeight="1">
      <c r="A64" s="169" t="s">
        <v>325</v>
      </c>
      <c r="B64" s="170" t="s">
        <v>1381</v>
      </c>
      <c r="C64" s="2565">
        <f ca="1">D45</f>
        <v>54966</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274.83</v>
      </c>
      <c r="M64" s="302">
        <f t="shared" ref="M64:M65" ca="1" si="1">ROUND(L64,1)</f>
        <v>274.8</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54.966000000000001</v>
      </c>
      <c r="M65" s="302">
        <f t="shared" ca="1" si="1"/>
        <v>55</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274.83</v>
      </c>
      <c r="M66" s="302">
        <f ca="1">IF(L66&gt;0.5,0.5,ROUND(L66,0))</f>
        <v>0.5</v>
      </c>
      <c r="N66" s="2544" t="s">
        <v>1388</v>
      </c>
      <c r="Z66" s="1752"/>
      <c r="AI66" s="1753"/>
    </row>
    <row r="67" spans="1:35" ht="14.25" customHeight="1">
      <c r="A67" s="173" t="s">
        <v>328</v>
      </c>
      <c r="B67" s="174" t="s">
        <v>1389</v>
      </c>
      <c r="C67" s="2568">
        <f ca="1">C63-C66</f>
        <v>52349</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12.746600000000001</v>
      </c>
      <c r="M67" s="302">
        <f ca="1">ROUND(L67*0.9,1)</f>
        <v>11.5</v>
      </c>
      <c r="N67" s="2543"/>
      <c r="Z67" s="1752"/>
      <c r="AI67" s="1753"/>
    </row>
    <row r="68" spans="1:35" ht="14.25" customHeight="1" thickBot="1">
      <c r="A68" s="176" t="s">
        <v>329</v>
      </c>
      <c r="B68" s="177" t="s">
        <v>1391</v>
      </c>
      <c r="C68" s="2569">
        <f ca="1">IF(C67&lt;=0,0,ROUND(C67*D68,0))</f>
        <v>2932</v>
      </c>
      <c r="D68" s="2570">
        <f>'数据-取费表'!B41</f>
        <v>5.6000000000000001E-2</v>
      </c>
      <c r="E68" s="178"/>
      <c r="F68" s="1808"/>
      <c r="G68" s="1808"/>
      <c r="H68" s="1810"/>
      <c r="I68" s="129"/>
      <c r="J68" s="3553"/>
      <c r="K68" s="1332" t="s">
        <v>1392</v>
      </c>
      <c r="L68" s="1332">
        <f ca="1">IF(M49&gt;10000,M49*0.5%,IF(AND(M49&gt;5000,M49&lt;=10000),M49*1%,IF(AND(M49&gt;1000,M49&lt;=5000),M49*2%,IF(AND(M49&gt;200,M49&lt;=1000),M49*3%,M49*5%))))</f>
        <v>274.83</v>
      </c>
      <c r="M68" s="302">
        <f ca="1">ROUND(L68,1)</f>
        <v>274.8</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891</v>
      </c>
      <c r="N69" s="2545">
        <f ca="1">M69/M49</f>
        <v>1.6210020740093877E-2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52349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314</v>
      </c>
      <c r="D78" s="2577">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52035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165.71656050955414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31111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52349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314</v>
      </c>
      <c r="D93" s="2577">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52035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165.71656050955414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31111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比较法-工业</v>
      </c>
      <c r="D101" s="2586" t="str">
        <f>D4</f>
        <v>收益法</v>
      </c>
      <c r="E101" s="3549" t="s">
        <v>1431</v>
      </c>
      <c r="F101" s="3550"/>
      <c r="G101" s="1827" t="s">
        <v>1432</v>
      </c>
      <c r="H101" s="2595">
        <f ca="1">H118</f>
        <v>54966</v>
      </c>
      <c r="I101" s="129"/>
    </row>
    <row r="102" spans="1:35" ht="18.75" customHeight="1">
      <c r="A102" s="3581" t="s">
        <v>1433</v>
      </c>
      <c r="B102" s="2584" t="s">
        <v>1432</v>
      </c>
      <c r="C102" s="2585">
        <f ca="1">IF(D32="楼面单价",ROUND(C19,0),C19)</f>
        <v>62532</v>
      </c>
      <c r="D102" s="2586">
        <f ca="1">IF(D32="楼面单价",ROUND(D19,0),D19)</f>
        <v>45719</v>
      </c>
      <c r="E102" s="3549"/>
      <c r="F102" s="3550"/>
      <c r="G102" s="1827" t="s">
        <v>1434</v>
      </c>
      <c r="H102" s="2555">
        <f ca="1">I118</f>
        <v>23973</v>
      </c>
      <c r="I102" s="129"/>
    </row>
    <row r="103" spans="1:35" ht="42.75" customHeight="1">
      <c r="A103" s="3581"/>
      <c r="B103" s="2584" t="s">
        <v>1434</v>
      </c>
      <c r="C103" s="2587">
        <f ca="1">C20</f>
        <v>27273</v>
      </c>
      <c r="D103" s="2588">
        <f ca="1">D20</f>
        <v>19940</v>
      </c>
      <c r="E103" s="3542" t="s">
        <v>1435</v>
      </c>
      <c r="F103" s="3543"/>
      <c r="G103" s="1828" t="s">
        <v>1436</v>
      </c>
      <c r="H103" s="2595">
        <f>IF(D36="正常操作",H104+H105+H106,H105+H106)</f>
        <v>0</v>
      </c>
      <c r="I103" s="129"/>
    </row>
    <row r="104" spans="1:35" ht="18.75" customHeight="1">
      <c r="A104" s="3581" t="s">
        <v>1437</v>
      </c>
      <c r="B104" s="2589" t="s">
        <v>1432</v>
      </c>
      <c r="C104" s="2590">
        <f ca="1">H118</f>
        <v>54966</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23973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54966</v>
      </c>
      <c r="I107" s="129"/>
    </row>
    <row r="108" spans="1:35" ht="18.75" customHeight="1">
      <c r="A108" s="129"/>
      <c r="B108" s="129"/>
      <c r="C108" s="129"/>
      <c r="D108" s="129"/>
      <c r="E108" s="3582"/>
      <c r="F108" s="3550"/>
      <c r="G108" s="1827" t="s">
        <v>1434</v>
      </c>
      <c r="H108" s="2555">
        <f ca="1">IF(H107=H101,H102,ROUND(H107*10000/'数据-汇总表'!E3,0))</f>
        <v>23973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29517</v>
      </c>
      <c r="E118" s="2329">
        <f ca="1">ROUND(IF(C33="自定义",IF(D32="楼面单价",C34,D118*10000/B118),I118-G118),0)</f>
        <v>12874</v>
      </c>
      <c r="F118" s="2329">
        <f ca="1">ROUND(IF(D32="总价",C35,G118*B118/10000),0)</f>
        <v>25449</v>
      </c>
      <c r="G118" s="2329">
        <f ca="1">ROUND(IF(D32="楼面单价",C35,F118*10000/B118),0)</f>
        <v>11099</v>
      </c>
      <c r="H118" s="2329">
        <f ca="1">ROUND(IF(D32="总价",C32,I118*B118/10000),0)</f>
        <v>54966</v>
      </c>
      <c r="I118" s="2329">
        <f ca="1">ROUND(IF(D32="楼面单价",C32,H118*10000/B118),0)</f>
        <v>23973</v>
      </c>
    </row>
    <row r="119" spans="1:27" ht="18.75" customHeight="1">
      <c r="A119" s="3557" t="s">
        <v>1452</v>
      </c>
      <c r="B119" s="3557"/>
      <c r="C119" s="3557"/>
      <c r="D119" s="3563" t="str">
        <f ca="1">NUMBERSTRING(INT(D118*10000),2)&amp;"元整"</f>
        <v>贰亿玖仟伍佰壹拾柒万元整</v>
      </c>
      <c r="E119" s="3564"/>
      <c r="F119" s="3563" t="str">
        <f ca="1">NUMBERSTRING(INT(F118*10000),2)&amp;"元整"</f>
        <v>贰亿伍仟肆佰肆拾玖万元整</v>
      </c>
      <c r="G119" s="3564"/>
      <c r="H119" s="3563" t="str">
        <f ca="1">NUMBERSTRING(INT(H118*10000),2)&amp;"元整"</f>
        <v>伍亿肆仟玖佰陆拾陆万元整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54966</v>
      </c>
      <c r="E122" s="3559"/>
      <c r="F122" s="3559"/>
      <c r="G122" s="3559"/>
      <c r="H122" s="3559"/>
      <c r="I122" s="3560"/>
      <c r="AA122" s="725"/>
    </row>
    <row r="123" spans="1:27" ht="18.75" customHeight="1">
      <c r="A123" s="3557" t="s">
        <v>1452</v>
      </c>
      <c r="B123" s="3557"/>
      <c r="C123" s="3557"/>
      <c r="D123" s="3563" t="str">
        <f ca="1">NUMBERSTRING(INT(D122*10000),2)&amp;"元整"</f>
        <v>伍亿肆仟玖佰陆拾陆万元整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5" sqref="I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7364</v>
      </c>
      <c r="D5" s="211" t="s">
        <v>1469</v>
      </c>
      <c r="E5" s="212" t="s">
        <v>1470</v>
      </c>
      <c r="F5" s="212" t="s">
        <v>1471</v>
      </c>
      <c r="G5" s="213"/>
    </row>
    <row r="6" spans="1:9" s="214" customFormat="1" ht="13.5" customHeight="1">
      <c r="A6" s="778" t="s">
        <v>1472</v>
      </c>
      <c r="B6" s="215" t="s">
        <v>1473</v>
      </c>
      <c r="C6" s="216">
        <f>基准地价修正!B2</f>
        <v>6701</v>
      </c>
      <c r="D6" s="217"/>
      <c r="E6" s="218"/>
      <c r="F6" s="218"/>
      <c r="G6" s="219"/>
    </row>
    <row r="7" spans="1:9" s="214" customFormat="1" ht="13.5" customHeight="1">
      <c r="A7" s="778" t="s">
        <v>1474</v>
      </c>
      <c r="B7" s="215" t="s">
        <v>1475</v>
      </c>
      <c r="C7" s="220">
        <f>ROUND(C6*F7,0)</f>
        <v>204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3416</v>
      </c>
    </row>
    <row r="20" spans="1:7" s="214" customFormat="1" ht="13.5" customHeight="1">
      <c r="A20" s="255" t="s">
        <v>1493</v>
      </c>
      <c r="B20" s="210" t="s">
        <v>1494</v>
      </c>
      <c r="C20" s="232">
        <f ca="1">ROUND((C5+C19)*F20,0)</f>
        <v>147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537</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532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1127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1127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9940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8025</v>
      </c>
      <c r="D34" s="217"/>
      <c r="E34" s="220"/>
      <c r="F34" s="257">
        <f ca="1">IF('数据-取费表'!B24=0,1,IF(B1="",'数据-取费表'!N16,INDIRECT("'数据-取费表'!n"&amp;$G$1)))</f>
        <v>1</v>
      </c>
      <c r="G34" s="219" t="s">
        <v>1526</v>
      </c>
    </row>
    <row r="35" spans="1:7" ht="13.5" customHeight="1">
      <c r="A35" s="780" t="s">
        <v>351</v>
      </c>
      <c r="B35" s="215" t="s">
        <v>1527</v>
      </c>
      <c r="C35" s="220">
        <f ca="1">ROUND(C34*F35,0)</f>
        <v>241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459</v>
      </c>
      <c r="D37" s="217">
        <f ca="1">D19</f>
        <v>22928.349999999995</v>
      </c>
      <c r="E37" s="249">
        <f>'数据-取费表'!B35</f>
        <v>200</v>
      </c>
      <c r="F37" s="259"/>
      <c r="G37" s="261" t="s">
        <v>1532</v>
      </c>
    </row>
    <row r="38" spans="1:7" ht="13.5" customHeight="1">
      <c r="A38" s="780" t="s">
        <v>354</v>
      </c>
      <c r="B38" s="215" t="s">
        <v>1533</v>
      </c>
      <c r="C38" s="220">
        <f ca="1">ROUND(C34*F38,0)</f>
        <v>120</v>
      </c>
      <c r="D38" s="220"/>
      <c r="E38" s="220"/>
      <c r="F38" s="259">
        <f>'数据-取费表'!B36</f>
        <v>1.4999999999999999E-2</v>
      </c>
      <c r="G38" s="219" t="s">
        <v>1528</v>
      </c>
    </row>
    <row r="39" spans="1:7" s="214" customFormat="1" ht="13.5" customHeight="1">
      <c r="A39" s="255" t="s">
        <v>1534</v>
      </c>
      <c r="B39" s="210" t="s">
        <v>1535</v>
      </c>
      <c r="C39" s="232">
        <f ca="1">ROUND(C33*F20,0)</f>
        <v>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314</v>
      </c>
      <c r="D42" s="238"/>
      <c r="E42" s="238"/>
      <c r="F42" s="239"/>
      <c r="G42" s="3636" t="s">
        <v>1544</v>
      </c>
    </row>
    <row r="43" spans="1:7" ht="13.5" customHeight="1">
      <c r="A43" s="780" t="s">
        <v>347</v>
      </c>
      <c r="B43" s="215" t="s">
        <v>1545</v>
      </c>
      <c r="C43" s="238">
        <f ca="1">ROUND(IF('数据-取费表'!B22&lt;=1,C39*F22*'数据-取费表'!B21/2,C39*(POWER((1+F22),'数据-取费表'!B21/2)-1)),0)</f>
        <v>6</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1353</v>
      </c>
      <c r="D45" s="235">
        <f ca="1">C47</f>
        <v>3.0000000000000001E-3</v>
      </c>
      <c r="E45" s="236" t="s">
        <v>1539</v>
      </c>
      <c r="F45" s="246">
        <f ca="1">F27</f>
        <v>0.15</v>
      </c>
      <c r="G45" s="247" t="s">
        <v>1548</v>
      </c>
    </row>
    <row r="46" spans="1:7" s="214" customFormat="1" ht="13.5" customHeight="1">
      <c r="A46" s="780" t="s">
        <v>346</v>
      </c>
      <c r="B46" s="248" t="s">
        <v>1549</v>
      </c>
      <c r="C46" s="249">
        <f ca="1">ROUND((C33+C39)*F27,0)</f>
        <v>1353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11587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8574</v>
      </c>
      <c r="D51" s="232"/>
      <c r="E51" s="232"/>
      <c r="F51" s="264"/>
      <c r="G51" s="234" t="s">
        <v>1560</v>
      </c>
    </row>
    <row r="52" spans="1:7" s="208" customFormat="1" ht="16.5" thickBot="1">
      <c r="A52" s="265" t="s">
        <v>1561</v>
      </c>
      <c r="B52" s="266"/>
      <c r="C52" s="267">
        <f ca="1">C31+C51</f>
        <v>18514</v>
      </c>
      <c r="D52" s="266"/>
      <c r="E52" s="266"/>
      <c r="F52" s="266"/>
      <c r="G52" s="268"/>
    </row>
    <row r="55" spans="1:7" ht="15">
      <c r="B55" s="270" t="s">
        <v>1562</v>
      </c>
      <c r="C55" s="271"/>
    </row>
    <row r="56" spans="1:7">
      <c r="B56" s="273" t="s">
        <v>802</v>
      </c>
      <c r="C56" s="275">
        <f ca="1">1-C57</f>
        <v>0.53699999999999992</v>
      </c>
    </row>
    <row r="57" spans="1:7">
      <c r="B57" s="273" t="s">
        <v>803</v>
      </c>
      <c r="C57" s="274">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9812.5849999999991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88446110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80249225</v>
      </c>
      <c r="D34" s="217"/>
      <c r="E34" s="220"/>
      <c r="F34" s="257"/>
      <c r="G34" s="219"/>
    </row>
    <row r="35" spans="1:7" ht="13.5" customHeight="1">
      <c r="A35" s="780" t="s">
        <v>351</v>
      </c>
      <c r="B35" s="215" t="s">
        <v>1527</v>
      </c>
      <c r="C35" s="220">
        <f ca="1">ROUND(C34*F35,0)</f>
        <v>2407477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1203738</v>
      </c>
      <c r="D38" s="220"/>
      <c r="E38" s="220"/>
      <c r="F38" s="259">
        <f>'数据-取费表'!B36</f>
        <v>1.4999999999999999E-2</v>
      </c>
      <c r="G38" s="219" t="s">
        <v>1528</v>
      </c>
    </row>
    <row r="39" spans="1:7" s="214" customFormat="1" ht="13.5" customHeight="1">
      <c r="A39" s="255" t="s">
        <v>1534</v>
      </c>
      <c r="B39" s="210" t="s">
        <v>1535</v>
      </c>
      <c r="C39" s="232">
        <f ca="1">ROUND(C33*F20,0)</f>
        <v>1768922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3202634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3139837</v>
      </c>
      <c r="D42" s="238"/>
      <c r="E42" s="238"/>
      <c r="F42" s="239"/>
      <c r="G42" s="3636" t="s">
        <v>1591</v>
      </c>
    </row>
    <row r="43" spans="1:7" ht="13.5" customHeight="1">
      <c r="A43" s="780" t="s">
        <v>347</v>
      </c>
      <c r="B43" s="215" t="s">
        <v>1545</v>
      </c>
      <c r="C43" s="238">
        <f ca="1">ROUND(IF('数据-取费表'!B22&lt;=1,C39*F22*'数据-取费表'!B20/2,C39*(POWER((1+F22),'数据-取费表'!B20/2)-1)),0)</f>
        <v>62797</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13532255</v>
      </c>
      <c r="D45" s="235">
        <f ca="1">C47</f>
        <v>3.0000000000000001E-3</v>
      </c>
      <c r="E45" s="236" t="s">
        <v>1539</v>
      </c>
      <c r="F45" s="246">
        <f ca="1">F27</f>
        <v>0.15</v>
      </c>
      <c r="G45" s="247" t="s">
        <v>1548</v>
      </c>
    </row>
    <row r="46" spans="1:7" s="214" customFormat="1" ht="13.5" customHeight="1">
      <c r="A46" s="780" t="s">
        <v>346</v>
      </c>
      <c r="B46" s="248" t="s">
        <v>1549</v>
      </c>
      <c r="C46" s="249">
        <f ca="1">ROUND((C33+C39)*F27,0)</f>
        <v>13532255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115872070</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85745332</v>
      </c>
      <c r="D51" s="232"/>
      <c r="E51" s="232"/>
      <c r="F51" s="264"/>
      <c r="G51" s="234" t="s">
        <v>1560</v>
      </c>
    </row>
    <row r="52" spans="1:7" s="208" customFormat="1" ht="16.5" thickBot="1">
      <c r="A52" s="265" t="s">
        <v>1561</v>
      </c>
      <c r="B52" s="266"/>
      <c r="C52" s="267">
        <f ca="1">C31+C51</f>
        <v>98125850</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1" sqref="N4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 sqref="F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22928.349999999995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6701</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5960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2923</v>
      </c>
      <c r="C3" s="1999" t="s">
        <v>1941</v>
      </c>
      <c r="D3" s="2000" t="s">
        <v>1942</v>
      </c>
      <c r="E3" s="3420" t="s">
        <v>2483</v>
      </c>
      <c r="F3" s="2004" t="s">
        <v>3403</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4697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3970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4710</v>
      </c>
      <c r="D5" s="1339">
        <f>ROUND(C6*C17+C20,0)</f>
        <v>4710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3501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3365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0" t="s">
        <v>3260</v>
      </c>
      <c r="B20" s="167" t="s">
        <v>1994</v>
      </c>
      <c r="C20" s="3325">
        <f>ROUND(IF(F21="与级别开发程度一致",0,(G21-E21)/C21),0)</f>
        <v>-60</v>
      </c>
      <c r="D20" s="3341" t="s">
        <v>1998</v>
      </c>
      <c r="E20" s="3342"/>
      <c r="F20" s="3656" t="s">
        <v>1995</v>
      </c>
      <c r="G20" s="3657"/>
      <c r="H20" s="3326" t="s">
        <v>3404</v>
      </c>
      <c r="I20" s="3326" t="s">
        <v>3405</v>
      </c>
      <c r="J20" s="3327" t="s">
        <v>3406</v>
      </c>
      <c r="K20" s="2047" t="s">
        <v>3407</v>
      </c>
      <c r="L20" s="2047" t="s">
        <v>3408</v>
      </c>
      <c r="M20" s="2047" t="s">
        <v>3409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1"/>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3410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45140</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0.86150000000000004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0.86150000000000004</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0.86529999999999996</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0.85260000000000002</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6701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3418</v>
      </c>
      <c r="D33" s="2098">
        <f>'数据-汇总表'!F19</f>
        <v>18902.909999999996</v>
      </c>
      <c r="E33" s="773">
        <f>ROUND(C33*D33/10000,0)</f>
        <v>6461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513</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2381</v>
      </c>
      <c r="D37" s="2098"/>
      <c r="E37" s="171">
        <f>ROUND(C37*D37/10000,0)</f>
        <v>0</v>
      </c>
      <c r="F37" s="171">
        <f>SUMIF(修正!A57:A68,G2,修正!B57:B68)</f>
        <v>0.6</v>
      </c>
      <c r="G37" s="171">
        <f>ROUND(IF(E2="工业",C37*$M$42,C37*$M$41),0)</f>
        <v>357</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1190</v>
      </c>
      <c r="D38" s="2098"/>
      <c r="E38" s="171">
        <f t="shared" ref="E38:E42" si="4">ROUND(C38*D38/10000,0)</f>
        <v>0</v>
      </c>
      <c r="F38" s="171">
        <f>SUMIF(修正!A57:A68,G2,修正!C57:C68)</f>
        <v>0.3</v>
      </c>
      <c r="G38" s="171">
        <f>ROUND(IF(E2="工业",C38*$M$42,C38*$M$41),0)</f>
        <v>179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5"/>
      <c r="B39" s="2041" t="s">
        <v>3265</v>
      </c>
      <c r="C39" s="175">
        <f>ROUND(D5*C22*C23*C24*C28*F39,0)</f>
        <v>992</v>
      </c>
      <c r="D39" s="2098"/>
      <c r="E39" s="171">
        <f t="shared" si="4"/>
        <v>0</v>
      </c>
      <c r="F39" s="171">
        <f>SUMIF(修正!A57:A68,G2,修正!D57:D68)</f>
        <v>0.25</v>
      </c>
      <c r="G39" s="171">
        <f>ROUND(IF(E2="工业",C39*$M$42,C39*$M$41),0)</f>
        <v>149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992</v>
      </c>
      <c r="D40" s="2098"/>
      <c r="E40" s="171">
        <f t="shared" si="4"/>
        <v>0</v>
      </c>
      <c r="F40" s="175">
        <f>SUMIF(修正!A57:A68,G2,修正!E57:E68)</f>
        <v>0.25</v>
      </c>
      <c r="G40" s="171">
        <f>ROUND(IF(E2="工业",C40*$M$42,C40*$M$41),0)</f>
        <v>149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992</v>
      </c>
      <c r="D41" s="2098"/>
      <c r="E41" s="171">
        <f t="shared" si="4"/>
        <v>0</v>
      </c>
      <c r="F41" s="175">
        <f>SUMIF(修正!A57:A68,G2,修正!F57:F68)</f>
        <v>0.25</v>
      </c>
      <c r="G41" s="171">
        <f>ROUND(IF(E2="工业",C41*$M$42,C41*$M$41),0)</f>
        <v>149</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595</v>
      </c>
      <c r="D42" s="2103">
        <f>'数据-汇总表'!G19</f>
        <v>4025.44</v>
      </c>
      <c r="E42" s="187">
        <f t="shared" si="4"/>
        <v>240</v>
      </c>
      <c r="F42" s="767">
        <f>SUMIF(修正!A57:A68,G2,修正!G57:G68)</f>
        <v>0.15</v>
      </c>
      <c r="G42" s="187">
        <f>ROUND(IF(E2="工业",C42*$M$42,C42*$M$41),0)</f>
        <v>89</v>
      </c>
      <c r="H42" s="187">
        <f t="shared" si="5"/>
        <v>4025.44</v>
      </c>
      <c r="I42" s="187">
        <f t="shared" si="6"/>
        <v>36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1.0535000000000001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3411</v>
      </c>
      <c r="D83" s="1065">
        <f t="shared" ref="D83:D90" si="22">SUMIF($J$82:$N$82,C83,J83:N83)</f>
        <v>1.2999999999999999E-2</v>
      </c>
      <c r="E83" s="744">
        <f>ROUND(SUM(D83:D90),4)</f>
        <v>5.3499999999999999E-2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3411</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3411</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3412</v>
      </c>
      <c r="D86" s="1065">
        <f t="shared" si="22"/>
        <v>0</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3411</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3413</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3411</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3411</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2" t="s">
        <v>3300</v>
      </c>
      <c r="B103" s="3652"/>
      <c r="C103" s="3652"/>
      <c r="D103" s="3652"/>
      <c r="E103" s="3652"/>
      <c r="F103" s="3652"/>
      <c r="G103" s="3652"/>
      <c r="H103" s="3652"/>
      <c r="I103" s="3652"/>
      <c r="J103" s="3652"/>
      <c r="K103" s="3390"/>
      <c r="L103" s="3390"/>
      <c r="M103" s="3390"/>
      <c r="N103" s="3390"/>
    </row>
    <row r="104" spans="1:14">
      <c r="A104" s="3653" t="s">
        <v>3301</v>
      </c>
      <c r="B104" s="3653" t="s">
        <v>3302</v>
      </c>
      <c r="C104" s="3391" t="s">
        <v>3303</v>
      </c>
      <c r="D104" s="3392"/>
      <c r="E104" s="3392"/>
      <c r="F104" s="3392"/>
      <c r="G104" s="3392"/>
      <c r="H104" s="3392"/>
      <c r="I104" s="3392"/>
      <c r="J104" s="3393"/>
      <c r="K104" s="3394"/>
      <c r="L104" s="3394"/>
      <c r="M104" s="3394"/>
      <c r="N104" s="3394"/>
    </row>
    <row r="105" spans="1:14">
      <c r="A105" s="3653"/>
      <c r="B105" s="365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3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2" t="s">
        <v>3317</v>
      </c>
      <c r="B113" s="3642"/>
      <c r="C113" s="3642"/>
      <c r="D113" s="3642"/>
      <c r="E113" s="3642"/>
      <c r="F113" s="3642"/>
      <c r="G113" s="3642"/>
      <c r="H113" s="3642"/>
      <c r="I113" s="3642"/>
      <c r="J113" s="36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23.79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45719</v>
      </c>
      <c r="C2" s="1387" t="s">
        <v>805</v>
      </c>
      <c r="D2" s="1387"/>
      <c r="E2" s="1388"/>
      <c r="F2" s="1389"/>
      <c r="G2" s="2706"/>
      <c r="H2" s="2695"/>
      <c r="I2" s="2695"/>
      <c r="J2" s="2695"/>
      <c r="K2" s="2696"/>
      <c r="L2" s="2695"/>
      <c r="M2" s="2695"/>
    </row>
    <row r="3" spans="1:37" ht="18" customHeight="1" thickBot="1">
      <c r="A3" s="1390" t="s">
        <v>806</v>
      </c>
      <c r="B3" s="1391">
        <f ca="1">IF(ISERROR(B2*10000/F43),0,ROUND(B2*10000/F43,0))</f>
        <v>19940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3379</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3375</v>
      </c>
      <c r="D6" s="155" t="s">
        <v>2109</v>
      </c>
      <c r="E6" s="302" t="s">
        <v>696</v>
      </c>
      <c r="F6" s="303">
        <f ca="1">INDIRECT("'数据-取费表'!u"&amp;$G$1)</f>
        <v>5.5</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18681.78</v>
      </c>
      <c r="G7" s="1384"/>
      <c r="H7" s="304"/>
      <c r="I7" s="3661"/>
      <c r="J7" s="306"/>
      <c r="K7" s="307"/>
      <c r="L7" s="302" t="s">
        <v>697</v>
      </c>
      <c r="M7" s="303">
        <f ca="1">F7</f>
        <v>18681.78</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3399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8574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8025</v>
      </c>
      <c r="D14" s="1345" t="s">
        <v>708</v>
      </c>
      <c r="E14" s="1342"/>
      <c r="F14" s="319"/>
      <c r="G14" s="1384"/>
      <c r="H14" s="982" t="s">
        <v>398</v>
      </c>
      <c r="I14" s="302" t="s">
        <v>709</v>
      </c>
      <c r="J14" s="21">
        <f ca="1">C29</f>
        <v>11587</v>
      </c>
      <c r="K14" s="12"/>
      <c r="L14" s="807"/>
      <c r="M14" s="808"/>
    </row>
    <row r="15" spans="1:37" s="1397" customFormat="1" ht="18" customHeight="1" thickBot="1">
      <c r="A15" s="982" t="s">
        <v>399</v>
      </c>
      <c r="B15" s="302" t="s">
        <v>710</v>
      </c>
      <c r="C15" s="21">
        <f ca="1">ROUND(C14*F15,0)</f>
        <v>241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59</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8845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177</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320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v>
      </c>
      <c r="K25" s="1095" t="s">
        <v>753</v>
      </c>
      <c r="L25" s="1096"/>
      <c r="M25" s="1097"/>
    </row>
    <row r="26" spans="1:37">
      <c r="A26" s="982" t="s">
        <v>397</v>
      </c>
      <c r="B26" s="302" t="s">
        <v>754</v>
      </c>
      <c r="C26" s="21">
        <f ca="1">ROUND((C19+C20)*F26,0)</f>
        <v>1353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11587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566.92999999999995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385.71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57.94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8.57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33.79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44889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19578</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-45779</v>
      </c>
      <c r="D46" s="1406" t="str">
        <f>C2</f>
        <v>万元</v>
      </c>
      <c r="E46" s="1400"/>
      <c r="F46" s="1400"/>
      <c r="I46" s="1407" t="s">
        <v>810</v>
      </c>
      <c r="J46" s="1408"/>
      <c r="K46" s="1409"/>
      <c r="L46" s="1410">
        <f ca="1">IF(M47="住宅",0,IF(L48&gt;J51,L60,J60))</f>
        <v>830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44889</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23.79</v>
      </c>
      <c r="O48" s="1418" t="s">
        <v>404</v>
      </c>
      <c r="P48" s="1419" t="s">
        <v>821</v>
      </c>
      <c r="Q48" s="1420">
        <f ca="1">J60</f>
        <v>830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11587</v>
      </c>
      <c r="R49" s="1420" t="s">
        <v>818</v>
      </c>
    </row>
    <row r="50" spans="1:18" s="1384" customFormat="1" ht="13.5"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36237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23.79</v>
      </c>
      <c r="K53" s="3658" t="s">
        <v>837</v>
      </c>
      <c r="L53" s="3659"/>
      <c r="O53" s="1418" t="s">
        <v>409</v>
      </c>
      <c r="P53" s="1419" t="s">
        <v>838</v>
      </c>
      <c r="Q53" s="1420">
        <f ca="1">Q47+Q48</f>
        <v>45719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25.5" thickTop="1" thickBot="1">
      <c r="A56" s="957">
        <v>2</v>
      </c>
      <c r="B56" s="958" t="s">
        <v>704</v>
      </c>
      <c r="C56" s="232">
        <f ca="1">C13</f>
        <v>8574</v>
      </c>
      <c r="D56" s="1447"/>
      <c r="E56" s="1448"/>
      <c r="F56" s="1440"/>
      <c r="I56" s="1449" t="s">
        <v>842</v>
      </c>
      <c r="J56" s="1450" t="s">
        <v>3402</v>
      </c>
      <c r="K56" s="1421" t="s">
        <v>843</v>
      </c>
      <c r="L56" s="1424" t="str">
        <f ca="1">IF(L48&lt;J51,"——",L48-J53)</f>
        <v>——</v>
      </c>
      <c r="O56" s="1418" t="s">
        <v>403</v>
      </c>
      <c r="P56" s="1419" t="s">
        <v>817</v>
      </c>
      <c r="Q56" s="1420">
        <f ca="1">C40+J29</f>
        <v>44889</v>
      </c>
      <c r="R56" s="1420" t="s">
        <v>818</v>
      </c>
    </row>
    <row r="57" spans="1:18" s="1384" customFormat="1" ht="24.75" thickBot="1">
      <c r="A57" s="1451"/>
      <c r="B57" s="950" t="s">
        <v>767</v>
      </c>
      <c r="C57" s="238">
        <f ca="1">C29</f>
        <v>11587</v>
      </c>
      <c r="D57" s="1452"/>
      <c r="E57" s="1453"/>
      <c r="F57" s="1454"/>
      <c r="I57" s="1455" t="s">
        <v>844</v>
      </c>
      <c r="J57" s="1456">
        <f ca="1">IF(OR(M47="住宅",J51&lt;L48,J56="是"),"——",J51-L48)</f>
        <v>16.21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4635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44889</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8.57</v>
      </c>
      <c r="D65" s="964" t="s">
        <v>743</v>
      </c>
      <c r="E65" s="950" t="s">
        <v>744</v>
      </c>
      <c r="F65" s="330">
        <f t="shared" ca="1" si="0"/>
        <v>1E-3</v>
      </c>
      <c r="I65" s="1462" t="s">
        <v>867</v>
      </c>
      <c r="J65" s="1463">
        <v>40</v>
      </c>
      <c r="K65" s="1463">
        <v>30</v>
      </c>
      <c r="L65" s="1463">
        <v>50</v>
      </c>
      <c r="M65" s="1465">
        <v>0.02</v>
      </c>
      <c r="O65" s="1418" t="s">
        <v>403</v>
      </c>
      <c r="P65" s="1419" t="s">
        <v>868</v>
      </c>
      <c r="Q65" s="1420">
        <f ca="1">C40+J29</f>
        <v>44889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v>
      </c>
      <c r="D67" s="963" t="s">
        <v>753</v>
      </c>
      <c r="E67" s="968"/>
      <c r="F67" s="969"/>
      <c r="O67" s="1428" t="s">
        <v>405</v>
      </c>
      <c r="P67" s="1419" t="s">
        <v>850</v>
      </c>
      <c r="Q67" s="1466">
        <f ca="1">L51</f>
        <v>36237</v>
      </c>
      <c r="R67" s="1420" t="s">
        <v>870</v>
      </c>
    </row>
    <row r="68" spans="1:18" s="1384" customFormat="1" ht="16.5" thickBot="1">
      <c r="A68" s="947" t="s">
        <v>395</v>
      </c>
      <c r="B68" s="948" t="s">
        <v>774</v>
      </c>
      <c r="C68" s="301">
        <f ca="1">ROUND(C67*(1-((1+F70)/(1+F68))^F69)/(F68-F70),0)</f>
        <v>-890</v>
      </c>
      <c r="D68" s="965" t="s">
        <v>758</v>
      </c>
      <c r="E68" s="950" t="s">
        <v>759</v>
      </c>
      <c r="F68" s="312">
        <f ca="1">F40</f>
        <v>5.5E-2</v>
      </c>
      <c r="O68" s="1428" t="s">
        <v>406</v>
      </c>
      <c r="P68" s="1467" t="s">
        <v>871</v>
      </c>
      <c r="Q68" s="1420">
        <f ca="1">ROUND(Q69-Q70*Q71,0)</f>
        <v>2112</v>
      </c>
      <c r="R68" s="1420" t="s">
        <v>414</v>
      </c>
    </row>
    <row r="69" spans="1:18" s="1384" customFormat="1" ht="13.5" thickBot="1">
      <c r="A69" s="951"/>
      <c r="B69" s="952"/>
      <c r="C69" s="306"/>
      <c r="D69" s="970" t="s">
        <v>762</v>
      </c>
      <c r="E69" s="950" t="s">
        <v>763</v>
      </c>
      <c r="F69" s="333">
        <f ca="1">F41</f>
        <v>23.79</v>
      </c>
      <c r="O69" s="1428" t="s">
        <v>411</v>
      </c>
      <c r="P69" s="1467" t="s">
        <v>872</v>
      </c>
      <c r="Q69" s="1420">
        <f ca="1">C39</f>
        <v>2712</v>
      </c>
      <c r="R69" s="1420" t="s">
        <v>818</v>
      </c>
    </row>
    <row r="70" spans="1:18" s="1384" customFormat="1" ht="13.5" thickBot="1">
      <c r="A70" s="954"/>
      <c r="B70" s="955"/>
      <c r="C70" s="310"/>
      <c r="D70" s="966"/>
      <c r="E70" s="950" t="s">
        <v>766</v>
      </c>
      <c r="F70" s="1054"/>
      <c r="O70" s="1428" t="s">
        <v>412</v>
      </c>
      <c r="P70" s="1467" t="s">
        <v>873</v>
      </c>
      <c r="Q70" s="1420">
        <f ca="1">C13</f>
        <v>8574</v>
      </c>
      <c r="R70" s="1420" t="s">
        <v>818</v>
      </c>
    </row>
    <row r="71" spans="1:18" s="1384" customFormat="1" ht="13.5" thickBot="1">
      <c r="A71" s="971" t="s">
        <v>396</v>
      </c>
      <c r="B71" s="972" t="s">
        <v>776</v>
      </c>
      <c r="C71" s="336">
        <f ca="1">ROUND(C68*10000/F71,0)</f>
        <v>-388</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600</v>
      </c>
      <c r="D75" s="1384"/>
      <c r="E75" s="1384"/>
      <c r="F75" s="1384"/>
      <c r="K75" s="1402"/>
      <c r="L75" s="1384"/>
      <c r="O75" s="1418" t="s">
        <v>409</v>
      </c>
      <c r="P75" s="1419" t="s">
        <v>838</v>
      </c>
      <c r="Q75" s="1420">
        <f ca="1">Q65+Q66</f>
        <v>44889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0</v>
      </c>
      <c r="D6" s="155" t="s">
        <v>2106</v>
      </c>
      <c r="E6" s="302" t="s">
        <v>696</v>
      </c>
      <c r="F6" s="303">
        <f ca="1">INDIRECT("'数据-取费表'!u"&amp;$G$1)</f>
        <v>0</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63" t="s">
        <v>2321</v>
      </c>
      <c r="K2" s="366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5" t="s">
        <v>2331</v>
      </c>
      <c r="K3" s="366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5" t="s">
        <v>2333</v>
      </c>
      <c r="K4" s="366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7" t="s">
        <v>2337</v>
      </c>
      <c r="B6" s="3668"/>
      <c r="C6" s="3669"/>
      <c r="D6" s="2870"/>
      <c r="E6" s="2871"/>
      <c r="F6" s="2872"/>
      <c r="G6" s="2873"/>
      <c r="H6" s="2848"/>
      <c r="I6" s="2849"/>
      <c r="J6" s="3670">
        <v>1</v>
      </c>
      <c r="K6" s="367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0"/>
      <c r="K7" s="367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4" t="s">
        <v>2351</v>
      </c>
      <c r="C8" s="3675"/>
      <c r="D8" s="2889" t="s">
        <v>2352</v>
      </c>
      <c r="E8" s="2890" t="s">
        <v>2353</v>
      </c>
      <c r="F8" s="2891" t="s">
        <v>2354</v>
      </c>
      <c r="G8" s="2892"/>
      <c r="H8" s="2848"/>
      <c r="I8" s="2849"/>
      <c r="J8" s="3670"/>
      <c r="K8" s="367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4" t="s">
        <v>2357</v>
      </c>
      <c r="C9" s="3675"/>
      <c r="D9" s="2889">
        <f>ROUND(D6*E9,0)</f>
        <v>0</v>
      </c>
      <c r="E9" s="2893"/>
      <c r="F9" s="2894" t="s">
        <v>2358</v>
      </c>
      <c r="G9" s="2873"/>
      <c r="H9" s="2848"/>
      <c r="I9" s="2849"/>
      <c r="J9" s="3670"/>
      <c r="K9" s="3672"/>
      <c r="L9" s="2883" t="s">
        <v>2359</v>
      </c>
      <c r="M9" s="2884"/>
      <c r="N9" s="2860"/>
      <c r="O9" s="2885"/>
      <c r="P9" s="2885"/>
      <c r="Q9" s="2886">
        <v>365</v>
      </c>
      <c r="R9" s="2887">
        <f t="shared" si="0"/>
        <v>0</v>
      </c>
      <c r="S9" s="2841"/>
      <c r="T9" s="2841"/>
      <c r="U9" s="2841"/>
      <c r="V9" s="2849"/>
    </row>
    <row r="10" spans="1:22" s="2853" customFormat="1" ht="13.15" customHeight="1">
      <c r="A10" s="2888">
        <v>2</v>
      </c>
      <c r="B10" s="3674" t="s">
        <v>2360</v>
      </c>
      <c r="C10" s="3675"/>
      <c r="D10" s="2889">
        <f>ROUND(D6*E10,0)</f>
        <v>0</v>
      </c>
      <c r="E10" s="2893"/>
      <c r="F10" s="2894" t="s">
        <v>2361</v>
      </c>
      <c r="G10" s="2873"/>
      <c r="H10" s="2848"/>
      <c r="I10" s="2849"/>
      <c r="J10" s="3670"/>
      <c r="K10" s="3672"/>
      <c r="L10" s="2883" t="s">
        <v>2362</v>
      </c>
      <c r="M10" s="2884"/>
      <c r="N10" s="2860"/>
      <c r="O10" s="2885"/>
      <c r="P10" s="2885"/>
      <c r="Q10" s="2886">
        <v>365</v>
      </c>
      <c r="R10" s="2887">
        <f t="shared" si="0"/>
        <v>0</v>
      </c>
      <c r="S10" s="2841"/>
      <c r="T10" s="2841"/>
      <c r="U10" s="2841"/>
      <c r="V10" s="2849"/>
    </row>
    <row r="11" spans="1:22" s="2853" customFormat="1" ht="13.15" customHeight="1">
      <c r="A11" s="2888">
        <v>3</v>
      </c>
      <c r="B11" s="3674" t="s">
        <v>2363</v>
      </c>
      <c r="C11" s="3675"/>
      <c r="D11" s="2889">
        <f>D12+D14+D15+D16</f>
        <v>0</v>
      </c>
      <c r="E11" s="2895" t="e">
        <f>D11/D6</f>
        <v>#DIV/0!</v>
      </c>
      <c r="F11" s="2891"/>
      <c r="G11" s="2892"/>
      <c r="H11" s="2848"/>
      <c r="I11" s="2849"/>
      <c r="J11" s="3670"/>
      <c r="K11" s="367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6" t="s">
        <v>2366</v>
      </c>
      <c r="C12" s="3677"/>
      <c r="D12" s="2897">
        <f>ROUND(D13*1.2%*(1-30%),0)</f>
        <v>0</v>
      </c>
      <c r="E12" s="2898">
        <v>1.2E-2</v>
      </c>
      <c r="F12" s="2891" t="s">
        <v>2367</v>
      </c>
      <c r="G12" s="2892"/>
      <c r="H12" s="2848"/>
      <c r="I12" s="2849"/>
      <c r="J12" s="3670"/>
      <c r="K12" s="367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0"/>
      <c r="K13" s="367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6" t="s">
        <v>2372</v>
      </c>
      <c r="C14" s="3677"/>
      <c r="D14" s="2897">
        <f>ROUND(E14*B5/10000,0)</f>
        <v>0</v>
      </c>
      <c r="E14" s="2886"/>
      <c r="F14" s="2891" t="s">
        <v>2373</v>
      </c>
      <c r="G14" s="2892"/>
      <c r="H14" s="2848"/>
      <c r="I14" s="2849"/>
      <c r="J14" s="3670"/>
      <c r="K14" s="367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6" t="s">
        <v>2376</v>
      </c>
      <c r="C15" s="3677"/>
      <c r="D15" s="2897">
        <f>ROUND(D6*E15,0)</f>
        <v>0</v>
      </c>
      <c r="E15" s="2898">
        <v>5.5E-2</v>
      </c>
      <c r="F15" s="2891" t="s">
        <v>2377</v>
      </c>
      <c r="G15" s="2873"/>
      <c r="H15" s="2848"/>
      <c r="I15" s="2849"/>
      <c r="J15" s="3670">
        <v>2</v>
      </c>
      <c r="K15" s="367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6" t="s">
        <v>2385</v>
      </c>
      <c r="C16" s="3677"/>
      <c r="D16" s="2908">
        <f>D6*E16</f>
        <v>0</v>
      </c>
      <c r="E16" s="2909"/>
      <c r="F16" s="2894" t="s">
        <v>2386</v>
      </c>
      <c r="G16" s="2873"/>
      <c r="H16" s="2848"/>
      <c r="I16" s="2849"/>
      <c r="J16" s="3670"/>
      <c r="K16" s="367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8" t="s">
        <v>2388</v>
      </c>
      <c r="C17" s="3679"/>
      <c r="D17" s="2911">
        <f>ROUND(D6*E17,0)</f>
        <v>0</v>
      </c>
      <c r="E17" s="2912"/>
      <c r="F17" s="2913" t="s">
        <v>2389</v>
      </c>
      <c r="G17" s="2873"/>
      <c r="H17" s="2848"/>
      <c r="I17" s="2849"/>
      <c r="J17" s="3670"/>
      <c r="K17" s="367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0"/>
      <c r="K18" s="367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0"/>
      <c r="K19" s="367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0">
        <v>3</v>
      </c>
      <c r="K20" s="367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0"/>
      <c r="K21" s="367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0"/>
      <c r="K22" s="367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0"/>
      <c r="K23" s="367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0"/>
      <c r="K24" s="367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3" t="s">
        <v>2321</v>
      </c>
      <c r="K32" s="366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5" t="s">
        <v>2331</v>
      </c>
      <c r="K33" s="366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5" t="s">
        <v>2333</v>
      </c>
      <c r="K34" s="366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0">
        <v>1</v>
      </c>
      <c r="K36" s="367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0"/>
      <c r="K37" s="367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0"/>
      <c r="K38" s="367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0"/>
      <c r="K39" s="367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0"/>
      <c r="K40" s="367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45719</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19940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2" t="s">
        <v>1654</v>
      </c>
      <c r="C5" s="368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45719</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5"/>
      <c r="M4" s="2716"/>
      <c r="N4" s="2716"/>
      <c r="O4" s="2716"/>
      <c r="P4" s="3706" t="s">
        <v>1672</v>
      </c>
      <c r="Q4" s="3707"/>
      <c r="R4" s="3689" t="s">
        <v>1668</v>
      </c>
      <c r="S4" s="3690"/>
      <c r="T4" s="3689" t="s">
        <v>1669</v>
      </c>
      <c r="U4" s="3690"/>
      <c r="V4" s="3714" t="s">
        <v>1670</v>
      </c>
      <c r="W4" s="3714"/>
      <c r="X4" s="1355"/>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90"/>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1890"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1"/>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1"/>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1"/>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1"/>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8"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9"/>
      <c r="Q16" s="1352"/>
      <c r="R16" s="705"/>
      <c r="S16" s="706"/>
      <c r="T16" s="705"/>
      <c r="U16" s="706"/>
      <c r="V16" s="705"/>
      <c r="W16" s="706"/>
      <c r="X16" s="1355"/>
      <c r="Y16" s="372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9"/>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9"/>
      <c r="Q18" s="1352"/>
      <c r="R18" s="705"/>
      <c r="S18" s="706"/>
      <c r="T18" s="705"/>
      <c r="U18" s="706"/>
      <c r="V18" s="705"/>
      <c r="W18" s="706"/>
      <c r="X18" s="1355"/>
      <c r="Y18" s="372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9"/>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9"/>
      <c r="Q20" s="1352"/>
      <c r="R20" s="705"/>
      <c r="S20" s="706"/>
      <c r="T20" s="705"/>
      <c r="U20" s="706"/>
      <c r="V20" s="705"/>
      <c r="W20" s="706"/>
      <c r="X20" s="1355"/>
      <c r="Y20" s="372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9"/>
      <c r="Q22" s="1352"/>
      <c r="R22" s="705"/>
      <c r="S22" s="706"/>
      <c r="T22" s="705"/>
      <c r="U22" s="706"/>
      <c r="V22" s="705"/>
      <c r="W22" s="706"/>
      <c r="X22" s="1355"/>
      <c r="Y22" s="372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9"/>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9"/>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9"/>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9"/>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9"/>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9"/>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9"/>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9"/>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714"/>
      <c r="AC6" s="3686"/>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8"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9"/>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9"/>
      <c r="Q18" s="1352"/>
      <c r="R18" s="705"/>
      <c r="S18" s="706"/>
      <c r="T18" s="705"/>
      <c r="U18" s="706"/>
      <c r="V18" s="705"/>
      <c r="W18" s="706"/>
      <c r="X18" s="1355"/>
      <c r="Y18" s="372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9"/>
      <c r="Q20" s="1352"/>
      <c r="R20" s="705"/>
      <c r="S20" s="706"/>
      <c r="T20" s="705"/>
      <c r="U20" s="706"/>
      <c r="V20" s="705"/>
      <c r="W20" s="706"/>
      <c r="X20" s="1355"/>
      <c r="Y20" s="372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9"/>
      <c r="Q22" s="1352"/>
      <c r="R22" s="705"/>
      <c r="S22" s="706"/>
      <c r="T22" s="705"/>
      <c r="U22" s="706"/>
      <c r="V22" s="705"/>
      <c r="W22" s="706"/>
      <c r="X22" s="1355"/>
      <c r="Y22" s="372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9"/>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9"/>
      <c r="Q24" s="1352"/>
      <c r="R24" s="705"/>
      <c r="S24" s="706"/>
      <c r="T24" s="705"/>
      <c r="U24" s="706"/>
      <c r="V24" s="705"/>
      <c r="W24" s="706"/>
      <c r="X24" s="1355"/>
      <c r="Y24" s="372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9"/>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9"/>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9"/>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9"/>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36" t="s">
        <v>1775</v>
      </c>
      <c r="Q4" s="3737"/>
      <c r="R4" s="3731" t="s">
        <v>1771</v>
      </c>
      <c r="S4" s="3732"/>
      <c r="T4" s="3731" t="s">
        <v>1772</v>
      </c>
      <c r="U4" s="3732"/>
      <c r="V4" s="3740" t="s">
        <v>1773</v>
      </c>
      <c r="W4" s="3740"/>
      <c r="X4" s="1958"/>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5"/>
      <c r="M5" s="2716"/>
      <c r="N5" s="2716"/>
      <c r="O5" s="2716"/>
      <c r="P5" s="3738"/>
      <c r="Q5" s="3709"/>
      <c r="R5" s="3691"/>
      <c r="S5" s="3692"/>
      <c r="T5" s="3691"/>
      <c r="U5" s="3692"/>
      <c r="V5" s="3714"/>
      <c r="W5" s="3714"/>
      <c r="X5" s="1355"/>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39"/>
      <c r="Q6" s="3711"/>
      <c r="R6" s="3691"/>
      <c r="S6" s="3692"/>
      <c r="T6" s="3712"/>
      <c r="U6" s="3713"/>
      <c r="V6" s="3714"/>
      <c r="W6" s="3714"/>
      <c r="X6" s="1355"/>
      <c r="Y6" s="3712"/>
      <c r="Z6" s="3713"/>
      <c r="AA6" s="3686"/>
      <c r="AB6" s="3686"/>
      <c r="AC6" s="3735"/>
    </row>
    <row r="7" spans="1:29" s="108" customFormat="1" ht="15.75" thickBot="1">
      <c r="A7" s="362" t="s">
        <v>1679</v>
      </c>
      <c r="B7" s="363"/>
      <c r="C7" s="364">
        <f>'数据-取费表'!B2</f>
        <v>45140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8"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9"/>
      <c r="Q16" s="1352"/>
      <c r="R16" s="705"/>
      <c r="S16" s="706"/>
      <c r="T16" s="705"/>
      <c r="U16" s="706"/>
      <c r="V16" s="705"/>
      <c r="W16" s="706"/>
      <c r="X16" s="1355"/>
      <c r="Y16" s="372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9"/>
      <c r="Q18" s="1352"/>
      <c r="R18" s="705"/>
      <c r="S18" s="706"/>
      <c r="T18" s="705"/>
      <c r="U18" s="706"/>
      <c r="V18" s="705"/>
      <c r="W18" s="706"/>
      <c r="X18" s="1355"/>
      <c r="Y18" s="372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9"/>
      <c r="Q20" s="1352"/>
      <c r="R20" s="705"/>
      <c r="S20" s="706"/>
      <c r="T20" s="705"/>
      <c r="U20" s="706"/>
      <c r="V20" s="705"/>
      <c r="W20" s="706"/>
      <c r="X20" s="1355"/>
      <c r="Y20" s="372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9"/>
      <c r="Q22" s="1352"/>
      <c r="R22" s="705"/>
      <c r="S22" s="706"/>
      <c r="T22" s="705"/>
      <c r="U22" s="706"/>
      <c r="V22" s="705"/>
      <c r="W22" s="706"/>
      <c r="X22" s="1355"/>
      <c r="Y22" s="372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9"/>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9"/>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9"/>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9"/>
      <c r="Q26" s="1352"/>
      <c r="R26" s="705"/>
      <c r="S26" s="706"/>
      <c r="T26" s="705"/>
      <c r="U26" s="706"/>
      <c r="V26" s="705"/>
      <c r="W26" s="706"/>
      <c r="X26" s="1355"/>
      <c r="Y26" s="372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9"/>
      <c r="Q27" s="1352" t="str">
        <f t="shared" ref="Q27:Q47" si="11">B27</f>
        <v>楼层</v>
      </c>
      <c r="R27" s="705" t="s">
        <v>14</v>
      </c>
      <c r="S27" s="706">
        <f>F27</f>
        <v>100</v>
      </c>
      <c r="T27" s="705" t="s">
        <v>14</v>
      </c>
      <c r="U27" s="706">
        <f>H27</f>
        <v>100</v>
      </c>
      <c r="V27" s="705" t="s">
        <v>14</v>
      </c>
      <c r="W27" s="706">
        <f>J27</f>
        <v>100</v>
      </c>
      <c r="X27" s="1355"/>
      <c r="Y27" s="372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9"/>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9"/>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9"/>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4"/>
      <c r="Q37" s="1352" t="str">
        <f t="shared" si="11"/>
        <v>成新度</v>
      </c>
      <c r="R37" s="705" t="s">
        <v>14</v>
      </c>
      <c r="S37" s="706" t="e">
        <f t="shared" si="12"/>
        <v>#N/A</v>
      </c>
      <c r="T37" s="705" t="s">
        <v>14</v>
      </c>
      <c r="U37" s="706" t="e">
        <f t="shared" si="13"/>
        <v>#N/A</v>
      </c>
      <c r="V37" s="705" t="s">
        <v>14</v>
      </c>
      <c r="W37" s="706" t="e">
        <f t="shared" si="14"/>
        <v>#N/A</v>
      </c>
      <c r="X37" s="1355"/>
      <c r="Y37" s="372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4"/>
      <c r="Q45" s="1343">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E111" sqref="E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3420</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3"/>
      <c r="M5" s="914"/>
      <c r="N5" s="914"/>
      <c r="O5" s="914"/>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3"/>
      <c r="M6" s="914"/>
      <c r="N6" s="914"/>
      <c r="O6" s="914"/>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45140</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687" t="s">
        <v>1680</v>
      </c>
      <c r="Q7" s="3715"/>
      <c r="R7" s="701" t="s">
        <v>14</v>
      </c>
      <c r="S7" s="702">
        <f t="shared" ref="S7:S15" si="0">F7</f>
        <v>100</v>
      </c>
      <c r="T7" s="701" t="s">
        <v>14</v>
      </c>
      <c r="U7" s="702">
        <f t="shared" ref="U7:U15" si="1">H7</f>
        <v>100</v>
      </c>
      <c r="V7" s="701" t="s">
        <v>14</v>
      </c>
      <c r="W7" s="702">
        <f t="shared" ref="W7:W15" si="2">J7</f>
        <v>100</v>
      </c>
      <c r="X7" s="703"/>
      <c r="Y7" s="3687" t="s">
        <v>1680</v>
      </c>
      <c r="Z7" s="3688"/>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26"/>
      <c r="Q30" s="707" t="str">
        <f t="shared" si="11"/>
        <v>项目建筑规模</v>
      </c>
      <c r="R30" s="708" t="s">
        <v>14</v>
      </c>
      <c r="S30" s="709">
        <f t="shared" si="12"/>
        <v>100</v>
      </c>
      <c r="T30" s="708" t="s">
        <v>14</v>
      </c>
      <c r="U30" s="709">
        <f t="shared" si="13"/>
        <v>100</v>
      </c>
      <c r="V30" s="708" t="s">
        <v>14</v>
      </c>
      <c r="W30" s="709">
        <f t="shared" si="14"/>
        <v>100</v>
      </c>
      <c r="X30" s="710"/>
      <c r="Y30" s="3726"/>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26"/>
      <c r="Q33" s="1352" t="str">
        <f t="shared" si="11"/>
        <v>成新度</v>
      </c>
      <c r="R33" s="705" t="s">
        <v>14</v>
      </c>
      <c r="S33" s="706">
        <f t="shared" si="12"/>
        <v>100</v>
      </c>
      <c r="T33" s="705" t="s">
        <v>14</v>
      </c>
      <c r="U33" s="706">
        <f t="shared" si="13"/>
        <v>100</v>
      </c>
      <c r="V33" s="705" t="s">
        <v>14</v>
      </c>
      <c r="W33" s="706">
        <f t="shared" si="14"/>
        <v>100</v>
      </c>
      <c r="X33" s="1355"/>
      <c r="Y33" s="3726"/>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3793" t="s">
        <v>3422</v>
      </c>
      <c r="C38" s="3794" t="s">
        <v>3423</v>
      </c>
      <c r="D38" s="386">
        <v>100</v>
      </c>
      <c r="E38" s="3795" t="s">
        <v>3424</v>
      </c>
      <c r="F38" s="412">
        <f>SUMIF(108:108,E38,109:109)-SUMIF(108:108,C38,109:109)+100</f>
        <v>110</v>
      </c>
      <c r="G38" s="3795" t="s">
        <v>3424</v>
      </c>
      <c r="H38" s="386">
        <f>SUMIF(108:108,G38,109:109)-SUMIF(108:108,C38,109:109)+100</f>
        <v>110</v>
      </c>
      <c r="I38" s="3795" t="s">
        <v>3424</v>
      </c>
      <c r="J38" s="386">
        <f>SUMIF(108:108,I38,109:1038)-SUMIF(108:108,C38,109:109)+100</f>
        <v>110</v>
      </c>
      <c r="K38" s="562"/>
      <c r="L38" s="921"/>
      <c r="M38" s="924"/>
      <c r="N38" s="924"/>
      <c r="O38" s="925"/>
      <c r="P38" s="3726"/>
      <c r="Q38" s="707" t="str">
        <f t="shared" si="11"/>
        <v>地下</v>
      </c>
      <c r="R38" s="708" t="s">
        <v>14</v>
      </c>
      <c r="S38" s="709">
        <f t="shared" si="12"/>
        <v>110</v>
      </c>
      <c r="T38" s="708" t="s">
        <v>14</v>
      </c>
      <c r="U38" s="709">
        <f t="shared" si="13"/>
        <v>110</v>
      </c>
      <c r="V38" s="708" t="s">
        <v>14</v>
      </c>
      <c r="W38" s="709">
        <f t="shared" si="14"/>
        <v>110</v>
      </c>
      <c r="X38" s="710"/>
      <c r="Y38" s="3726"/>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v>30000</v>
      </c>
      <c r="F41" s="1157"/>
      <c r="G41" s="1156">
        <v>30000</v>
      </c>
      <c r="H41" s="1159"/>
      <c r="I41" s="1156">
        <v>30000</v>
      </c>
      <c r="J41" s="1159"/>
      <c r="K41" s="714"/>
      <c r="L41" s="926"/>
      <c r="M41" s="927"/>
      <c r="N41" s="914"/>
      <c r="O41" s="927"/>
      <c r="P41" s="3719" t="str">
        <f>A41</f>
        <v>成交单价（元/平方米）</v>
      </c>
      <c r="Q41" s="3719"/>
      <c r="R41" s="3720">
        <f>E41</f>
        <v>30000</v>
      </c>
      <c r="S41" s="3720"/>
      <c r="T41" s="3720">
        <f>G41</f>
        <v>30000</v>
      </c>
      <c r="U41" s="3720"/>
      <c r="V41" s="3720">
        <f>I41</f>
        <v>30000</v>
      </c>
      <c r="W41" s="3720"/>
      <c r="X41" s="690"/>
      <c r="Y41" s="712"/>
      <c r="Z41" s="690"/>
      <c r="AA41" s="690"/>
      <c r="AB41" s="690"/>
      <c r="AC41" s="690"/>
    </row>
    <row r="42" spans="1:29" ht="15.7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719" t="str">
        <f>A42</f>
        <v>比较价值（元/平方米）</v>
      </c>
      <c r="Q42" s="3719"/>
      <c r="R42" s="3720">
        <f>IF(F1="售价",ROUND(PRODUCT(R41,AA7:AA40),0),ROUND(PRODUCT(R41,AA7:AA40),1))</f>
        <v>27273</v>
      </c>
      <c r="S42" s="3720"/>
      <c r="T42" s="3720">
        <f>IF(F1="售价",ROUND(PRODUCT(T41,AB7:AB40),0),ROUND(PRODUCT(T41,AB7:AB40),1))</f>
        <v>27273</v>
      </c>
      <c r="U42" s="3720"/>
      <c r="V42" s="3720">
        <f>IF(F1="售价",ROUND(PRODUCT(V41,AC7:AC40),0),ROUND(PRODUCT(V41,AC7:AC40),1))</f>
        <v>27273</v>
      </c>
      <c r="W42" s="3720"/>
      <c r="X42" s="690"/>
      <c r="Y42" s="690"/>
      <c r="Z42" s="690"/>
      <c r="AA42" s="690"/>
      <c r="AB42" s="690"/>
      <c r="AC42" s="690"/>
    </row>
    <row r="43" spans="1:29" ht="15.75" thickBot="1">
      <c r="A43" s="441" t="s">
        <v>1794</v>
      </c>
      <c r="B43" s="442"/>
      <c r="C43" s="1163">
        <f>R43</f>
        <v>27273</v>
      </c>
      <c r="D43" s="1163"/>
      <c r="E43" s="1163"/>
      <c r="F43" s="1163"/>
      <c r="G43" s="1163"/>
      <c r="H43" s="1163"/>
      <c r="I43" s="1163"/>
      <c r="J43" s="1163"/>
      <c r="K43" s="715"/>
      <c r="L43" s="926"/>
      <c r="M43" s="927"/>
      <c r="N43" s="927"/>
      <c r="O43" s="927"/>
      <c r="P43" s="3716" t="str">
        <f>A43</f>
        <v>估价对象XX用房的比较价值（楼面单价，元/平方米）</v>
      </c>
      <c r="Q43" s="3717"/>
      <c r="R43" s="3718">
        <f>IF(F1="售价",ROUND(IF(D42="简单平均",AVERAGE(R42:V42),R42*F42+T42*H42+V42*J42),0),ROUND(IF(D42="简单平均",AVERAGE(R42:V42),R42*F42+T42*H42+V42*J42),1))</f>
        <v>27273</v>
      </c>
      <c r="S43" s="3718"/>
      <c r="T43" s="3718"/>
      <c r="U43" s="3718"/>
      <c r="V43" s="3718"/>
      <c r="W43" s="371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3792">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796" t="s">
        <v>3425</v>
      </c>
      <c r="D108" s="3796" t="s">
        <v>3423</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45140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2"/>
      <c r="Q15" s="1352"/>
      <c r="R15" s="705"/>
      <c r="S15" s="706"/>
      <c r="T15" s="705"/>
      <c r="U15" s="706"/>
      <c r="V15" s="705"/>
      <c r="W15" s="706"/>
      <c r="X15" s="1355"/>
      <c r="Y15" s="372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2"/>
      <c r="Q17" s="1352"/>
      <c r="R17" s="705"/>
      <c r="S17" s="706"/>
      <c r="T17" s="705"/>
      <c r="U17" s="706"/>
      <c r="V17" s="705"/>
      <c r="W17" s="706"/>
      <c r="X17" s="1355"/>
      <c r="Y17" s="372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2"/>
      <c r="Q19" s="1352"/>
      <c r="R19" s="705"/>
      <c r="S19" s="706"/>
      <c r="T19" s="705"/>
      <c r="U19" s="706"/>
      <c r="V19" s="705"/>
      <c r="W19" s="706"/>
      <c r="X19" s="1355"/>
      <c r="Y19" s="372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45140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2"/>
      <c r="Q15" s="1352"/>
      <c r="R15" s="705"/>
      <c r="S15" s="706"/>
      <c r="T15" s="705"/>
      <c r="U15" s="706"/>
      <c r="V15" s="705"/>
      <c r="W15" s="706"/>
      <c r="X15" s="1355"/>
      <c r="Y15" s="372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2"/>
      <c r="Q17" s="1352"/>
      <c r="R17" s="705"/>
      <c r="S17" s="706"/>
      <c r="T17" s="705"/>
      <c r="U17" s="706"/>
      <c r="V17" s="705"/>
      <c r="W17" s="706"/>
      <c r="X17" s="1355"/>
      <c r="Y17" s="372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2"/>
      <c r="Q19" s="1352"/>
      <c r="R19" s="705"/>
      <c r="S19" s="706"/>
      <c r="T19" s="705"/>
      <c r="U19" s="706"/>
      <c r="V19" s="705"/>
      <c r="W19" s="706"/>
      <c r="X19" s="1355"/>
      <c r="Y19" s="372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5"/>
      <c r="M6" s="2716"/>
      <c r="N6" s="2716"/>
      <c r="O6" s="2716"/>
      <c r="P6" s="3710"/>
      <c r="Q6" s="3711"/>
      <c r="R6" s="3691"/>
      <c r="S6" s="3692"/>
      <c r="T6" s="3712"/>
      <c r="U6" s="3713"/>
      <c r="V6" s="3714"/>
      <c r="W6" s="3714"/>
      <c r="X6" s="1355"/>
      <c r="Y6" s="3712"/>
      <c r="Z6" s="3713"/>
      <c r="AA6" s="3686"/>
      <c r="AB6" s="3686"/>
      <c r="AC6" s="3686"/>
    </row>
    <row r="7" spans="1:30" s="108" customFormat="1" ht="15.75" thickBot="1">
      <c r="A7" s="362" t="s">
        <v>1679</v>
      </c>
      <c r="B7" s="363"/>
      <c r="C7" s="364">
        <f>'数据-取费表'!B2</f>
        <v>45140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19"/>
      <c r="Q10" s="1343" t="str">
        <f t="shared" si="6"/>
        <v>土地使用年限（年）</v>
      </c>
      <c r="R10" s="701" t="s">
        <v>14</v>
      </c>
      <c r="S10" s="702">
        <f t="shared" si="0"/>
        <v>133</v>
      </c>
      <c r="T10" s="701" t="s">
        <v>14</v>
      </c>
      <c r="U10" s="702">
        <f t="shared" si="1"/>
        <v>133</v>
      </c>
      <c r="V10" s="701" t="s">
        <v>14</v>
      </c>
      <c r="W10" s="702">
        <f t="shared" si="2"/>
        <v>133</v>
      </c>
      <c r="X10" s="703"/>
      <c r="Y10" s="3612"/>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9"/>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2"/>
      <c r="Q20" s="1352"/>
      <c r="R20" s="705"/>
      <c r="S20" s="706"/>
      <c r="T20" s="705"/>
      <c r="U20" s="706"/>
      <c r="V20" s="705"/>
      <c r="W20" s="706"/>
      <c r="X20" s="1355"/>
      <c r="Y20" s="372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2"/>
      <c r="Q24" s="1352"/>
      <c r="R24" s="705"/>
      <c r="S24" s="706"/>
      <c r="T24" s="705"/>
      <c r="U24" s="706"/>
      <c r="V24" s="705"/>
      <c r="W24" s="706"/>
      <c r="X24" s="1355"/>
      <c r="Y24" s="372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2"/>
      <c r="Q26" s="1352"/>
      <c r="R26" s="705"/>
      <c r="S26" s="706"/>
      <c r="T26" s="705"/>
      <c r="U26" s="706"/>
      <c r="V26" s="705"/>
      <c r="W26" s="706"/>
      <c r="X26" s="1355"/>
      <c r="Y26" s="372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2"/>
      <c r="Q28" s="1343"/>
      <c r="R28" s="701"/>
      <c r="S28" s="702"/>
      <c r="T28" s="701"/>
      <c r="U28" s="702"/>
      <c r="V28" s="701"/>
      <c r="W28" s="702"/>
      <c r="X28" s="703"/>
      <c r="Y28" s="372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01"/>
      <c r="H56" s="371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5"/>
      <c r="M4" s="2716"/>
      <c r="N4" s="2716"/>
      <c r="O4" s="2716"/>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5"/>
      <c r="M5" s="2716"/>
      <c r="N5" s="2716"/>
      <c r="O5" s="2716"/>
      <c r="P5" s="3708"/>
      <c r="Q5" s="3709"/>
      <c r="R5" s="3691"/>
      <c r="S5" s="3692"/>
      <c r="T5" s="3691"/>
      <c r="U5" s="3692"/>
      <c r="V5" s="3714"/>
      <c r="W5" s="3714"/>
      <c r="X5" s="1355"/>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45140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19"/>
      <c r="Q10" s="1343" t="str">
        <f t="shared" si="6"/>
        <v>土地使用年限（年）</v>
      </c>
      <c r="R10" s="701" t="s">
        <v>14</v>
      </c>
      <c r="S10" s="702">
        <f t="shared" si="0"/>
        <v>133</v>
      </c>
      <c r="T10" s="701" t="s">
        <v>14</v>
      </c>
      <c r="U10" s="702">
        <f t="shared" si="1"/>
        <v>133</v>
      </c>
      <c r="V10" s="701" t="s">
        <v>14</v>
      </c>
      <c r="W10" s="702">
        <f t="shared" si="2"/>
        <v>133</v>
      </c>
      <c r="X10" s="703"/>
      <c r="Y10" s="3612"/>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01"/>
      <c r="H51" s="371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6701</v>
      </c>
      <c r="C2" s="2145" t="s">
        <v>2074</v>
      </c>
      <c r="D2" s="2145" t="s">
        <v>2075</v>
      </c>
      <c r="E2" s="2612">
        <f ca="1">SUMIF(E6:E13,"&lt;&gt;#ref!",E6:E13)</f>
        <v>22928.349999999995</v>
      </c>
      <c r="F2" s="2793"/>
      <c r="G2" s="2793"/>
      <c r="H2" s="2793"/>
      <c r="I2" s="2793"/>
      <c r="J2" s="2793"/>
      <c r="K2" s="2793"/>
      <c r="L2" s="2793"/>
      <c r="M2" s="2793"/>
      <c r="N2" s="2793"/>
      <c r="O2" s="2793"/>
      <c r="P2" s="2793"/>
    </row>
    <row r="3" spans="1:16" ht="15.75">
      <c r="A3" s="2145" t="s">
        <v>2076</v>
      </c>
      <c r="B3" s="2602">
        <f ca="1">ROUND(B2*10000/E2,0)</f>
        <v>2923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6701</v>
      </c>
      <c r="C6" s="2145" t="s">
        <v>2074</v>
      </c>
      <c r="D6" s="2793"/>
      <c r="E6" s="2612">
        <f ca="1">SUMIF(INDIRECT("'"&amp;A6&amp;"'"&amp;"!C:C"),"建筑面积",INDIRECT("'"&amp;A6&amp;"'"&amp;"!D:D"))</f>
        <v>22928.349999999995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37017</v>
      </c>
      <c r="C2" s="2" t="s">
        <v>106</v>
      </c>
      <c r="D2" s="199"/>
      <c r="E2" s="199"/>
      <c r="F2" s="199"/>
      <c r="G2" s="199"/>
    </row>
    <row r="3" spans="1:7" s="200" customFormat="1" ht="18" customHeight="1" thickBot="1">
      <c r="A3" s="203" t="s">
        <v>58</v>
      </c>
      <c r="B3" s="204">
        <f ca="1">ROUND(B2*10000/'数据-汇总表'!E3,0)</f>
        <v>16145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1537</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3224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3224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8025</v>
      </c>
      <c r="D34" s="217"/>
      <c r="E34" s="220"/>
      <c r="F34" s="257">
        <f>IF('数据-取费表'!B24=0,1,'数据-取费表'!N16)</f>
        <v>1</v>
      </c>
      <c r="G34" s="219" t="s">
        <v>89</v>
      </c>
    </row>
    <row r="35" spans="1:7" ht="13.5" customHeight="1">
      <c r="A35" s="780" t="s">
        <v>351</v>
      </c>
      <c r="B35" s="215" t="s">
        <v>33</v>
      </c>
      <c r="C35" s="220">
        <f>ROUND(C34*F35,0)</f>
        <v>241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459</v>
      </c>
      <c r="D37" s="217">
        <f>'数据-汇总表'!E3</f>
        <v>22928.349999999995</v>
      </c>
      <c r="E37" s="249">
        <f>'数据-取费表'!B35</f>
        <v>200</v>
      </c>
      <c r="F37" s="259"/>
      <c r="G37" s="261" t="s">
        <v>92</v>
      </c>
    </row>
    <row r="38" spans="1:7" ht="13.5" customHeight="1">
      <c r="A38" s="780" t="s">
        <v>354</v>
      </c>
      <c r="B38" s="215" t="s">
        <v>36</v>
      </c>
      <c r="C38" s="220">
        <f>ROUND(C34*F38,0)</f>
        <v>120</v>
      </c>
      <c r="D38" s="220"/>
      <c r="E38" s="220"/>
      <c r="F38" s="259">
        <f>'数据-取费表'!B36</f>
        <v>1.4999999999999999E-2</v>
      </c>
      <c r="G38" s="219" t="s">
        <v>90</v>
      </c>
    </row>
    <row r="39" spans="1:7" s="214" customFormat="1" ht="13.5" customHeight="1">
      <c r="A39" s="777" t="s">
        <v>338</v>
      </c>
      <c r="B39" s="210" t="s">
        <v>77</v>
      </c>
      <c r="C39" s="232">
        <f>ROUND(C33*F20,0)</f>
        <v>177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314</v>
      </c>
      <c r="D42" s="238"/>
      <c r="E42" s="238"/>
      <c r="F42" s="239"/>
      <c r="G42" s="3636" t="s">
        <v>94</v>
      </c>
    </row>
    <row r="43" spans="1:7" ht="13.5" customHeight="1">
      <c r="A43" s="780" t="s">
        <v>347</v>
      </c>
      <c r="B43" s="215" t="s">
        <v>426</v>
      </c>
      <c r="C43" s="238">
        <f ca="1">ROUND(IF('数据-取费表'!B22&lt;=1,C39*F22*'数据-取费表'!B21/2,C39*(POWER((1+F22),'数据-取费表'!B21/2)-1)),0)</f>
        <v>6</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1353</v>
      </c>
      <c r="D45" s="235">
        <f>C47</f>
        <v>3.0000000000000001E-3</v>
      </c>
      <c r="E45" s="236" t="s">
        <v>102</v>
      </c>
      <c r="F45" s="246"/>
      <c r="G45" s="247" t="s">
        <v>434</v>
      </c>
    </row>
    <row r="46" spans="1:7" s="214" customFormat="1" ht="13.5" customHeight="1">
      <c r="A46" s="780" t="s">
        <v>349</v>
      </c>
      <c r="B46" s="248" t="s">
        <v>427</v>
      </c>
      <c r="C46" s="249">
        <f>ROUND((C33+C39)*F27,0)</f>
        <v>1353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11588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8575</v>
      </c>
      <c r="D51" s="232"/>
      <c r="E51" s="232"/>
      <c r="F51" s="264"/>
      <c r="G51" s="234" t="s">
        <v>37</v>
      </c>
    </row>
    <row r="52" spans="1:7" s="208" customFormat="1" ht="16.5" thickBot="1">
      <c r="A52" s="265" t="s">
        <v>38</v>
      </c>
      <c r="B52" s="266"/>
      <c r="C52" s="267">
        <f ca="1">C31+C51</f>
        <v>37017</v>
      </c>
      <c r="D52" s="266"/>
      <c r="E52" s="266"/>
      <c r="F52" s="266"/>
      <c r="G52" s="268"/>
    </row>
    <row r="55" spans="1:7" ht="15">
      <c r="B55" s="270" t="s">
        <v>39</v>
      </c>
      <c r="C55" s="271"/>
    </row>
    <row r="56" spans="1:7">
      <c r="B56" s="273" t="s">
        <v>40</v>
      </c>
      <c r="C56" s="274">
        <f ca="1">ROUND(C51/C52,3)</f>
        <v>0.23200000000000001</v>
      </c>
    </row>
    <row r="57" spans="1:7">
      <c r="B57" s="273" t="s">
        <v>41</v>
      </c>
      <c r="C57" s="275">
        <f ca="1">1-C56</f>
        <v>0.76800000000000002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54966</v>
      </c>
      <c r="E5" s="1491"/>
    </row>
    <row r="6" spans="1:5" ht="15.75">
      <c r="A6" s="1491"/>
      <c r="B6" s="3455"/>
      <c r="C6" s="1494" t="s">
        <v>911</v>
      </c>
      <c r="D6" s="850" t="str">
        <f ca="1">NUMBERSTRING(INT(D5*10000),2)&amp;"元整"</f>
        <v>伍亿肆仟玖佰陆拾陆万元整</v>
      </c>
      <c r="E6" s="1491"/>
    </row>
    <row r="7" spans="1:5" ht="15.75">
      <c r="A7" s="1491"/>
      <c r="B7" s="3460"/>
      <c r="C7" s="1495" t="s">
        <v>912</v>
      </c>
      <c r="D7" s="851">
        <f ca="1">结果表!H102</f>
        <v>23973</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54966</v>
      </c>
      <c r="E13" s="1491"/>
    </row>
    <row r="14" spans="1:5" ht="15.75">
      <c r="A14" s="1491"/>
      <c r="B14" s="3455"/>
      <c r="C14" s="1494" t="s">
        <v>911</v>
      </c>
      <c r="D14" s="850" t="str">
        <f ca="1">NUMBERSTRING(INT(D13*10000),2)&amp;"元整"</f>
        <v>伍亿肆仟玖佰陆拾陆万元整</v>
      </c>
      <c r="E14" s="1491"/>
    </row>
    <row r="15" spans="1:5" ht="15">
      <c r="A15" s="1491"/>
      <c r="B15" s="3460"/>
      <c r="C15" s="1495" t="s">
        <v>921</v>
      </c>
      <c r="D15" s="859">
        <f ca="1">结果表!H108</f>
        <v>23973</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2845</v>
      </c>
      <c r="B1" s="3774"/>
      <c r="C1" s="3774"/>
      <c r="D1" s="3774"/>
      <c r="E1" s="3774"/>
      <c r="F1" s="3774"/>
      <c r="G1" s="377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3187</v>
      </c>
      <c r="B1" s="377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3238</v>
      </c>
      <c r="B1" s="3777"/>
      <c r="C1" s="3777"/>
      <c r="D1" s="3777"/>
      <c r="E1" s="3777"/>
      <c r="F1" s="377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45140</v>
      </c>
      <c r="B1" s="3210" t="s">
        <v>2844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9" t="s">
        <v>2832</v>
      </c>
      <c r="S21" s="3780"/>
      <c r="T21" s="3780"/>
      <c r="U21" s="3780"/>
      <c r="V21" s="3780"/>
      <c r="W21" s="3780"/>
      <c r="X21" s="3165"/>
      <c r="Y21" s="3779" t="s">
        <v>2833</v>
      </c>
      <c r="Z21" s="3780"/>
      <c r="AA21" s="3780"/>
      <c r="AB21" s="3780"/>
      <c r="AC21" s="3780"/>
      <c r="AD21" s="378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45140</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4" sqref="O14"/>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29517</v>
      </c>
      <c r="E4" s="854">
        <f ca="1">结果表!E118</f>
        <v>12874</v>
      </c>
      <c r="F4" s="854">
        <f ca="1">结果表!F118</f>
        <v>25449</v>
      </c>
      <c r="G4" s="854">
        <f ca="1">结果表!G118</f>
        <v>11099</v>
      </c>
      <c r="H4" s="854">
        <f ca="1">结果表!H118</f>
        <v>54966</v>
      </c>
      <c r="I4" s="854">
        <f ca="1">结果表!I118</f>
        <v>23973</v>
      </c>
    </row>
    <row r="5" spans="1:9" ht="30" customHeight="1">
      <c r="A5" s="3466" t="s">
        <v>927</v>
      </c>
      <c r="B5" s="3466"/>
      <c r="C5" s="3466"/>
      <c r="D5" s="3466" t="str">
        <f ca="1">结果表!D119</f>
        <v>贰亿玖仟伍佰壹拾柒万元整</v>
      </c>
      <c r="E5" s="3466"/>
      <c r="F5" s="3466" t="str">
        <f ca="1">结果表!F119</f>
        <v>贰亿伍仟肆佰肆拾玖万元整</v>
      </c>
      <c r="G5" s="3466"/>
      <c r="H5" s="3466" t="str">
        <f ca="1">结果表!H119</f>
        <v>伍亿肆仟玖佰陆拾陆万元整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54966</v>
      </c>
      <c r="E8" s="3467"/>
      <c r="F8" s="3467"/>
      <c r="G8" s="3467"/>
      <c r="H8" s="3467"/>
      <c r="I8" s="3467"/>
    </row>
    <row r="9" spans="1:9" ht="15">
      <c r="A9" s="3466" t="s">
        <v>927</v>
      </c>
      <c r="B9" s="3466"/>
      <c r="C9" s="3466"/>
      <c r="D9" s="3466" t="str">
        <f ca="1">结果表!D123</f>
        <v>伍亿肆仟玖佰陆拾陆万元整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2023-08-02T06:59:23Z</dcterms:modified>
</cp:coreProperties>
</file>