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车库抵押物清单" sheetId="78" state="hidden" r:id="rId14"/>
    <sheet name="面积" sheetId="81" r:id="rId15"/>
    <sheet name="抵押物清单汇总" sheetId="79" r:id="rId16"/>
    <sheet name="数据-汇总表" sheetId="6" r:id="rId17"/>
    <sheet name="数据-取费表" sheetId="1" r:id="rId18"/>
    <sheet name="估价对象房地状况" sheetId="20" state="hidden" r:id="rId19"/>
    <sheet name="系统读取表" sheetId="74" r:id="rId20"/>
    <sheet name="结果表" sheetId="9" r:id="rId21"/>
    <sheet name="成本法" sheetId="68" r:id="rId22"/>
    <sheet name="成本法 (元)" sheetId="69" state="hidden" r:id="rId23"/>
    <sheet name="假设开发法" sheetId="12" state="hidden" r:id="rId24"/>
    <sheet name="收益法-商业" sheetId="80" r:id="rId25"/>
    <sheet name="收益法" sheetId="15" r:id="rId26"/>
    <sheet name="收益法 (元)" sheetId="67" state="hidden" r:id="rId27"/>
    <sheet name="收益法-酒店模型" sheetId="77" state="hidden" r:id="rId28"/>
    <sheet name="收益法（汇总）" sheetId="70"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externalReferences>
    <externalReference r:id="rId49"/>
    <externalReference r:id="rId50"/>
    <externalReference r:id="rId51"/>
    <externalReference r:id="rId52"/>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1">成本法!$A$1:$G$57</definedName>
    <definedName name="_xlnm.Print_Area" localSheetId="22">'成本法 (元)'!$A$1:$G$57</definedName>
    <definedName name="_xlnm.Print_Area" localSheetId="18">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23">假设开发法!$A$1:$K$32</definedName>
    <definedName name="_xlnm.Print_Area" localSheetId="20">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4">'收益法-商业'!$A$1:$F$43,'收益法-商业'!$H$3:$M$29,'收益法-商业'!$A$46:$F$71,'收益法-商业'!$I$46:$N$65</definedName>
    <definedName name="_xlnm.Print_Area" localSheetId="16">'数据-汇总表'!$A$1:$P$32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9">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5" i="74" l="1"/>
  <c r="B15" i="74"/>
  <c r="D15" i="74" l="1"/>
  <c r="L70" i="81" l="1"/>
  <c r="L69" i="79"/>
  <c r="L68" i="79"/>
  <c r="H39" i="81"/>
  <c r="B8" i="70" l="1"/>
  <c r="J85" i="81"/>
  <c r="J84" i="81"/>
  <c r="I84" i="81"/>
  <c r="I85" i="81" s="1"/>
  <c r="H84" i="81"/>
  <c r="H85" i="81"/>
  <c r="H41" i="81"/>
  <c r="H75" i="81"/>
  <c r="H72" i="81"/>
  <c r="K75" i="81"/>
  <c r="K74" i="81"/>
  <c r="K73" i="81"/>
  <c r="K72" i="81"/>
  <c r="H74" i="81"/>
  <c r="H73" i="81"/>
  <c r="W24" i="1"/>
  <c r="W21" i="1"/>
  <c r="W22" i="1"/>
  <c r="W23" i="1"/>
  <c r="W20" i="1"/>
  <c r="K41" i="81"/>
  <c r="K40" i="81"/>
  <c r="K39" i="81"/>
  <c r="K38" i="81"/>
  <c r="A3" i="3"/>
  <c r="M13" i="3"/>
  <c r="G19" i="6" s="1"/>
  <c r="K13" i="3"/>
  <c r="I13" i="3"/>
  <c r="W25" i="1" l="1"/>
  <c r="V25" i="1" s="1"/>
  <c r="C6" i="68" l="1"/>
  <c r="L37" i="81" l="1"/>
  <c r="H38" i="81"/>
  <c r="H40" i="81"/>
  <c r="U6" i="1" l="1"/>
  <c r="V24" i="1"/>
  <c r="V23" i="1"/>
  <c r="V22" i="1"/>
  <c r="V21" i="1"/>
  <c r="G20" i="6"/>
  <c r="F19" i="6"/>
  <c r="Q72" i="80"/>
  <c r="Q59" i="80"/>
  <c r="K59" i="80"/>
  <c r="P74" i="80" s="1"/>
  <c r="F59" i="80"/>
  <c r="Q58" i="80"/>
  <c r="Q51" i="80"/>
  <c r="J50" i="80"/>
  <c r="J51" i="80" s="1"/>
  <c r="M47" i="80"/>
  <c r="D46" i="80"/>
  <c r="F34" i="80"/>
  <c r="F62" i="80" s="1"/>
  <c r="F33" i="80"/>
  <c r="F61" i="80" s="1"/>
  <c r="F32" i="80"/>
  <c r="F60" i="80" s="1"/>
  <c r="F31" i="80"/>
  <c r="F28" i="80"/>
  <c r="C28" i="80" s="1"/>
  <c r="F23" i="80"/>
  <c r="D23" i="80" s="1"/>
  <c r="F21" i="80"/>
  <c r="M20" i="80"/>
  <c r="F20" i="80"/>
  <c r="M19" i="80"/>
  <c r="M18" i="80"/>
  <c r="F18" i="80"/>
  <c r="M17" i="80"/>
  <c r="F17" i="80"/>
  <c r="F15" i="80"/>
  <c r="L66" i="79"/>
  <c r="L65" i="79"/>
  <c r="L64" i="79"/>
  <c r="D24" i="80" l="1"/>
  <c r="P61" i="80"/>
  <c r="D22" i="80"/>
  <c r="N19" i="1" l="1"/>
  <c r="N20" i="1" s="1"/>
  <c r="N18" i="1"/>
  <c r="L7" i="78"/>
  <c r="D3" i="4"/>
  <c r="N7" i="1" l="1"/>
  <c r="Y7" i="1" s="1"/>
  <c r="N6" i="1"/>
  <c r="Y6" i="1" s="1"/>
  <c r="G15" i="73"/>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G9" i="1" s="1"/>
  <c r="D10" i="1"/>
  <c r="D11" i="1"/>
  <c r="D12" i="1"/>
  <c r="D13" i="1"/>
  <c r="G13" i="1" s="1"/>
  <c r="D7" i="1"/>
  <c r="D8" i="1"/>
  <c r="A7" i="1"/>
  <c r="A8" i="1"/>
  <c r="B8" i="1"/>
  <c r="E8" i="1"/>
  <c r="A9" i="1"/>
  <c r="A10" i="1"/>
  <c r="A11" i="1"/>
  <c r="A12" i="1"/>
  <c r="A13" i="1"/>
  <c r="A6" i="1"/>
  <c r="G1" i="80" s="1"/>
  <c r="F3" i="35"/>
  <c r="B11" i="1"/>
  <c r="E11" i="1" s="1"/>
  <c r="B7" i="1"/>
  <c r="E7" i="1" s="1"/>
  <c r="K10" i="1"/>
  <c r="M10" i="1" s="1"/>
  <c r="O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s="1"/>
  <c r="C59" i="40" s="1"/>
  <c r="H58" i="40"/>
  <c r="I58" i="40" s="1"/>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1" i="1"/>
  <c r="I15" i="4"/>
  <c r="H15" i="4"/>
  <c r="G15" i="4"/>
  <c r="E15" i="4"/>
  <c r="D15" i="4"/>
  <c r="F7" i="1"/>
  <c r="G7" i="1" s="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7" i="12" s="1"/>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A12" i="52"/>
  <c r="B56" i="72"/>
  <c r="S11" i="39"/>
  <c r="G4" i="4"/>
  <c r="I4" i="4"/>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E15" i="6" s="1"/>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s="1"/>
  <c r="F31" i="6" s="1"/>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E12" i="6"/>
  <c r="K6" i="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S10" i="1"/>
  <c r="AQ10" i="1" s="1"/>
  <c r="R10" i="1"/>
  <c r="B10" i="1"/>
  <c r="E10" i="1" s="1"/>
  <c r="AZ80" i="3"/>
  <c r="AZ84" i="3"/>
  <c r="AZ88" i="3"/>
  <c r="AZ107" i="3"/>
  <c r="AZ111" i="3"/>
  <c r="K12" i="1"/>
  <c r="M12" i="1" s="1"/>
  <c r="S13" i="1"/>
  <c r="AR13" i="1" s="1"/>
  <c r="R13" i="1"/>
  <c r="S11" i="1"/>
  <c r="AQ11" i="1" s="1"/>
  <c r="R11" i="1"/>
  <c r="S9" i="1"/>
  <c r="AR9" i="1" s="1"/>
  <c r="R9" i="1"/>
  <c r="J51" i="67"/>
  <c r="C42" i="1"/>
  <c r="H100" i="43"/>
  <c r="AC34" i="33"/>
  <c r="AA34" i="33"/>
  <c r="B41" i="1"/>
  <c r="F48" i="9" s="1"/>
  <c r="O52" i="9" s="1"/>
  <c r="F53" i="9"/>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G5" i="3"/>
  <c r="B3" i="3" s="1"/>
  <c r="BA13" i="3"/>
  <c r="E10" i="6"/>
  <c r="BA5" i="3"/>
  <c r="E11" i="6"/>
  <c r="E60" i="39" s="1"/>
  <c r="BL17" i="3"/>
  <c r="AZ17" i="3"/>
  <c r="BL13" i="3"/>
  <c r="BL5" i="3" s="1"/>
  <c r="G30" i="6"/>
  <c r="J56" i="9"/>
  <c r="J57" i="9" s="1"/>
  <c r="J59" i="9" s="1"/>
  <c r="J61" i="9" s="1"/>
  <c r="A24" i="51"/>
  <c r="B18" i="72"/>
  <c r="U29" i="34"/>
  <c r="E14" i="6"/>
  <c r="E63" i="39" s="1"/>
  <c r="E5" i="6"/>
  <c r="D9" i="11" s="1"/>
  <c r="C9" i="11" s="1"/>
  <c r="E32" i="6"/>
  <c r="L19" i="6"/>
  <c r="G1" i="68"/>
  <c r="K1" i="12"/>
  <c r="F30" i="6"/>
  <c r="E28" i="6"/>
  <c r="E57" i="40"/>
  <c r="AR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C46" i="36"/>
  <c r="D46" i="36" s="1"/>
  <c r="C59" i="34"/>
  <c r="D59" i="34" s="1"/>
  <c r="E59" i="34" s="1"/>
  <c r="F59" i="34" s="1"/>
  <c r="G59" i="34" s="1"/>
  <c r="H59" i="34" s="1"/>
  <c r="C52" i="37"/>
  <c r="D52" i="37" s="1"/>
  <c r="A4" i="51"/>
  <c r="B6" i="72" s="1"/>
  <c r="C48" i="35"/>
  <c r="D48" i="35" s="1"/>
  <c r="C4" i="12"/>
  <c r="H66" i="43"/>
  <c r="H65" i="43"/>
  <c r="H64" i="43"/>
  <c r="H63" i="43"/>
  <c r="H55" i="43"/>
  <c r="H56" i="43"/>
  <c r="H72" i="43"/>
  <c r="L20" i="6"/>
  <c r="E61" i="39"/>
  <c r="E56" i="39"/>
  <c r="E51" i="40"/>
  <c r="B6" i="1"/>
  <c r="E6" i="1" s="1"/>
  <c r="S8" i="1"/>
  <c r="AQ8" i="1" s="1"/>
  <c r="K11" i="1"/>
  <c r="M11" i="1" s="1"/>
  <c r="O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Z13" i="3"/>
  <c r="AZ5" i="3" s="1"/>
  <c r="F30" i="68"/>
  <c r="F48" i="68" s="1"/>
  <c r="F30" i="11"/>
  <c r="C48" i="11" s="1"/>
  <c r="F28" i="67"/>
  <c r="F31" i="12"/>
  <c r="F52" i="9"/>
  <c r="M18" i="67"/>
  <c r="F32" i="67"/>
  <c r="F60" i="67" s="1"/>
  <c r="F30" i="69"/>
  <c r="F48" i="69" s="1"/>
  <c r="F32" i="15"/>
  <c r="F60" i="15" s="1"/>
  <c r="M18" i="15"/>
  <c r="F28" i="15"/>
  <c r="AQ9" i="1"/>
  <c r="E59" i="40"/>
  <c r="E30" i="6"/>
  <c r="K15" i="1"/>
  <c r="T13" i="1"/>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A6" i="3"/>
  <c r="E567" i="3"/>
  <c r="X6" i="3"/>
  <c r="E510" i="3"/>
  <c r="E399" i="3"/>
  <c r="E461" i="3"/>
  <c r="E336" i="3"/>
  <c r="E352" i="3"/>
  <c r="E280" i="3"/>
  <c r="E227" i="3"/>
  <c r="E246" i="3"/>
  <c r="E205" i="3"/>
  <c r="E124" i="3"/>
  <c r="E165" i="3"/>
  <c r="E293" i="3"/>
  <c r="E128" i="3"/>
  <c r="K14" i="1"/>
  <c r="M14" i="1" s="1"/>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R22" i="31"/>
  <c r="L27" i="6"/>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P7" i="1"/>
  <c r="AC11" i="37"/>
  <c r="W11" i="37"/>
  <c r="W11" i="34"/>
  <c r="AC11" i="34"/>
  <c r="F34" i="11"/>
  <c r="C36" i="11" s="1"/>
  <c r="F11" i="12"/>
  <c r="C23" i="12" s="1"/>
  <c r="F34" i="68"/>
  <c r="R8" i="1"/>
  <c r="AE8" i="1"/>
  <c r="AG6" i="1"/>
  <c r="H109" i="9"/>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C13" i="12"/>
  <c r="C30" i="69"/>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C24" i="12"/>
  <c r="C48" i="68"/>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I59" i="34"/>
  <c r="J59" i="34" s="1"/>
  <c r="D15" i="71"/>
  <c r="T17" i="71"/>
  <c r="D16" i="71"/>
  <c r="D17" i="71"/>
  <c r="U17" i="71"/>
  <c r="F8" i="80"/>
  <c r="F13" i="80"/>
  <c r="F7" i="67"/>
  <c r="D2" i="34"/>
  <c r="D7" i="73"/>
  <c r="M8" i="15"/>
  <c r="F37" i="15"/>
  <c r="F35" i="67"/>
  <c r="M9" i="80"/>
  <c r="F38" i="67"/>
  <c r="F6" i="67"/>
  <c r="E9" i="76"/>
  <c r="D2" i="37"/>
  <c r="M29" i="15"/>
  <c r="E10" i="76"/>
  <c r="F6" i="80"/>
  <c r="F9" i="80"/>
  <c r="B7" i="76"/>
  <c r="M8" i="67"/>
  <c r="M28" i="67"/>
  <c r="F38" i="15"/>
  <c r="B12" i="76"/>
  <c r="C76" i="67"/>
  <c r="F26" i="80"/>
  <c r="C76" i="80"/>
  <c r="E7" i="76"/>
  <c r="F20" i="31"/>
  <c r="D4" i="73"/>
  <c r="F13" i="15"/>
  <c r="M22" i="67"/>
  <c r="F42" i="15"/>
  <c r="F7" i="80"/>
  <c r="F5" i="73"/>
  <c r="F4" i="73"/>
  <c r="J15" i="67"/>
  <c r="M27" i="15"/>
  <c r="E2" i="69"/>
  <c r="F7" i="15"/>
  <c r="F6" i="15"/>
  <c r="AO12" i="1"/>
  <c r="F16" i="67"/>
  <c r="AO9" i="1"/>
  <c r="F8" i="67"/>
  <c r="M29" i="67"/>
  <c r="F43" i="80"/>
  <c r="M26" i="67"/>
  <c r="D5" i="73"/>
  <c r="F9" i="15"/>
  <c r="M28" i="80"/>
  <c r="D2" i="36"/>
  <c r="M24" i="67"/>
  <c r="J15" i="80"/>
  <c r="F36" i="15"/>
  <c r="D3" i="73"/>
  <c r="F38" i="80"/>
  <c r="F40" i="67"/>
  <c r="M9" i="15"/>
  <c r="M23" i="67"/>
  <c r="M22" i="80"/>
  <c r="B13" i="76"/>
  <c r="AO10" i="1"/>
  <c r="D2" i="35"/>
  <c r="M27" i="80"/>
  <c r="L48" i="67"/>
  <c r="F40" i="15"/>
  <c r="AO13" i="1"/>
  <c r="M6" i="15"/>
  <c r="C76" i="15"/>
  <c r="F8" i="15"/>
  <c r="F36" i="80"/>
  <c r="F42" i="80"/>
  <c r="M21" i="67"/>
  <c r="E2" i="68"/>
  <c r="F6" i="73"/>
  <c r="E11" i="76"/>
  <c r="M6" i="67"/>
  <c r="M9" i="67"/>
  <c r="F40" i="80"/>
  <c r="M29" i="80"/>
  <c r="E13" i="76"/>
  <c r="F37" i="67"/>
  <c r="M22" i="15"/>
  <c r="F3" i="73"/>
  <c r="F41" i="67"/>
  <c r="F16" i="15"/>
  <c r="M23" i="80"/>
  <c r="B8" i="76"/>
  <c r="L47" i="15"/>
  <c r="M27" i="67"/>
  <c r="F42" i="67"/>
  <c r="B10" i="76"/>
  <c r="D2" i="33"/>
  <c r="F16" i="80"/>
  <c r="M28" i="15"/>
  <c r="F7" i="73"/>
  <c r="B9" i="76"/>
  <c r="F43" i="67"/>
  <c r="F37" i="80"/>
  <c r="J15" i="15"/>
  <c r="M24" i="15"/>
  <c r="D6" i="73"/>
  <c r="M8" i="80"/>
  <c r="F9" i="67"/>
  <c r="E8" i="76"/>
  <c r="L47" i="67"/>
  <c r="L48" i="80"/>
  <c r="F26" i="15"/>
  <c r="L48" i="15"/>
  <c r="F43" i="15"/>
  <c r="M26" i="80"/>
  <c r="F26" i="67"/>
  <c r="F36" i="67"/>
  <c r="M24" i="80"/>
  <c r="E12" i="76"/>
  <c r="AO11" i="1"/>
  <c r="M23" i="15"/>
  <c r="L47" i="80"/>
  <c r="AO8" i="1"/>
  <c r="B11" i="76"/>
  <c r="M6" i="80"/>
  <c r="M26" i="15"/>
  <c r="F13" i="67"/>
  <c r="D2" i="21"/>
  <c r="E60" i="40" l="1"/>
  <c r="E64" i="39"/>
  <c r="E13" i="6"/>
  <c r="AR8" i="1"/>
  <c r="T8" i="1"/>
  <c r="Q71" i="80"/>
  <c r="N59" i="80"/>
  <c r="L58" i="80"/>
  <c r="L59" i="80"/>
  <c r="M59" i="80"/>
  <c r="F65" i="80"/>
  <c r="L56" i="80"/>
  <c r="L60" i="80"/>
  <c r="J60" i="80"/>
  <c r="Q48" i="80" s="1"/>
  <c r="J57" i="80"/>
  <c r="J55" i="80" s="1"/>
  <c r="J58" i="80" s="1"/>
  <c r="Q50" i="80" s="1"/>
  <c r="L57" i="80"/>
  <c r="I54" i="80"/>
  <c r="J59" i="80"/>
  <c r="J53" i="80"/>
  <c r="L46" i="80"/>
  <c r="F68" i="80"/>
  <c r="F51" i="80"/>
  <c r="C27" i="80"/>
  <c r="F66" i="80"/>
  <c r="F64" i="80"/>
  <c r="C6" i="80"/>
  <c r="M7" i="80"/>
  <c r="J6" i="80" s="1"/>
  <c r="J18" i="80" s="1"/>
  <c r="F50" i="80"/>
  <c r="C49" i="80" s="1"/>
  <c r="F71" i="80"/>
  <c r="F22" i="43"/>
  <c r="K101" i="43"/>
  <c r="K105" i="43" s="1"/>
  <c r="N101" i="43"/>
  <c r="G101" i="43"/>
  <c r="G109" i="43" s="1"/>
  <c r="J101" i="43"/>
  <c r="H22" i="43"/>
  <c r="H101" i="43"/>
  <c r="M101" i="43"/>
  <c r="M105" i="43" s="1"/>
  <c r="E101" i="43"/>
  <c r="AH11" i="43"/>
  <c r="AH13" i="43" s="1"/>
  <c r="AD11" i="43"/>
  <c r="AD13" i="43" s="1"/>
  <c r="Z11" i="43"/>
  <c r="Z13" i="43" s="1"/>
  <c r="AG11" i="43"/>
  <c r="AG13" i="43" s="1"/>
  <c r="AC11" i="43"/>
  <c r="AC13" i="43" s="1"/>
  <c r="Y11" i="43"/>
  <c r="Y13" i="43" s="1"/>
  <c r="B113" i="43"/>
  <c r="I117" i="43" s="1"/>
  <c r="J117" i="43" s="1"/>
  <c r="K117" i="43" s="1"/>
  <c r="L117" i="43" s="1"/>
  <c r="M117" i="43" s="1"/>
  <c r="F101" i="43"/>
  <c r="E22" i="43"/>
  <c r="C101" i="43"/>
  <c r="N104" i="46"/>
  <c r="L101" i="43"/>
  <c r="D101" i="43"/>
  <c r="D105" i="43" s="1"/>
  <c r="I101" i="43"/>
  <c r="G22" i="43"/>
  <c r="D22" i="43" s="1"/>
  <c r="AJ11" i="43"/>
  <c r="AJ13" i="43" s="1"/>
  <c r="AF11" i="43"/>
  <c r="AF13" i="43" s="1"/>
  <c r="AB11" i="43"/>
  <c r="AB13" i="43" s="1"/>
  <c r="Z7" i="43"/>
  <c r="AI11" i="43"/>
  <c r="AI13" i="43" s="1"/>
  <c r="AE11" i="43"/>
  <c r="AE13" i="43" s="1"/>
  <c r="AA11" i="43"/>
  <c r="AA13" i="43" s="1"/>
  <c r="J22" i="43"/>
  <c r="M6" i="1"/>
  <c r="M16" i="1" s="1"/>
  <c r="C34" i="68" s="1"/>
  <c r="K5" i="4"/>
  <c r="B47" i="48" s="1"/>
  <c r="C34" i="69"/>
  <c r="C35" i="69" s="1"/>
  <c r="H16" i="1"/>
  <c r="T9" i="1"/>
  <c r="AR11" i="1"/>
  <c r="T11" i="1"/>
  <c r="AQ13" i="1"/>
  <c r="C94" i="9"/>
  <c r="C92" i="9"/>
  <c r="C31" i="12"/>
  <c r="C30" i="11"/>
  <c r="C28" i="15"/>
  <c r="C48" i="69"/>
  <c r="C21" i="69"/>
  <c r="D22" i="67"/>
  <c r="P61" i="15"/>
  <c r="C20" i="43"/>
  <c r="L103" i="43"/>
  <c r="L107" i="43"/>
  <c r="L106" i="43"/>
  <c r="D102" i="43"/>
  <c r="I105" i="43"/>
  <c r="I107" i="43"/>
  <c r="I104" i="43"/>
  <c r="I115" i="43"/>
  <c r="J115" i="43" s="1"/>
  <c r="K115" i="43" s="1"/>
  <c r="L115" i="43" s="1"/>
  <c r="M115" i="43" s="1"/>
  <c r="Q16" i="1"/>
  <c r="E109" i="43"/>
  <c r="H105" i="43"/>
  <c r="H106" i="43"/>
  <c r="E105" i="43"/>
  <c r="E107" i="43"/>
  <c r="J109" i="43"/>
  <c r="N104" i="43"/>
  <c r="C103" i="43"/>
  <c r="C107" i="43"/>
  <c r="J102" i="43"/>
  <c r="J107" i="43"/>
  <c r="N105" i="43"/>
  <c r="P10" i="1"/>
  <c r="J105" i="43"/>
  <c r="G31" i="6"/>
  <c r="E27" i="6"/>
  <c r="K24" i="6" s="1"/>
  <c r="M24" i="6" s="1"/>
  <c r="I24" i="6" s="1"/>
  <c r="S24"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D9" i="69"/>
  <c r="C9" i="69" s="1"/>
  <c r="D9" i="68"/>
  <c r="C9" i="68" s="1"/>
  <c r="D19" i="12"/>
  <c r="C19" i="12" s="1"/>
  <c r="O14" i="1"/>
  <c r="P14" i="1" s="1"/>
  <c r="C36" i="69"/>
  <c r="AY6" i="3"/>
  <c r="E3" i="6"/>
  <c r="O9" i="1"/>
  <c r="P9" i="1" s="1"/>
  <c r="O8" i="1"/>
  <c r="P8" i="1" s="1"/>
  <c r="P11" i="1"/>
  <c r="O12" i="1"/>
  <c r="P12" i="1" s="1"/>
  <c r="K16" i="1"/>
  <c r="E16" i="6"/>
  <c r="E56" i="40"/>
  <c r="T35" i="4"/>
  <c r="A19" i="51" s="1"/>
  <c r="B14" i="72" s="1"/>
  <c r="A15" i="62"/>
  <c r="B61" i="72" s="1"/>
  <c r="D12" i="52"/>
  <c r="D127" i="9"/>
  <c r="D13" i="52" s="1"/>
  <c r="Y5" i="71"/>
  <c r="Z5" i="71" s="1"/>
  <c r="X5" i="71"/>
  <c r="AA5" i="71"/>
  <c r="AB5" i="7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17" i="67"/>
  <c r="G1" i="73"/>
  <c r="C16" i="80"/>
  <c r="C14" i="67"/>
  <c r="C16" i="15"/>
  <c r="C16" i="67"/>
  <c r="G106" i="43" l="1"/>
  <c r="G107" i="43"/>
  <c r="K109" i="43"/>
  <c r="K102" i="43"/>
  <c r="G104" i="43"/>
  <c r="E58" i="40"/>
  <c r="E62" i="39"/>
  <c r="E65" i="39" s="1"/>
  <c r="G118" i="43"/>
  <c r="H118" i="43" s="1"/>
  <c r="K26" i="6"/>
  <c r="M26" i="6" s="1"/>
  <c r="I26" i="6" s="1"/>
  <c r="S26" i="6" s="1"/>
  <c r="I116" i="43"/>
  <c r="J116" i="43" s="1"/>
  <c r="K116" i="43" s="1"/>
  <c r="L116" i="43" s="1"/>
  <c r="M116" i="43" s="1"/>
  <c r="K20" i="6"/>
  <c r="S7" i="1" s="1"/>
  <c r="E7" i="70" s="1"/>
  <c r="B118" i="43"/>
  <c r="C118" i="43" s="1"/>
  <c r="M107" i="43"/>
  <c r="D116" i="43"/>
  <c r="E116" i="43" s="1"/>
  <c r="F116" i="43" s="1"/>
  <c r="G116" i="43" s="1"/>
  <c r="H116" i="43" s="1"/>
  <c r="B116" i="43"/>
  <c r="C116" i="43" s="1"/>
  <c r="M104" i="43"/>
  <c r="M20" i="6"/>
  <c r="I20" i="6" s="1"/>
  <c r="S20" i="6" s="1"/>
  <c r="C38" i="69"/>
  <c r="F1" i="80"/>
  <c r="Q52" i="80"/>
  <c r="Q66" i="80"/>
  <c r="Q57" i="80"/>
  <c r="Q61" i="80"/>
  <c r="Q74" i="80"/>
  <c r="Q60" i="80"/>
  <c r="Q73" i="80"/>
  <c r="H6" i="3"/>
  <c r="AC6" i="3"/>
  <c r="K19" i="6"/>
  <c r="S6" i="1" s="1"/>
  <c r="E6" i="70" s="1"/>
  <c r="E2" i="70" s="1"/>
  <c r="D109" i="43"/>
  <c r="D103" i="43"/>
  <c r="D107" i="43"/>
  <c r="D104" i="43"/>
  <c r="D106" i="43"/>
  <c r="O6" i="1"/>
  <c r="P6" i="1" s="1"/>
  <c r="P16" i="1" s="1"/>
  <c r="C11" i="12" s="1"/>
  <c r="I109" i="43"/>
  <c r="I106" i="43"/>
  <c r="I102" i="43"/>
  <c r="I103" i="43"/>
  <c r="L109" i="43"/>
  <c r="L105" i="43"/>
  <c r="L102" i="43"/>
  <c r="L104" i="43"/>
  <c r="C104" i="43"/>
  <c r="C106" i="43"/>
  <c r="C105" i="43"/>
  <c r="C102" i="43"/>
  <c r="C109" i="43"/>
  <c r="F104" i="43"/>
  <c r="F102" i="43"/>
  <c r="F103" i="43"/>
  <c r="F109" i="43"/>
  <c r="F107" i="43"/>
  <c r="F106" i="43"/>
  <c r="F105" i="43"/>
  <c r="M109" i="43"/>
  <c r="M102" i="43"/>
  <c r="M103" i="43"/>
  <c r="M106" i="43"/>
  <c r="G105" i="43"/>
  <c r="G102" i="43"/>
  <c r="G103" i="43"/>
  <c r="K103" i="43"/>
  <c r="K104" i="43"/>
  <c r="K107" i="43"/>
  <c r="K106" i="43"/>
  <c r="B115" i="43"/>
  <c r="I118" i="43"/>
  <c r="J118" i="43" s="1"/>
  <c r="K118" i="43" s="1"/>
  <c r="L118" i="43" s="1"/>
  <c r="M118" i="43" s="1"/>
  <c r="D115" i="43"/>
  <c r="E115" i="43" s="1"/>
  <c r="F115" i="43" s="1"/>
  <c r="G115" i="43" s="1"/>
  <c r="H115" i="43" s="1"/>
  <c r="D117" i="43"/>
  <c r="E117" i="43" s="1"/>
  <c r="F117" i="43" s="1"/>
  <c r="G117" i="43" s="1"/>
  <c r="H117" i="43" s="1"/>
  <c r="D118" i="43"/>
  <c r="E118" i="43" s="1"/>
  <c r="F118" i="43" s="1"/>
  <c r="B117" i="43"/>
  <c r="C117" i="43" s="1"/>
  <c r="E104" i="43"/>
  <c r="E106" i="43"/>
  <c r="E102" i="43"/>
  <c r="E103" i="43"/>
  <c r="H107" i="43"/>
  <c r="H103" i="43"/>
  <c r="H109" i="43"/>
  <c r="H102" i="43"/>
  <c r="H104" i="43"/>
  <c r="J104" i="43"/>
  <c r="J103" i="43"/>
  <c r="J106" i="43"/>
  <c r="N102" i="43"/>
  <c r="N103" i="43"/>
  <c r="N106" i="43"/>
  <c r="N107" i="43"/>
  <c r="N109" i="43"/>
  <c r="C33" i="80"/>
  <c r="C32" i="80"/>
  <c r="F11" i="80"/>
  <c r="M11" i="80"/>
  <c r="J10" i="80" s="1"/>
  <c r="J5" i="80" s="1"/>
  <c r="E31" i="6"/>
  <c r="K21" i="6"/>
  <c r="M21" i="6" s="1"/>
  <c r="I21" i="6" s="1"/>
  <c r="S21" i="6" s="1"/>
  <c r="K22" i="6"/>
  <c r="M22" i="6" s="1"/>
  <c r="I22" i="6" s="1"/>
  <c r="S22" i="6" s="1"/>
  <c r="K25" i="6"/>
  <c r="M25" i="6" s="1"/>
  <c r="I25" i="6" s="1"/>
  <c r="S25" i="6" s="1"/>
  <c r="K23" i="6"/>
  <c r="M23" i="6" s="1"/>
  <c r="I23" i="6" s="1"/>
  <c r="S23" i="6" s="1"/>
  <c r="F27" i="69"/>
  <c r="F28" i="12"/>
  <c r="C29" i="12" s="1"/>
  <c r="D28" i="12" s="1"/>
  <c r="F27" i="11"/>
  <c r="F27" i="68"/>
  <c r="C38" i="68"/>
  <c r="C35" i="68"/>
  <c r="C34" i="11"/>
  <c r="L16" i="1"/>
  <c r="N16" i="1"/>
  <c r="D3" i="34"/>
  <c r="D3" i="33"/>
  <c r="D19" i="11"/>
  <c r="C19" i="11" s="1"/>
  <c r="C17" i="4"/>
  <c r="B4" i="52" s="1"/>
  <c r="B43" i="72" s="1"/>
  <c r="L18" i="9"/>
  <c r="D3" i="21"/>
  <c r="E6" i="6"/>
  <c r="D14" i="12"/>
  <c r="M18" i="9"/>
  <c r="B118" i="9" s="1"/>
  <c r="B14" i="74" s="1"/>
  <c r="B1" i="74" s="1"/>
  <c r="D37" i="11"/>
  <c r="C37" i="11" s="1"/>
  <c r="D3" i="37"/>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J10" i="40"/>
  <c r="W10" i="40" s="1"/>
  <c r="H10" i="39"/>
  <c r="AB10" i="39" s="1"/>
  <c r="F10" i="40"/>
  <c r="AA10" i="40" s="1"/>
  <c r="J10" i="39"/>
  <c r="AC10" i="39" s="1"/>
  <c r="H10" i="40"/>
  <c r="AB10" i="40"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F24" i="80" s="1"/>
  <c r="U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7" i="80"/>
  <c r="AE7" i="1"/>
  <c r="C17" i="15"/>
  <c r="AC10" i="40" l="1"/>
  <c r="U10" i="39"/>
  <c r="W10" i="39"/>
  <c r="M19" i="6"/>
  <c r="M27" i="6" s="1"/>
  <c r="S5" i="43"/>
  <c r="T5" i="43" s="1"/>
  <c r="V5" i="43" s="1"/>
  <c r="S4" i="43"/>
  <c r="T4" i="43" s="1"/>
  <c r="V4" i="43" s="1"/>
  <c r="C23" i="43"/>
  <c r="C21" i="43" s="1"/>
  <c r="C29" i="43" s="1"/>
  <c r="C30" i="43" s="1"/>
  <c r="E30" i="43" s="1"/>
  <c r="S2" i="43"/>
  <c r="T2" i="43" s="1"/>
  <c r="V2" i="43" s="1"/>
  <c r="S6" i="43"/>
  <c r="T6" i="43" s="1"/>
  <c r="V6" i="43" s="1"/>
  <c r="S7" i="43"/>
  <c r="T7" i="43" s="1"/>
  <c r="V7" i="43" s="1"/>
  <c r="S3" i="43"/>
  <c r="T3" i="43" s="1"/>
  <c r="V3" i="43" s="1"/>
  <c r="E6" i="3"/>
  <c r="AR7" i="1"/>
  <c r="T7" i="1"/>
  <c r="AQ7" i="1"/>
  <c r="S10" i="40"/>
  <c r="T6" i="1"/>
  <c r="K27" i="6"/>
  <c r="O16" i="1"/>
  <c r="AR6" i="1"/>
  <c r="AQ6" i="1"/>
  <c r="S16" i="1"/>
  <c r="C115" i="43"/>
  <c r="D113" i="43" s="1"/>
  <c r="J26" i="80"/>
  <c r="J24" i="80"/>
  <c r="C24" i="80"/>
  <c r="C53" i="80"/>
  <c r="C48" i="80" s="1"/>
  <c r="C10" i="80"/>
  <c r="C5" i="80" s="1"/>
  <c r="C47" i="11"/>
  <c r="D45" i="11" s="1"/>
  <c r="C29" i="11"/>
  <c r="D27" i="11" s="1"/>
  <c r="C47" i="69"/>
  <c r="D45" i="69" s="1"/>
  <c r="C29" i="69"/>
  <c r="D27" i="69" s="1"/>
  <c r="F45" i="69"/>
  <c r="C29" i="68"/>
  <c r="D27" i="68" s="1"/>
  <c r="F45" i="68"/>
  <c r="C47" i="68"/>
  <c r="D45" i="68" s="1"/>
  <c r="F50" i="11"/>
  <c r="F50" i="68"/>
  <c r="F50" i="69"/>
  <c r="C38" i="11"/>
  <c r="C35" i="11"/>
  <c r="D19" i="6"/>
  <c r="D26" i="6"/>
  <c r="C18" i="4"/>
  <c r="D8" i="6"/>
  <c r="D23" i="6"/>
  <c r="D14" i="6"/>
  <c r="D5" i="6"/>
  <c r="D12" i="6"/>
  <c r="D11" i="6"/>
  <c r="D13" i="6"/>
  <c r="D28" i="6"/>
  <c r="E61" i="40"/>
  <c r="H23" i="6"/>
  <c r="H26" i="6"/>
  <c r="H20" i="6"/>
  <c r="M19" i="9"/>
  <c r="C118" i="9" s="1"/>
  <c r="C14" i="74" s="1"/>
  <c r="B2" i="74" s="1"/>
  <c r="D25" i="6"/>
  <c r="D15" i="6"/>
  <c r="D22" i="6"/>
  <c r="D21" i="6"/>
  <c r="D24" i="6"/>
  <c r="D20" i="6"/>
  <c r="D6" i="6"/>
  <c r="D9" i="6"/>
  <c r="D10" i="6"/>
  <c r="L19" i="9"/>
  <c r="D29" i="6"/>
  <c r="H25" i="6"/>
  <c r="H22" i="6"/>
  <c r="H21" i="6"/>
  <c r="H24" i="6"/>
  <c r="C15" i="12"/>
  <c r="C12" i="12"/>
  <c r="D17" i="12"/>
  <c r="C17" i="12" s="1"/>
  <c r="C14" i="12"/>
  <c r="C8" i="74"/>
  <c r="C7" i="74"/>
  <c r="D10" i="11"/>
  <c r="C10" i="11" s="1"/>
  <c r="D20" i="12"/>
  <c r="C20" i="12" s="1"/>
  <c r="D10" i="69"/>
  <c r="D10" i="68"/>
  <c r="C20" i="11"/>
  <c r="C28" i="11" s="1"/>
  <c r="C27" i="11" s="1"/>
  <c r="I19" i="6"/>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80"/>
  <c r="C14" i="80"/>
  <c r="F41" i="15"/>
  <c r="C14" i="15"/>
  <c r="F69" i="80" l="1"/>
  <c r="J29" i="80"/>
  <c r="C18" i="80"/>
  <c r="C15" i="80"/>
  <c r="C18" i="15"/>
  <c r="C15" i="15"/>
  <c r="T16" i="1"/>
  <c r="C38" i="80"/>
  <c r="C66" i="80"/>
  <c r="C60" i="80"/>
  <c r="F69" i="15"/>
  <c r="J29" i="15"/>
  <c r="R20" i="6"/>
  <c r="R7" i="1" s="1"/>
  <c r="D30" i="6"/>
  <c r="D16" i="6"/>
  <c r="C33" i="11"/>
  <c r="C39" i="11" s="1"/>
  <c r="C46" i="11" s="1"/>
  <c r="C45" i="11" s="1"/>
  <c r="S19" i="6"/>
  <c r="S27" i="6" s="1"/>
  <c r="I27" i="6"/>
  <c r="C10" i="69"/>
  <c r="C8" i="69" s="1"/>
  <c r="C5" i="69" s="1"/>
  <c r="C23" i="69" s="1"/>
  <c r="D19" i="69"/>
  <c r="R24" i="6"/>
  <c r="R22" i="6"/>
  <c r="R25" i="6"/>
  <c r="R26" i="6"/>
  <c r="C10" i="68"/>
  <c r="D19" i="68"/>
  <c r="C16" i="12"/>
  <c r="R21" i="6"/>
  <c r="D8" i="74"/>
  <c r="D7" i="74"/>
  <c r="H19" i="6"/>
  <c r="H27" i="6" s="1"/>
  <c r="R23" i="6"/>
  <c r="A7" i="51"/>
  <c r="B7" i="72" s="1"/>
  <c r="C4" i="52"/>
  <c r="B45" i="72" s="1"/>
  <c r="A10" i="51"/>
  <c r="B9" i="72" s="1"/>
  <c r="D27" i="6"/>
  <c r="D31" i="6"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B6" i="76"/>
  <c r="E6" i="76"/>
  <c r="C19" i="15" l="1"/>
  <c r="C20" i="15" s="1"/>
  <c r="C26" i="15" s="1"/>
  <c r="C19" i="80"/>
  <c r="C20" i="80" s="1"/>
  <c r="B29" i="1"/>
  <c r="C8" i="68" s="1"/>
  <c r="R19" i="6"/>
  <c r="R6" i="1" s="1"/>
  <c r="C43" i="11"/>
  <c r="R27" i="6"/>
  <c r="C42" i="11"/>
  <c r="C19" i="68"/>
  <c r="D37" i="68"/>
  <c r="C37" i="68" s="1"/>
  <c r="C33" i="68" s="1"/>
  <c r="C19" i="69"/>
  <c r="C24" i="69" s="1"/>
  <c r="D37" i="69"/>
  <c r="C37" i="69" s="1"/>
  <c r="C33" i="69" s="1"/>
  <c r="I6" i="6"/>
  <c r="I5"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1" i="11" s="1"/>
  <c r="C36" i="67"/>
  <c r="C33" i="67"/>
  <c r="C31" i="67" s="1"/>
  <c r="J14" i="67"/>
  <c r="C13" i="67"/>
  <c r="J19" i="67"/>
  <c r="J17" i="67" s="1"/>
  <c r="C57" i="67"/>
  <c r="C61" i="67" s="1"/>
  <c r="Q49" i="67"/>
  <c r="J59" i="67"/>
  <c r="J60" i="67" s="1"/>
  <c r="F35" i="80"/>
  <c r="M21" i="15"/>
  <c r="F35" i="15"/>
  <c r="M21" i="80"/>
  <c r="C23" i="80" l="1"/>
  <c r="C26" i="80"/>
  <c r="C18" i="12"/>
  <c r="C21" i="12" s="1"/>
  <c r="C22" i="12" s="1"/>
  <c r="C27" i="12" s="1"/>
  <c r="C25" i="12" s="1"/>
  <c r="C23" i="15"/>
  <c r="C29" i="15" s="1"/>
  <c r="J20" i="80"/>
  <c r="F63" i="80"/>
  <c r="C62" i="80" s="1"/>
  <c r="C34" i="80"/>
  <c r="C31" i="80" s="1"/>
  <c r="C41" i="11"/>
  <c r="C49" i="11" s="1"/>
  <c r="C51" i="11" s="1"/>
  <c r="C52" i="11" s="1"/>
  <c r="B2" i="11" s="1"/>
  <c r="B3" i="11" s="1"/>
  <c r="J20" i="15"/>
  <c r="F63" i="15"/>
  <c r="C62" i="15" s="1"/>
  <c r="C34" i="15"/>
  <c r="C31" i="15" s="1"/>
  <c r="R16" i="1"/>
  <c r="C20" i="69"/>
  <c r="C28" i="69" s="1"/>
  <c r="C27" i="69" s="1"/>
  <c r="C24" i="68"/>
  <c r="C39" i="69"/>
  <c r="C43" i="69" s="1"/>
  <c r="C42" i="69"/>
  <c r="C39" i="68"/>
  <c r="C42" i="68"/>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Q48" i="67"/>
  <c r="C56" i="67"/>
  <c r="C65" i="67" s="1"/>
  <c r="C75" i="67"/>
  <c r="Q70" i="67"/>
  <c r="C37" i="67"/>
  <c r="C30" i="67" s="1"/>
  <c r="C39" i="67" s="1"/>
  <c r="L51" i="67"/>
  <c r="C29" i="80" l="1"/>
  <c r="C57" i="80" s="1"/>
  <c r="C64" i="80" s="1"/>
  <c r="C30" i="12"/>
  <c r="C28" i="12" s="1"/>
  <c r="C32" i="12" s="1"/>
  <c r="B2" i="12" s="1"/>
  <c r="B3" i="12" s="1"/>
  <c r="C57" i="15"/>
  <c r="Q49" i="15"/>
  <c r="J14" i="15"/>
  <c r="C36" i="15"/>
  <c r="C13" i="15"/>
  <c r="J19" i="15"/>
  <c r="J17" i="15" s="1"/>
  <c r="C13" i="80"/>
  <c r="C37" i="80" s="1"/>
  <c r="C61" i="80"/>
  <c r="C59" i="80" s="1"/>
  <c r="J19" i="80"/>
  <c r="J17" i="80" s="1"/>
  <c r="J14" i="80"/>
  <c r="J13" i="80" s="1"/>
  <c r="J23" i="80" s="1"/>
  <c r="Q49" i="80"/>
  <c r="C36" i="80"/>
  <c r="C75" i="80"/>
  <c r="C41" i="69"/>
  <c r="C25" i="69"/>
  <c r="C22" i="69" s="1"/>
  <c r="C31" i="69" s="1"/>
  <c r="C46" i="68"/>
  <c r="C45" i="68" s="1"/>
  <c r="C43" i="68"/>
  <c r="C41" i="68" s="1"/>
  <c r="C46" i="69"/>
  <c r="C45" i="69" s="1"/>
  <c r="J69" i="39"/>
  <c r="K67" i="39"/>
  <c r="U7" i="21"/>
  <c r="AB7" i="21"/>
  <c r="T48" i="21" s="1"/>
  <c r="G48" i="21" s="1"/>
  <c r="S7" i="21"/>
  <c r="AA7" i="21"/>
  <c r="R48" i="21" s="1"/>
  <c r="J63" i="40"/>
  <c r="I65" i="40"/>
  <c r="K48" i="35"/>
  <c r="L48" i="35" s="1"/>
  <c r="M48" i="35" s="1"/>
  <c r="N48" i="35" s="1"/>
  <c r="O48" i="35" s="1"/>
  <c r="H7" i="35" s="1"/>
  <c r="J7" i="35"/>
  <c r="AC7" i="21"/>
  <c r="V48" i="21" s="1"/>
  <c r="I48" i="21" s="1"/>
  <c r="W7" i="21"/>
  <c r="C56" i="11"/>
  <c r="C57" i="11" s="1"/>
  <c r="J16" i="67"/>
  <c r="J25" i="67" s="1"/>
  <c r="C80" i="67"/>
  <c r="C79" i="67" s="1"/>
  <c r="C58" i="67"/>
  <c r="C67" i="67" s="1"/>
  <c r="C68" i="67" s="1"/>
  <c r="Q69" i="67"/>
  <c r="Q68" i="67" s="1"/>
  <c r="C40" i="67"/>
  <c r="Q70" i="80" l="1"/>
  <c r="C56" i="15"/>
  <c r="C65" i="15" s="1"/>
  <c r="Q70" i="15"/>
  <c r="C75" i="15"/>
  <c r="C37" i="15"/>
  <c r="C30" i="15" s="1"/>
  <c r="C39" i="15" s="1"/>
  <c r="Q69" i="15" s="1"/>
  <c r="Q68" i="15" s="1"/>
  <c r="J13" i="15"/>
  <c r="J23" i="15" s="1"/>
  <c r="J22" i="15"/>
  <c r="C61" i="15"/>
  <c r="C59" i="15" s="1"/>
  <c r="C64" i="15"/>
  <c r="J22" i="80"/>
  <c r="J16" i="80" s="1"/>
  <c r="J25" i="80" s="1"/>
  <c r="C30" i="80"/>
  <c r="C39" i="80" s="1"/>
  <c r="C40" i="80" s="1"/>
  <c r="B2" i="80" s="1"/>
  <c r="B3" i="80" s="1"/>
  <c r="C56" i="80"/>
  <c r="C65" i="80" s="1"/>
  <c r="C58" i="80" s="1"/>
  <c r="C67" i="80" s="1"/>
  <c r="C68" i="80" s="1"/>
  <c r="C71" i="80" s="1"/>
  <c r="C49" i="69"/>
  <c r="C51" i="69" s="1"/>
  <c r="C52" i="69" s="1"/>
  <c r="B2" i="69" s="1"/>
  <c r="B3" i="69" s="1"/>
  <c r="C49" i="68"/>
  <c r="C51" i="68" s="1"/>
  <c r="L67" i="39"/>
  <c r="K69" i="39"/>
  <c r="W7" i="35"/>
  <c r="AC7" i="35"/>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L46" i="67" s="1"/>
  <c r="D2" i="67" s="1"/>
  <c r="C45" i="67"/>
  <c r="C46" i="67" s="1"/>
  <c r="C71" i="67"/>
  <c r="C43" i="67"/>
  <c r="Q47" i="67"/>
  <c r="Q53" i="67" s="1"/>
  <c r="Q56" i="67"/>
  <c r="Q65" i="67"/>
  <c r="C83" i="67"/>
  <c r="C82" i="67" s="1"/>
  <c r="AO6" i="1"/>
  <c r="L51" i="80"/>
  <c r="Q69" i="80" l="1"/>
  <c r="Q68" i="80" s="1"/>
  <c r="C58" i="15"/>
  <c r="C67" i="15" s="1"/>
  <c r="C68" i="15" s="1"/>
  <c r="C71" i="15" s="1"/>
  <c r="J16" i="15"/>
  <c r="J25" i="15" s="1"/>
  <c r="C80" i="15"/>
  <c r="C79" i="15" s="1"/>
  <c r="C40" i="15"/>
  <c r="C80" i="80"/>
  <c r="C79" i="80" s="1"/>
  <c r="Q47" i="80"/>
  <c r="Q53" i="80" s="1"/>
  <c r="Q67" i="80"/>
  <c r="C83" i="80"/>
  <c r="C82" i="80" s="1"/>
  <c r="C46" i="80"/>
  <c r="C43" i="80"/>
  <c r="Q56" i="80"/>
  <c r="Q62" i="80" s="1"/>
  <c r="Q65" i="80"/>
  <c r="Q75" i="80" s="1"/>
  <c r="B6" i="70"/>
  <c r="C57" i="69"/>
  <c r="C56"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L51" i="15"/>
  <c r="Q67" i="15" l="1"/>
  <c r="Q56" i="15"/>
  <c r="C43" i="15"/>
  <c r="C83" i="15"/>
  <c r="C82" i="15" s="1"/>
  <c r="Q65" i="15"/>
  <c r="Q75" i="15" s="1"/>
  <c r="Q47" i="15"/>
  <c r="Q53" i="15" s="1"/>
  <c r="C46" i="15"/>
  <c r="Q62" i="15"/>
  <c r="B2" i="15"/>
  <c r="M69" i="39"/>
  <c r="N67" i="39"/>
  <c r="R39" i="35"/>
  <c r="E38" i="35"/>
  <c r="M63" i="40"/>
  <c r="L65" i="40"/>
  <c r="AO7" i="1"/>
  <c r="B7" i="70" l="1"/>
  <c r="B2" i="70" s="1"/>
  <c r="B3" i="70" s="1"/>
  <c r="B3" i="15"/>
  <c r="O67" i="39"/>
  <c r="O69" i="39" s="1"/>
  <c r="N69" i="39"/>
  <c r="F7" i="39"/>
  <c r="C39" i="35"/>
  <c r="B2" i="35" s="1"/>
  <c r="B3" i="35" s="1"/>
  <c r="C38" i="35"/>
  <c r="N63" i="40"/>
  <c r="M65" i="40"/>
  <c r="E43" i="35"/>
  <c r="F43" i="35" s="1"/>
  <c r="E42" i="35"/>
  <c r="F42" i="35" s="1"/>
  <c r="I43" i="35"/>
  <c r="J43" i="35" s="1"/>
  <c r="D19" i="9"/>
  <c r="D20" i="9"/>
  <c r="D102" i="9" l="1"/>
  <c r="D21" i="9"/>
  <c r="D103" i="9"/>
  <c r="H7" i="39"/>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C7" i="68"/>
  <c r="C5" i="68" s="1"/>
  <c r="C20" i="68" l="1"/>
  <c r="C28" i="68" s="1"/>
  <c r="C27" i="68" s="1"/>
  <c r="C23" i="68"/>
  <c r="C25" i="68" l="1"/>
  <c r="C22" i="68" s="1"/>
  <c r="C31" i="68" s="1"/>
  <c r="C52" i="68" s="1"/>
  <c r="C57" i="68" l="1"/>
  <c r="C56" i="68" s="1"/>
  <c r="B2" i="68"/>
  <c r="C19" i="9"/>
  <c r="D22" i="9" l="1"/>
  <c r="C21" i="9"/>
  <c r="C102" i="9"/>
  <c r="G19" i="9"/>
  <c r="B3" i="68"/>
  <c r="D34" i="9"/>
  <c r="D35" i="9"/>
  <c r="C20" i="9"/>
  <c r="G20" i="9" l="1"/>
  <c r="C103" i="9"/>
  <c r="G21" i="9"/>
  <c r="C32" i="9"/>
  <c r="C35" i="9" l="1"/>
  <c r="F118" i="9" s="1"/>
  <c r="H118" i="9"/>
  <c r="H4" i="52" l="1"/>
  <c r="D14" i="74"/>
  <c r="I118" i="9"/>
  <c r="C104" i="9"/>
  <c r="H119" i="9"/>
  <c r="H5" i="52" s="1"/>
  <c r="H101" i="9"/>
  <c r="C34" i="9"/>
  <c r="D118" i="9" s="1"/>
  <c r="F119" i="9"/>
  <c r="F5" i="52" s="1"/>
  <c r="B53" i="72" s="1"/>
  <c r="F4" i="52"/>
  <c r="B51" i="72" s="1"/>
  <c r="G118" i="9"/>
  <c r="G4" i="52" s="1"/>
  <c r="B52" i="72" s="1"/>
  <c r="M48" i="9" l="1"/>
  <c r="H107" i="9"/>
  <c r="D5" i="53"/>
  <c r="D45" i="9"/>
  <c r="F14" i="74"/>
  <c r="E14" i="74"/>
  <c r="D119" i="9"/>
  <c r="D5" i="52" s="1"/>
  <c r="B49" i="72" s="1"/>
  <c r="D4" i="52"/>
  <c r="B47" i="72" s="1"/>
  <c r="C105" i="9"/>
  <c r="H102" i="9"/>
  <c r="D7" i="53" s="1"/>
  <c r="B21" i="72" s="1"/>
  <c r="I4" i="52"/>
  <c r="E118" i="9"/>
  <c r="E4" i="52" s="1"/>
  <c r="B48" i="72" s="1"/>
  <c r="D53" i="9" l="1"/>
  <c r="D52" i="9"/>
  <c r="C93" i="9"/>
  <c r="C86" i="9" s="1"/>
  <c r="C78" i="9"/>
  <c r="C73" i="9" s="1"/>
  <c r="C85" i="9"/>
  <c r="C64" i="9"/>
  <c r="C63" i="9" s="1"/>
  <c r="C67" i="9" s="1"/>
  <c r="C72" i="9"/>
  <c r="D55" i="9"/>
  <c r="M53" i="9" s="1"/>
  <c r="M49" i="9"/>
  <c r="H108" i="9"/>
  <c r="D15" i="53" s="1"/>
  <c r="B31" i="72" s="1"/>
  <c r="D122" i="9"/>
  <c r="D13" i="53"/>
  <c r="B20" i="72"/>
  <c r="D6" i="53"/>
  <c r="B22" i="72" s="1"/>
  <c r="C95" i="9" l="1"/>
  <c r="C79" i="9"/>
  <c r="B30" i="72"/>
  <c r="D14" i="53"/>
  <c r="B32" i="72" s="1"/>
  <c r="C68" i="9"/>
  <c r="D54" i="9" s="1"/>
  <c r="D59" i="9"/>
  <c r="M55" i="9" s="1"/>
  <c r="D123" i="9"/>
  <c r="D9" i="52" s="1"/>
  <c r="D8" i="52"/>
  <c r="G14" i="74"/>
  <c r="L67" i="9"/>
  <c r="M67" i="9" s="1"/>
  <c r="L65" i="9"/>
  <c r="M65" i="9" s="1"/>
  <c r="L63" i="9"/>
  <c r="M63" i="9" s="1"/>
  <c r="L68" i="9"/>
  <c r="M68" i="9" s="1"/>
  <c r="L66" i="9"/>
  <c r="M66" i="9" s="1"/>
  <c r="L64" i="9"/>
  <c r="M64" i="9" s="1"/>
  <c r="C80" i="9"/>
  <c r="E80" i="9" s="1"/>
  <c r="E81" i="9" s="1"/>
  <c r="C96" i="9"/>
  <c r="E96" i="9" s="1"/>
  <c r="E97" i="9" s="1"/>
  <c r="C97" i="9" l="1"/>
  <c r="D58" i="9" s="1"/>
  <c r="D56" i="9" s="1"/>
  <c r="M54" i="9" s="1"/>
  <c r="N57" i="9" s="1"/>
  <c r="P57" i="9" s="1"/>
  <c r="C81" i="9"/>
  <c r="M69" i="9"/>
  <c r="N69" i="9" s="1"/>
  <c r="N59" i="9" l="1"/>
  <c r="N61" i="9" s="1"/>
  <c r="N58" i="9"/>
  <c r="N60" i="9" l="1"/>
  <c r="G15" i="74" l="1"/>
  <c r="B6" i="74" s="1"/>
  <c r="F15" i="74"/>
  <c r="E15" i="74"/>
  <c r="B5" i="74"/>
  <c r="D6" i="74" l="1"/>
  <c r="C6" i="74"/>
  <c r="D5" i="74"/>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<sst xmlns="http://schemas.openxmlformats.org/spreadsheetml/2006/main" count="9352" uniqueCount="3465">
  <si>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</si>
  <si>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</si>
  <si>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</si>
  <si>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</si>
  <si>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</si>
  <si>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</si>
  <si>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</si>
  <si>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</si>
  <si>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</si>
  <si>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</si>
  <si>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</si>
  <si>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</si>
  <si>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</si>
  <si>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</si>
  <si>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</si>
  <si>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</si>
  <si>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</si>
  <si>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</si>
  <si>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</si>
  <si>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</si>
  <si>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</si>
  <si>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</si>
  <si>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</si>
  <si>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</si>
  <si>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</si>
  <si>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</si>
  <si>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</si>
  <si>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</si>
  <si>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</si>
  <si>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</si>
  <si>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</si>
  <si>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</si>
  <si>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</si>
  <si>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</si>
  <si>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</si>
  <si>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</si>
  <si>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</si>
  <si>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</si>
  <si>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</si>
  <si>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</si>
  <si>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</si>
  <si>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</si>
  <si>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</si>
  <si>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</si>
  <si>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</si>
  <si>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</si>
  <si>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</si>
  <si>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</si>
  <si>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</si>
  <si>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</si>
  <si>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</si>
  <si>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</si>
  <si>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</si>
  <si>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</si>
  <si>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</si>
  <si>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</si>
  <si>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</si>
  <si>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</si>
  <si>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</si>
  <si>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</si>
  <si>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</si>
  <si>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</si>
  <si>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</si>
  <si>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</si>
  <si>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</si>
  <si>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</si>
  <si>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</si>
  <si>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</si>
  <si>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</si>
  <si>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</si>
  <si>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</si>
  <si>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</si>
  <si>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</si>
  <si>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</si>
  <si>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</si>
  <si>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</si>
  <si>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</si>
  <si>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</si>
  <si>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</si>
  <si>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</si>
  <si>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</si>
  <si>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</si>
  <si>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</si>
  <si>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</si>
  <si>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</si>
  <si>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</si>
  <si>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</si>
  <si>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</si>
  <si>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</si>
  <si>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</si>
  <si>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</si>
  <si>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</si>
  <si>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</si>
  <si>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</si>
  <si>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</si>
  <si>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</si>
  <si>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</si>
  <si>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</si>
  <si>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</si>
  <si>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</si>
  <si>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</si>
  <si>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</si>
  <si>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</si>
  <si>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</si>
  <si>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</si>
  <si>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</si>
  <si>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</si>
  <si>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</si>
  <si>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</si>
  <si>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</si>
  <si>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</si>
  <si>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</si>
  <si>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</si>
  <si>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</si>
  <si>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</si>
  <si>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</si>
  <si>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</si>
  <si>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</si>
  <si>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</si>
  <si>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</si>
  <si>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</si>
  <si>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</si>
  <si>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</si>
  <si>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</si>
  <si>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</si>
  <si>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</si>
  <si>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</si>
  <si>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</si>
  <si>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</si>
  <si>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</si>
  <si>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</si>
  <si>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</si>
  <si>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</si>
  <si>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</si>
  <si>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</si>
  <si>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</si>
  <si>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</si>
  <si>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</si>
  <si>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</si>
  <si>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</si>
  <si>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</si>
  <si>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</si>
  <si>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</si>
  <si>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</si>
  <si>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</si>
  <si>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</si>
  <si>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</si>
  <si>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</si>
  <si>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</si>
  <si>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</si>
  <si>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</si>
  <si>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</si>
  <si>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</si>
  <si>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</si>
  <si>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</si>
  <si>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</si>
  <si>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</si>
  <si>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</si>
  <si>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</si>
  <si>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</si>
  <si>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</si>
  <si>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</si>
  <si>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</si>
  <si>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</si>
  <si>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</si>
  <si>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</si>
  <si>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</si>
  <si>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</si>
  <si>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</si>
  <si>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</si>
  <si>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</si>
  <si>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</si>
  <si>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</si>
  <si>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</si>
  <si>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</si>
  <si>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</si>
  <si>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</si>
  <si>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</si>
  <si>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</si>
  <si>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</si>
  <si>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</si>
  <si>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</si>
  <si>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</si>
  <si>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</si>
  <si>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</si>
  <si>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</si>
  <si>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</si>
  <si>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</si>
  <si>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</si>
  <si>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</si>
  <si>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</si>
  <si>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</si>
  <si>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</si>
  <si>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</si>
  <si>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</si>
  <si>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</si>
  <si>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</si>
  <si>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</si>
  <si>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</si>
  <si>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</si>
  <si>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</si>
  <si>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</si>
  <si>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</si>
  <si>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</si>
  <si>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</si>
  <si>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</si>
  <si>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</si>
  <si>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</si>
  <si>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</si>
  <si>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</si>
  <si>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</si>
  <si>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</si>
  <si>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</si>
  <si>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</si>
  <si>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</si>
  <si>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</si>
  <si>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</si>
  <si>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</si>
  <si>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</si>
  <si>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</si>
  <si>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</si>
  <si>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</si>
  <si>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</si>
  <si>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</si>
  <si>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</si>
  <si>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</si>
  <si>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</si>
  <si>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</si>
  <si>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</si>
  <si>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</si>
  <si>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</si>
  <si>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</si>
  <si>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</si>
  <si>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</si>
  <si>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</si>
  <si>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</si>
  <si>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</si>
  <si>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</si>
  <si>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</si>
  <si>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</si>
  <si>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</si>
  <si>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</si>
  <si>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</si>
  <si>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</si>
  <si>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</si>
  <si>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</si>
  <si>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</si>
  <si>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</si>
  <si>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</si>
  <si>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</si>
  <si>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</si>
  <si>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</si>
  <si>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</si>
  <si>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</si>
  <si>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</si>
  <si>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</si>
  <si>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</si>
  <si>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</si>
  <si>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</si>
  <si>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</si>
  <si>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</si>
  <si>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</si>
  <si>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</si>
  <si>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</si>
  <si>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</si>
  <si>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</si>
  <si>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</si>
  <si>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</si>
  <si>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</si>
  <si>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</si>
  <si>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</si>
  <si>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</si>
  <si>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</si>
  <si>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</si>
  <si>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</si>
  <si>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</si>
  <si>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</si>
  <si>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</si>
  <si>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</si>
  <si>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</si>
  <si>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</si>
  <si>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</si>
  <si>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</si>
  <si>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</si>
  <si>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</si>
  <si>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</si>
  <si>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</si>
  <si>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</si>
  <si>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</si>
  <si>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</si>
  <si>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</si>
  <si>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</si>
  <si>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</si>
  <si>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</si>
  <si>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</si>
  <si>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</si>
  <si>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</si>
  <si>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</si>
  <si>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</si>
  <si>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</si>
  <si>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</si>
  <si>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</si>
  <si>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</si>
  <si>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</si>
  <si>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</si>
  <si>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</si>
  <si>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</si>
  <si>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</si>
  <si>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</si>
  <si>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</si>
  <si>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</si>
  <si>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</si>
  <si>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</si>
  <si>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</si>
  <si>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</si>
  <si>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</si>
  <si>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</si>
  <si>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</si>
  <si>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</si>
  <si>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</si>
  <si>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</si>
  <si>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</si>
  <si>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</si>
  <si>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</si>
  <si>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</si>
  <si>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</si>
  <si>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</si>
  <si>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</si>
  <si>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</si>
  <si>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</si>
  <si>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</si>
  <si>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</si>
  <si>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</si>
  <si>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</si>
  <si>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</si>
  <si>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</si>
  <si>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</si>
  <si>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</si>
  <si>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</si>
  <si>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</si>
  <si>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</si>
  <si>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</si>
  <si>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</si>
  <si>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</si>
  <si>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</si>
  <si>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</si>
  <si>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</si>
  <si>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</si>
  <si>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</si>
  <si>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</si>
  <si>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</si>
  <si>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</si>
  <si>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</si>
  <si>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</si>
  <si>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</si>
  <si>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</si>
  <si>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</si>
  <si>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</si>
  <si>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</si>
  <si>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</si>
  <si>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</si>
  <si>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</si>
  <si>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</si>
  <si>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</si>
  <si>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</si>
  <si>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</si>
  <si>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</si>
  <si>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</si>
  <si>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</si>
  <si>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</si>
  <si>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</si>
  <si>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</si>
  <si>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</si>
  <si>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</si>
  <si>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</si>
  <si>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</si>
  <si>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</si>
  <si>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</si>
  <si>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</si>
  <si>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</si>
  <si>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</si>
  <si>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</si>
  <si>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</si>
  <si>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</si>
  <si>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</si>
  <si>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</si>
  <si>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</si>
  <si>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</si>
  <si>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</si>
  <si>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</si>
  <si>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</si>
  <si>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</si>
  <si>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</si>
  <si>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</si>
  <si>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</si>
  <si>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</si>
  <si>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</si>
  <si>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</si>
  <si>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</si>
  <si>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</si>
  <si>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</si>
  <si>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</si>
  <si>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</si>
  <si>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</si>
  <si>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</si>
  <si>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</si>
  <si>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</si>
  <si>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</si>
  <si>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</si>
  <si>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</si>
  <si>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</si>
  <si>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</si>
  <si>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</si>
  <si>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</si>
  <si>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</si>
  <si>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</si>
  <si>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</si>
  <si>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</si>
  <si>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</si>
  <si>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</si>
  <si>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</si>
  <si>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</si>
  <si>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</si>
  <si>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</si>
  <si>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</si>
  <si>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</si>
  <si>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</si>
  <si>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</si>
  <si>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</si>
  <si>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</si>
  <si>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</si>
  <si>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</si>
  <si>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</si>
  <si>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</si>
  <si>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</si>
  <si>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</si>
  <si>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</si>
  <si>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</si>
  <si>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</si>
  <si>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</si>
  <si>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</si>
  <si>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</si>
  <si>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</si>
  <si>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</si>
  <si>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</si>
  <si>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</si>
  <si>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</si>
  <si>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</si>
  <si>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</si>
  <si>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</si>
  <si>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</si>
  <si>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</si>
  <si>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</si>
  <si>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</si>
  <si>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</si>
  <si>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</si>
  <si>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</si>
  <si>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</si>
  <si>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</si>
  <si>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</si>
  <si>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</si>
  <si>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</si>
  <si>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</si>
  <si>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</si>
  <si>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</si>
  <si>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</si>
  <si>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</si>
  <si>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</si>
  <si>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</si>
  <si>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</si>
  <si>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</si>
  <si>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</si>
  <si>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</si>
  <si>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</si>
  <si>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</si>
  <si>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</si>
  <si>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</si>
  <si>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</si>
  <si>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</si>
  <si>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</si>
  <si>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</si>
  <si>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</si>
  <si>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</si>
  <si>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</si>
  <si>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</si>
  <si>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</si>
  <si>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</si>
  <si>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</si>
  <si>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</si>
  <si>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</si>
  <si>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</si>
  <si>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</si>
  <si>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</si>
  <si>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</si>
  <si>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</si>
  <si>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</si>
  <si>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</si>
  <si>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</si>
  <si>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</si>
  <si>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</si>
  <si>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</si>
  <si>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</si>
  <si>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</si>
  <si>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</si>
  <si>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</si>
  <si>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</si>
  <si>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</si>
  <si>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</si>
  <si>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</si>
  <si>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</si>
  <si>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</si>
  <si>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</si>
  <si>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</si>
  <si>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</si>
  <si>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</si>
  <si>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</si>
  <si>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</si>
  <si>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</si>
  <si>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</si>
  <si>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</si>
  <si>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</si>
  <si>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</si>
  <si>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</si>
  <si>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</si>
  <si>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</si>
  <si>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</si>
  <si>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</si>
  <si>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</si>
  <si>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</si>
  <si>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</si>
  <si>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</si>
  <si>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</si>
  <si>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</si>
  <si>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</si>
  <si>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</si>
  <si>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</si>
  <si>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</si>
  <si>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</si>
  <si>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</si>
  <si>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</si>
  <si>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</si>
  <si>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</si>
  <si>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</si>
  <si>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</si>
  <si>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</si>
  <si>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</si>
  <si>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</si>
  <si>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</si>
  <si>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</si>
  <si>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</si>
  <si>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</si>
  <si>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</si>
  <si>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</si>
  <si>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</si>
  <si>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</si>
  <si>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</si>
  <si>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</si>
  <si>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</si>
  <si>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</si>
  <si>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</si>
  <si>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</si>
  <si>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</si>
  <si>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</si>
  <si>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</si>
  <si>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</si>
  <si>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</si>
  <si>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</si>
  <si>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</si>
  <si>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</si>
  <si>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</si>
  <si>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</si>
  <si>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</si>
  <si>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</si>
  <si>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</si>
  <si>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</si>
  <si>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</si>
  <si>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</si>
  <si>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</si>
  <si>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</si>
  <si>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</si>
  <si>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</si>
  <si>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</si>
  <si>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</si>
  <si>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</si>
  <si>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</si>
  <si>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</si>
  <si>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</si>
  <si>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</si>
  <si>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</si>
  <si>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</si>
  <si>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</si>
  <si>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</si>
  <si>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</si>
  <si>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</si>
  <si>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</si>
  <si>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</si>
  <si>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</si>
  <si>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</si>
  <si>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</si>
  <si>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</si>
  <si>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</si>
  <si>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</si>
  <si>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</si>
  <si>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</si>
  <si>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</si>
  <si>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</si>
  <si>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</si>
  <si>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</si>
  <si>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</si>
  <si>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</si>
  <si>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</si>
  <si>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</si>
  <si>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</si>
  <si>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</si>
  <si>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</si>
  <si>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</si>
  <si>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</si>
  <si>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</si>
  <si>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</si>
  <si>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</si>
  <si>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</si>
  <si>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</si>
  <si>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</si>
  <si>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</si>
  <si>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</si>
  <si>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</si>
  <si>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</si>
  <si>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</si>
  <si>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</si>
  <si>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</si>
  <si>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</si>
  <si>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</si>
  <si>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</si>
  <si>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</si>
  <si>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</si>
  <si>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</si>
  <si>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</si>
  <si>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</si>
  <si>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</si>
  <si>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</si>
  <si>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</si>
  <si>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</si>
  <si>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</si>
  <si>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</si>
  <si>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</si>
  <si>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</si>
  <si>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</si>
  <si>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</si>
  <si>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</si>
  <si>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</si>
  <si>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</si>
  <si>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</si>
  <si>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</si>
  <si>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</si>
  <si>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</si>
  <si>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</si>
  <si>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</si>
  <si>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</si>
  <si>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</si>
  <si>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</si>
  <si>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</si>
  <si>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</si>
  <si>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</si>
  <si>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</si>
  <si>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</si>
  <si>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</si>
  <si>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</si>
  <si>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</si>
  <si>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</si>
  <si>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</si>
  <si>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</si>
  <si>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</si>
  <si>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</si>
  <si>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</si>
  <si>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</si>
  <si>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</si>
  <si>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</si>
  <si>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</si>
  <si>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</si>
  <si>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</si>
  <si>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</si>
  <si>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</si>
  <si>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</si>
  <si>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</si>
  <si>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</si>
  <si>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</si>
  <si>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</si>
  <si>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</si>
  <si>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</si>
  <si>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</si>
  <si>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</si>
  <si>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</si>
  <si>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</si>
  <si>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</si>
  <si>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</si>
  <si>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</si>
  <si>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</si>
  <si>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</si>
  <si>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</si>
  <si>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</si>
  <si>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</si>
  <si>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</si>
  <si>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</si>
  <si>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</si>
  <si>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</si>
  <si>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</si>
  <si>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</si>
  <si>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</si>
  <si>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</si>
  <si>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</si>
  <si>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</si>
  <si>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</si>
  <si>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</si>
  <si>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</si>
  <si>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</si>
  <si>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</si>
  <si>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</si>
  <si>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</si>
  <si>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</si>
  <si>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</si>
  <si>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</si>
  <si>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</si>
  <si>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</si>
  <si>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</si>
  <si>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</si>
  <si>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</si>
  <si>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</si>
  <si>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</si>
  <si>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</si>
  <si>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</si>
  <si>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</si>
  <si>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</si>
  <si>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</si>
  <si>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</si>
  <si>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</si>
  <si>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</si>
  <si>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</si>
  <si>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</si>
  <si>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</si>
  <si>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</si>
  <si>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</si>
  <si>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</si>
  <si>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</si>
  <si>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</si>
  <si>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</si>
  <si>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</si>
  <si>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</si>
  <si>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</si>
  <si>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</si>
  <si>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</si>
  <si>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</si>
  <si>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</si>
  <si>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</si>
  <si>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</si>
  <si>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</si>
  <si>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</si>
  <si>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</si>
  <si>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</si>
  <si>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</si>
  <si>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</si>
  <si>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</si>
  <si>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</si>
  <si>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</si>
  <si>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</si>
  <si>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</si>
  <si>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</si>
  <si>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</si>
  <si>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</si>
  <si>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</si>
  <si>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</si>
  <si>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</si>
  <si>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</si>
  <si>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</si>
  <si>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</si>
  <si>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</si>
  <si>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</si>
  <si>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</si>
  <si>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</si>
  <si>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</si>
  <si>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</si>
  <si>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</si>
  <si>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</si>
  <si>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</si>
  <si>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</si>
  <si>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</si>
  <si>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</si>
  <si>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</si>
  <si>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</si>
  <si>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</si>
  <si>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</si>
  <si>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</si>
  <si>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</si>
  <si>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</si>
  <si>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</si>
  <si>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</si>
  <si>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</si>
  <si>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</si>
  <si>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</si>
  <si>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</si>
  <si>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</si>
  <si>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</si>
  <si>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</si>
  <si>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</si>
  <si>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</si>
  <si>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</si>
  <si>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</si>
  <si>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</si>
  <si>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</si>
  <si>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</si>
  <si>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</si>
  <si>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</si>
  <si>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</si>
  <si>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</si>
  <si>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</si>
  <si>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</si>
  <si>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</si>
  <si>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</si>
  <si>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</si>
  <si>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</si>
  <si>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</si>
  <si>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</si>
  <si>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</si>
  <si>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</si>
  <si>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</si>
  <si>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</si>
  <si>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</si>
  <si>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</si>
  <si>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</si>
  <si>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</si>
  <si>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</si>
  <si>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</si>
  <si>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</si>
  <si>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</si>
  <si>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</si>
  <si>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</si>
  <si>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</si>
  <si>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</si>
  <si>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</si>
  <si>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</si>
  <si>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</si>
  <si>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</si>
  <si>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</si>
  <si>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</si>
  <si>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</si>
  <si>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</si>
  <si>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</si>
  <si>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</si>
  <si>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</si>
  <si>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</si>
  <si>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</si>
  <si>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</si>
  <si>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</si>
  <si>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</si>
  <si>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</si>
  <si>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</si>
  <si>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</si>
  <si>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</si>
  <si>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</si>
  <si>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</si>
  <si>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</si>
  <si>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</si>
  <si>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</si>
  <si>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</si>
  <si>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</si>
  <si>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</si>
  <si>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</si>
  <si>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</si>
  <si>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</si>
  <si>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</si>
  <si>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</si>
  <si>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</si>
  <si>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</si>
  <si>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</si>
  <si>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</si>
  <si>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</si>
  <si>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</si>
  <si>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</si>
  <si>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</si>
  <si>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</si>
  <si>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</si>
  <si>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</si>
  <si>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</si>
  <si>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</si>
  <si>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</si>
  <si>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</si>
  <si>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</si>
  <si>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</si>
  <si>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</si>
  <si>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</si>
  <si>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</si>
  <si>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</si>
  <si>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</si>
  <si>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</si>
  <si>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</si>
  <si>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</si>
  <si>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</si>
  <si>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</si>
  <si>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</si>
  <si>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</si>
  <si>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</si>
  <si>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</si>
  <si>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</si>
  <si>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</si>
  <si>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</si>
  <si>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</si>
  <si>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</si>
  <si>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</si>
  <si>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</si>
  <si>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</si>
  <si>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</si>
  <si>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</si>
  <si>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</si>
  <si>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</si>
  <si>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</si>
  <si>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</si>
  <si>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</si>
  <si>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</si>
  <si>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</si>
  <si>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</si>
  <si>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</si>
  <si>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</si>
  <si>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</si>
  <si>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</si>
  <si>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</si>
  <si>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</si>
  <si>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</si>
  <si>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</si>
  <si>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</si>
  <si>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</si>
  <si>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</si>
  <si>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</si>
  <si>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</si>
  <si>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</si>
  <si>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</si>
  <si>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</si>
  <si>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</si>
  <si>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</si>
  <si>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</si>
  <si>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</si>
  <si>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</si>
  <si>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</si>
  <si>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</si>
  <si>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</si>
  <si>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</si>
  <si>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</si>
  <si>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</si>
  <si>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</si>
  <si>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</si>
  <si>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</si>
  <si>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</si>
  <si>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</si>
  <si>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</si>
  <si>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</si>
  <si>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</si>
  <si>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</si>
  <si>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</si>
  <si>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</si>
  <si>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</si>
  <si>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</si>
  <si>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</si>
  <si>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</si>
  <si>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</si>
  <si>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</si>
  <si>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</si>
  <si>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</si>
  <si>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</si>
  <si>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</si>
  <si>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</si>
  <si>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</si>
  <si>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</si>
  <si>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</si>
  <si>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</si>
  <si>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</si>
  <si>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</si>
  <si>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</si>
  <si>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</si>
  <si>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</si>
  <si>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</si>
  <si>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</si>
  <si>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</si>
  <si>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</si>
  <si>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</si>
  <si>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</si>
  <si>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</si>
  <si>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</si>
  <si>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</si>
  <si>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</si>
  <si>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</si>
  <si>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</si>
  <si>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</si>
  <si>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</si>
  <si>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</si>
  <si>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</si>
  <si>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</si>
  <si>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</si>
  <si>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</si>
  <si>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</si>
  <si>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</si>
  <si>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</si>
  <si>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</si>
  <si>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</si>
  <si>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</si>
  <si>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</si>
  <si>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</si>
  <si>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</si>
  <si>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</si>
  <si>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</si>
  <si>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</si>
  <si>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</si>
  <si>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</si>
  <si>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</si>
  <si>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</si>
  <si>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</si>
  <si>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</si>
  <si>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</si>
  <si>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</si>
  <si>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</si>
  <si>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</si>
  <si>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</si>
  <si>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</si>
  <si>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</si>
  <si>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</si>
  <si>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</si>
  <si>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</si>
  <si>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</si>
  <si>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</si>
  <si>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</si>
  <si>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</si>
  <si>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</si>
  <si>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</si>
  <si>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</si>
  <si>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</si>
  <si>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</si>
  <si>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</si>
  <si>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</si>
  <si>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</si>
  <si>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</si>
  <si>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</si>
  <si>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</si>
  <si>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</si>
  <si>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</si>
  <si>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</si>
  <si>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</si>
  <si>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</si>
  <si>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</si>
  <si>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</si>
  <si>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</si>
  <si>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</si>
  <si>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</si>
  <si>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</si>
  <si>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</si>
  <si>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</si>
  <si>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</si>
  <si>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</si>
  <si>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</si>
  <si>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</si>
  <si>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</si>
  <si>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</si>
  <si>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</si>
  <si>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</si>
  <si>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</si>
  <si>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</si>
  <si>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</si>
  <si>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</si>
  <si>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</si>
  <si>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</si>
  <si>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</si>
  <si>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</si>
  <si>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</si>
  <si>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</si>
  <si>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</si>
  <si>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</si>
  <si>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</si>
  <si>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</si>
  <si>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</si>
  <si>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</si>
  <si>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</si>
  <si>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</si>
  <si>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</si>
  <si>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</si>
  <si>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</si>
  <si>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</si>
  <si>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</si>
  <si>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</si>
  <si>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</si>
  <si>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</si>
  <si>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</si>
  <si>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</si>
  <si>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</si>
  <si>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</si>
  <si>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</si>
  <si>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</si>
  <si>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</si>
  <si>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</si>
  <si>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</si>
  <si>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</si>
  <si>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</si>
  <si>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</si>
  <si>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</si>
  <si>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</si>
  <si>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</si>
  <si>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</si>
  <si>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</si>
  <si>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</si>
  <si>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</si>
  <si>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</si>
  <si>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</si>
  <si>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</si>
  <si>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</si>
  <si>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</si>
  <si>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</si>
  <si>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</si>
  <si>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</si>
  <si>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</si>
  <si>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</si>
  <si>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</si>
  <si>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</si>
  <si>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</si>
  <si>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</si>
  <si>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</si>
  <si>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</si>
  <si>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</si>
  <si>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</si>
  <si>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</si>
  <si>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</si>
  <si>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</si>
  <si>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</si>
  <si>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</si>
  <si>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</si>
  <si>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</si>
  <si>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</si>
  <si>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</si>
  <si>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</si>
  <si>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</si>
  <si>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</si>
  <si>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</si>
  <si>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</si>
  <si>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</si>
  <si>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</si>
  <si>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</si>
  <si>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</si>
  <si>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</si>
  <si>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</si>
  <si>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</si>
  <si>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</si>
  <si>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</si>
  <si>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</si>
  <si>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</si>
  <si>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</si>
  <si>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</si>
  <si>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</si>
  <si>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</si>
  <si>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</si>
  <si>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</si>
  <si>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</si>
  <si>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</si>
  <si>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</si>
  <si>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</si>
  <si>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</si>
  <si>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</si>
  <si>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</si>
  <si>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</si>
  <si>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</si>
  <si>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</si>
  <si>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</si>
  <si>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</si>
  <si>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</si>
  <si>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</si>
  <si>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</si>
  <si>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</si>
  <si>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</si>
  <si>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</si>
  <si>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</si>
  <si>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</si>
  <si>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</si>
  <si>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</si>
  <si>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</si>
  <si>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</si>
  <si>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</si>
  <si>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</si>
  <si>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</si>
  <si>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</si>
  <si>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</si>
  <si>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</si>
  <si>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</si>
  <si>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</si>
  <si>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</si>
  <si>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</si>
  <si>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</si>
  <si>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</si>
  <si>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</si>
  <si>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</si>
  <si>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</si>
  <si>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</si>
  <si>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</si>
  <si>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</si>
  <si>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</si>
  <si>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</si>
  <si>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</si>
  <si>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</si>
  <si>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</si>
  <si>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</si>
  <si>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</si>
  <si>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</si>
  <si>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</si>
  <si>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</si>
  <si>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</si>
  <si>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</si>
  <si>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</si>
  <si>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</si>
  <si>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</si>
  <si>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</si>
  <si>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</si>
  <si>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</si>
  <si>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</si>
  <si>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</si>
  <si>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</si>
  <si>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</si>
  <si>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</si>
  <si>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</si>
  <si>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</si>
  <si>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</si>
  <si>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</si>
  <si>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</si>
  <si>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</si>
  <si>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</si>
  <si>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</si>
  <si>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</si>
  <si>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</si>
  <si>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</si>
  <si>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</si>
  <si>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</si>
  <si>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</si>
  <si>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</si>
  <si>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</si>
  <si>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</si>
  <si>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</si>
  <si>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</si>
  <si>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</si>
  <si>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</si>
  <si>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</si>
  <si>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</si>
  <si>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</si>
  <si>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</si>
  <si>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</si>
  <si>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</si>
  <si>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</si>
  <si>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</si>
  <si>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</si>
  <si>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</si>
  <si>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</si>
  <si>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</si>
  <si>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</si>
  <si>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</si>
  <si>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</si>
  <si>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</si>
  <si>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</si>
  <si>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</si>
  <si>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</si>
  <si>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</si>
  <si>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</si>
  <si>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</si>
  <si>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</si>
  <si>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</si>
  <si>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</si>
  <si>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</si>
  <si>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</si>
  <si>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</si>
  <si>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</si>
  <si>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</si>
  <si>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</si>
  <si>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</si>
  <si>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</si>
  <si>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</si>
  <si>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</si>
  <si>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</si>
  <si>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</si>
  <si>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</si>
  <si>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</si>
  <si>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</si>
  <si>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</si>
  <si>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</si>
  <si>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</si>
  <si>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</si>
  <si>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</si>
  <si>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</si>
  <si>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</si>
  <si>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</si>
  <si>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</si>
  <si>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</si>
  <si>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</si>
  <si>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</si>
  <si>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</si>
  <si>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</si>
  <si>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</si>
  <si>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</si>
  <si>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</si>
  <si>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</si>
  <si>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</si>
  <si>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</si>
  <si>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</si>
  <si>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</si>
  <si>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</si>
  <si>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</si>
  <si>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</si>
  <si>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</si>
  <si>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</si>
  <si>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</si>
  <si>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</si>
  <si>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</si>
  <si>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</si>
  <si>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</si>
  <si>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</si>
  <si>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</si>
  <si>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</si>
  <si>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</si>
  <si>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</si>
  <si>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</si>
  <si>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</si>
  <si>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</si>
  <si>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</si>
  <si>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</si>
  <si>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</si>
  <si>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</si>
  <si>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</si>
  <si>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</si>
  <si>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</si>
  <si>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</si>
  <si>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</si>
  <si>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</si>
  <si>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</si>
  <si>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</si>
  <si>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</si>
  <si>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</si>
  <si>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</si>
  <si>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</si>
  <si>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</si>
  <si>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</si>
  <si>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</si>
  <si>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</si>
  <si>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</si>
  <si>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</si>
  <si>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</si>
  <si>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</si>
  <si>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</si>
  <si>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</si>
  <si>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</si>
  <si>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</si>
  <si>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</si>
  <si>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</si>
  <si>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</si>
  <si>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</si>
  <si>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</si>
  <si>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</si>
  <si>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</si>
  <si>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</si>
  <si>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</si>
  <si>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</si>
  <si>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</si>
  <si>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</si>
  <si>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</si>
  <si>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</si>
  <si>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</si>
  <si>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</si>
  <si>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</si>
  <si>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</si>
  <si>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</si>
  <si>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</si>
  <si>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</si>
  <si>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</si>
  <si>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</si>
  <si>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</si>
  <si>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</si>
  <si>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</si>
  <si>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</si>
  <si>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</si>
  <si>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</si>
  <si>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</si>
  <si>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</si>
  <si>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</si>
  <si>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</si>
  <si>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</si>
  <si>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</si>
  <si>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</si>
  <si>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</si>
  <si>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</si>
  <si>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</si>
  <si>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</si>
  <si>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</si>
  <si>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</si>
  <si>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</si>
  <si>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</si>
  <si>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</si>
  <si>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</si>
  <si>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</si>
  <si>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</si>
  <si>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</si>
  <si>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</si>
  <si>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</si>
  <si>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</si>
  <si>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</si>
  <si>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</si>
  <si>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</si>
  <si>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</si>
  <si>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</si>
  <si>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</si>
  <si>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</si>
  <si>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</si>
  <si>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</si>
  <si>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</si>
  <si>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</si>
  <si>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</si>
  <si>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</si>
  <si>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</si>
  <si>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</si>
  <si>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</si>
  <si>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</si>
  <si>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</si>
  <si>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</si>
  <si>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</si>
  <si>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</si>
  <si>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</si>
  <si>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</si>
  <si>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</si>
  <si>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</si>
  <si>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</si>
  <si>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</si>
  <si>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</si>
  <si>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</si>
  <si>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</si>
  <si>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</si>
  <si>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</si>
  <si>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</si>
  <si>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</si>
  <si>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</si>
  <si>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</si>
  <si>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</si>
  <si>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</si>
  <si>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</si>
  <si>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</si>
  <si>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</si>
  <si>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</si>
  <si>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</si>
  <si>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</si>
  <si>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</si>
  <si>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</si>
  <si>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</si>
  <si>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</si>
  <si>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</si>
  <si>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</si>
  <si>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</si>
  <si>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</si>
  <si>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</si>
  <si>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</si>
  <si>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</si>
  <si>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</si>
  <si>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</si>
  <si>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</si>
  <si>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</si>
  <si>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</si>
  <si>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</si>
  <si>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</si>
  <si>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</si>
  <si>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</si>
  <si>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</si>
  <si>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</si>
  <si>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</si>
  <si>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</si>
  <si>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</si>
  <si>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</si>
  <si>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</si>
  <si>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</si>
  <si>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</si>
  <si>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</si>
  <si>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</si>
  <si>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</si>
  <si>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</si>
  <si>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</si>
  <si>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</si>
  <si>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</si>
  <si>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</si>
  <si>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</si>
  <si>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</si>
  <si>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</si>
  <si>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</si>
  <si>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</si>
  <si>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</si>
  <si>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</si>
  <si>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</si>
  <si>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</si>
  <si>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</si>
  <si>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</si>
  <si>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</si>
  <si>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</si>
  <si>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</si>
  <si>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</si>
  <si>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</si>
  <si>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</si>
  <si>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</si>
  <si>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</si>
  <si>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</si>
  <si>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</si>
  <si>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</si>
  <si>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</si>
  <si>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</si>
  <si>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</si>
  <si>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</si>
  <si>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</si>
  <si>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</si>
  <si>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</si>
  <si>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</si>
  <si>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</si>
  <si>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</si>
  <si>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</si>
  <si>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</si>
  <si>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</si>
  <si>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</si>
  <si>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</si>
  <si>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</si>
  <si>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</si>
  <si>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</si>
  <si>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</si>
  <si>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</si>
  <si>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</si>
  <si>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</si>
  <si>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</si>
  <si>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</si>
  <si>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</si>
  <si>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</si>
  <si>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</si>
  <si>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</si>
  <si>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</si>
  <si>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</si>
  <si>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</si>
  <si>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</si>
  <si>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</si>
  <si>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</si>
  <si>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</si>
  <si>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</si>
  <si>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</si>
  <si>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</si>
  <si>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</si>
  <si>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</si>
  <si>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</si>
  <si>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</si>
  <si>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</si>
  <si>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</si>
  <si>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</si>
  <si>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</si>
  <si>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</si>
  <si>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</si>
  <si>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</si>
  <si>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</si>
  <si>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</si>
  <si>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</si>
  <si>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</si>
  <si>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</si>
  <si>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</si>
  <si>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</si>
  <si>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</si>
  <si>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</si>
  <si>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</si>
  <si>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</si>
  <si>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</si>
  <si>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</si>
  <si>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</si>
  <si>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</si>
  <si>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</si>
  <si>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</si>
  <si>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</si>
  <si>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</si>
  <si>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</si>
  <si>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</si>
  <si>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</si>
  <si>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</si>
  <si>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</si>
  <si>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</si>
  <si>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</si>
  <si>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</si>
  <si>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</si>
  <si>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</si>
  <si>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</si>
  <si>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</si>
  <si>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</si>
  <si>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</si>
  <si>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</si>
  <si>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</si>
  <si>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</si>
  <si>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</si>
  <si>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</si>
  <si>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</si>
  <si>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</si>
  <si>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</si>
  <si>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</si>
  <si>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</si>
  <si>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</si>
  <si>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</si>
  <si>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</si>
  <si>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</si>
  <si>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</si>
  <si>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</si>
  <si>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</si>
  <si>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</si>
  <si>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</si>
  <si>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</si>
  <si>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</si>
  <si>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</si>
  <si>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</si>
  <si>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</si>
  <si>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</si>
  <si>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</si>
  <si>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</si>
  <si>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</si>
  <si>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</si>
  <si>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</si>
  <si>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</si>
  <si>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</si>
  <si>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</si>
  <si>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</si>
  <si>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</si>
  <si>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</si>
  <si>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</si>
  <si>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</si>
  <si>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</si>
  <si>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</si>
  <si>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</si>
  <si>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</si>
  <si>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</si>
  <si>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</si>
  <si>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</si>
  <si>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</si>
  <si>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</si>
  <si>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</si>
  <si>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</si>
  <si>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</si>
  <si>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</si>
  <si>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</si>
  <si>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</si>
  <si>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</si>
  <si>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</si>
  <si>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</si>
  <si>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</si>
  <si>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</si>
  <si>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</si>
  <si>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</si>
  <si>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</si>
  <si>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</si>
  <si>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</si>
  <si>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</si>
  <si>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</si>
  <si>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</si>
  <si>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</si>
  <si>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</si>
  <si>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</si>
  <si>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</si>
  <si>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</si>
  <si>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</si>
  <si>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</si>
  <si>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</si>
  <si>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</si>
  <si>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</si>
  <si>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</si>
  <si>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</si>
  <si>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</si>
  <si>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</si>
  <si>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</si>
  <si>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</si>
  <si>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</si>
  <si>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</si>
  <si>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</si>
  <si>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</si>
  <si>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</si>
  <si>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</si>
  <si>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</si>
  <si>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</si>
  <si>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</si>
  <si>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</si>
  <si>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</si>
  <si>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</si>
  <si>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</si>
  <si>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</si>
  <si>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</si>
  <si>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</si>
  <si>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</si>
  <si>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</si>
  <si>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</si>
  <si>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</si>
  <si>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</si>
  <si>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</si>
  <si>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</si>
  <si>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</si>
  <si>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</si>
  <si>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</si>
  <si>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</si>
  <si>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</si>
  <si>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</si>
  <si>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</si>
  <si>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</si>
  <si>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</si>
  <si>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</si>
  <si>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</si>
  <si>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</si>
  <si>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</si>
  <si>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</si>
  <si>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</si>
  <si>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</si>
  <si>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</si>
  <si>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</si>
  <si>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</si>
  <si>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</si>
  <si>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</si>
  <si>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</si>
  <si>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</si>
  <si>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</si>
  <si>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</si>
  <si>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</si>
  <si>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</si>
  <si>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</si>
  <si>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</si>
  <si>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</si>
  <si>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</si>
  <si>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</si>
  <si>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</si>
  <si>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</si>
  <si>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</si>
  <si>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</si>
  <si>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</si>
  <si>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</si>
  <si>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</si>
  <si>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</si>
  <si>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</si>
  <si>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</si>
  <si>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</si>
  <si>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</si>
  <si>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</si>
  <si>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</si>
  <si>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</si>
  <si>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</si>
  <si>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</si>
  <si>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</si>
  <si>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</si>
  <si>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</si>
  <si>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</si>
  <si>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</si>
  <si>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</si>
  <si>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</si>
  <si>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</si>
  <si>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</si>
  <si>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</si>
  <si>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</si>
  <si>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</si>
  <si>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</si>
  <si>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</si>
  <si>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</si>
  <si>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</si>
  <si>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</si>
  <si>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</si>
  <si>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</si>
  <si>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</si>
  <si>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</si>
  <si>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</si>
  <si>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</si>
  <si>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</si>
  <si>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</si>
  <si>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</si>
  <si>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</si>
  <si>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</si>
  <si>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</si>
  <si>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</si>
  <si>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</si>
  <si>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</si>
  <si>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</si>
  <si>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</si>
  <si>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</si>
  <si>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</si>
  <si>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</si>
  <si>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</si>
  <si>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</si>
  <si>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</si>
  <si>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</si>
  <si>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</si>
  <si>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</si>
  <si>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</si>
  <si>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</si>
  <si>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</si>
  <si>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</si>
  <si>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</si>
  <si>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</si>
  <si>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</si>
  <si>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</si>
  <si>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</si>
  <si>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</si>
  <si>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</si>
  <si>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</si>
  <si>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</si>
  <si>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</si>
  <si>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</si>
  <si>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</si>
  <si>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</si>
  <si>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</si>
  <si>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</si>
  <si>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</si>
  <si>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</si>
  <si>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</si>
  <si>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</si>
  <si>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</si>
  <si>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</si>
  <si>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</si>
  <si>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</si>
  <si>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</si>
  <si>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</si>
  <si>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</si>
  <si>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</si>
  <si>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</si>
  <si>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</si>
  <si>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</si>
  <si>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</si>
  <si>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</si>
  <si>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</si>
  <si>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</si>
  <si>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</si>
  <si>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</si>
  <si>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</si>
  <si>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</si>
  <si>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</si>
  <si>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</si>
  <si>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</si>
  <si>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</si>
  <si>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</si>
  <si>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</si>
  <si>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</si>
  <si>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</si>
  <si>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</si>
  <si>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</si>
  <si>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</si>
  <si>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</si>
  <si>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</si>
  <si>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</si>
  <si>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</si>
  <si>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</si>
  <si>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</si>
  <si>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</si>
  <si>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</si>
  <si>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</si>
  <si>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</si>
  <si>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</si>
  <si>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</si>
  <si>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</si>
  <si>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</si>
  <si>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</si>
  <si>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</si>
  <si>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</si>
  <si>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</si>
  <si>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</si>
  <si>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</si>
  <si>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</si>
  <si>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</si>
  <si>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</si>
  <si>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</si>
  <si>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</si>
  <si>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</si>
  <si>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</si>
  <si>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</si>
  <si>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</si>
  <si>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</si>
  <si>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</si>
  <si>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</si>
  <si>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</si>
  <si>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</si>
  <si>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</si>
  <si>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</si>
  <si>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</si>
  <si>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</si>
  <si>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</si>
  <si>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</si>
  <si>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</si>
  <si>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</si>
  <si>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</si>
  <si>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</si>
  <si>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</si>
  <si>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</si>
  <si>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</si>
  <si>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</si>
  <si>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</si>
  <si>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</si>
  <si>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</si>
  <si>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</si>
  <si>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</si>
  <si>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</si>
  <si>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</si>
  <si>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</si>
  <si>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</si>
  <si>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</si>
  <si>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</si>
  <si>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</si>
  <si>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</si>
  <si>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</si>
  <si>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</si>
  <si>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</si>
  <si>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</si>
  <si>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</si>
  <si>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</si>
  <si>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</si>
  <si>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</si>
  <si>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</si>
  <si>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</si>
  <si>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</si>
  <si>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</si>
  <si>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</si>
  <si>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</si>
  <si>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</si>
  <si>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</si>
  <si>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</si>
  <si>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</si>
  <si>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</si>
  <si>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</si>
  <si>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</si>
  <si>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</si>
  <si>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</si>
  <si>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</si>
  <si>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</si>
  <si>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</si>
  <si>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</si>
  <si>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</si>
  <si>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</si>
  <si>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</si>
  <si>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</si>
  <si>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</si>
  <si>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</si>
  <si>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</si>
  <si>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</si>
  <si>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</si>
  <si>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</si>
  <si>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</si>
  <si>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</si>
  <si>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</si>
  <si>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</si>
  <si>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</si>
  <si>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</si>
  <si>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</si>
  <si>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</si>
  <si>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</si>
  <si>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</si>
  <si>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</si>
  <si>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</si>
  <si>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</si>
  <si>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</si>
  <si>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</si>
  <si>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</si>
  <si>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</si>
  <si>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</si>
  <si>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</si>
  <si>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</si>
  <si>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</si>
  <si>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</si>
  <si>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</si>
  <si>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</si>
  <si>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</si>
  <si>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</si>
  <si>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</si>
  <si>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</si>
  <si>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</si>
  <si>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</si>
  <si>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</si>
  <si>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</si>
  <si>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</si>
  <si>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</si>
  <si>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</si>
  <si>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</si>
  <si>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</si>
  <si>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</si>
  <si>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</si>
  <si>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</si>
  <si>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</si>
  <si>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</si>
  <si>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</si>
  <si>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</si>
  <si>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</si>
  <si>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</si>
  <si>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</si>
  <si>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</si>
  <si>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</si>
  <si>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</si>
  <si>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</si>
  <si>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</si>
  <si>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</si>
  <si>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</si>
  <si>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</si>
  <si>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</si>
  <si>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</si>
  <si>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</si>
  <si>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</si>
  <si>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</si>
  <si>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</si>
  <si>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</si>
  <si>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</si>
  <si>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</si>
  <si>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</si>
  <si>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</si>
  <si>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</si>
  <si>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</si>
  <si>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</si>
  <si>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</si>
  <si>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</si>
  <si>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</si>
  <si>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</si>
  <si>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</si>
  <si>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</si>
  <si>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</si>
  <si>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</si>
  <si>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</si>
  <si>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</si>
  <si>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</si>
  <si>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</si>
  <si>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</si>
  <si>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</si>
  <si>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</si>
  <si>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</si>
  <si>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</si>
  <si>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</si>
  <si>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</si>
  <si>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</si>
  <si>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</si>
  <si>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</si>
  <si>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</si>
  <si>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</si>
  <si>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</si>
  <si>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</si>
  <si>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</si>
  <si>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</si>
  <si>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</si>
  <si>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</si>
  <si>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</si>
  <si>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</si>
  <si>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</si>
  <si>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</si>
  <si>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</si>
  <si>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</si>
  <si>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</si>
  <si>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</si>
  <si>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</si>
  <si>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</si>
  <si>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</si>
  <si>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</si>
  <si>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</si>
  <si>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</si>
  <si>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</si>
  <si>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</si>
  <si>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</si>
  <si>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</si>
  <si>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</si>
  <si>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</si>
  <si>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</si>
  <si>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</si>
  <si>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</si>
  <si>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</si>
  <si>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</si>
  <si>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</si>
  <si>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</si>
  <si>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</si>
  <si>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</si>
  <si>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</si>
  <si>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</si>
  <si>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</si>
  <si>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</si>
  <si>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</si>
  <si>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</si>
  <si>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</si>
  <si>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</si>
  <si>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</si>
  <si>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</si>
  <si>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</si>
  <si>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</si>
  <si>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</si>
  <si>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</si>
  <si>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</si>
  <si>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</si>
  <si>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</si>
  <si>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</si>
  <si>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</si>
  <si>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</si>
  <si>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</si>
  <si>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</si>
  <si>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</si>
  <si>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</si>
  <si>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</si>
  <si>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</si>
  <si>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</si>
  <si>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</si>
  <si>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</si>
  <si>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</si>
  <si>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</si>
  <si>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</si>
  <si>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</si>
  <si>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</si>
  <si>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</si>
  <si>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</si>
  <si>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</si>
  <si>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</si>
  <si>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</si>
  <si>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</si>
  <si>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</si>
  <si>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</si>
  <si>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</si>
  <si>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</si>
  <si>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</si>
  <si>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</si>
  <si>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</si>
  <si>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</si>
  <si>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</si>
  <si>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</si>
  <si>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</si>
  <si>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</si>
  <si>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</si>
  <si>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</si>
  <si>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</si>
  <si>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</si>
  <si>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</si>
  <si>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</si>
  <si>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</si>
  <si>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</si>
  <si>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</si>
  <si>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</si>
  <si>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</si>
  <si>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</si>
  <si>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</si>
  <si>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</si>
  <si>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</si>
  <si>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</si>
  <si>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</si>
  <si>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</si>
  <si>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</si>
  <si>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</si>
  <si>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</si>
  <si>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</si>
  <si>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</si>
  <si>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</si>
  <si>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</si>
  <si>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</si>
  <si>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</si>
  <si>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</si>
  <si>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</si>
  <si>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</si>
  <si>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</si>
  <si>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</si>
  <si>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</si>
  <si>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</si>
  <si>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</si>
  <si>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</si>
  <si>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</si>
  <si>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</si>
  <si>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</si>
  <si>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</si>
  <si>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</si>
  <si>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</si>
  <si>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</si>
  <si>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</si>
  <si>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</si>
  <si>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</si>
  <si>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</si>
  <si>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</si>
  <si>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</si>
  <si>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</si>
  <si>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</si>
  <si>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</si>
  <si>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</si>
  <si>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</si>
  <si>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</si>
  <si>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</si>
  <si>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</si>
  <si>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</si>
  <si>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</si>
  <si>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</si>
  <si>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</si>
  <si>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</si>
  <si>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</si>
  <si>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</si>
  <si>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</si>
  <si>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</si>
  <si>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</si>
  <si>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</si>
  <si>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</si>
  <si>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</si>
  <si>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</si>
  <si>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</si>
  <si>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</si>
  <si>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</si>
  <si>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</si>
  <si>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</si>
  <si>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</si>
  <si>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</si>
  <si>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</si>
  <si>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</si>
  <si>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</si>
  <si>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</si>
  <si>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</si>
  <si>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</si>
  <si>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</si>
  <si>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</si>
  <si>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</si>
  <si>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</si>
  <si>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</si>
  <si>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</si>
  <si>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</si>
  <si>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</si>
  <si>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</si>
  <si>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</si>
  <si>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</si>
  <si>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</si>
  <si>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</si>
  <si>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</si>
  <si>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</si>
  <si>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</si>
  <si>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</si>
  <si>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</si>
  <si>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</si>
  <si>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</si>
  <si>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</si>
  <si>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</si>
  <si>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</si>
  <si>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</si>
  <si>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</si>
  <si>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</si>
  <si>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</si>
  <si>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</si>
  <si>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</si>
  <si>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</si>
  <si>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</si>
  <si>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</si>
  <si>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</si>
  <si>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</si>
  <si>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</si>
  <si>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</si>
  <si>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</si>
  <si>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</si>
  <si>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</si>
  <si>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</si>
  <si>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</si>
  <si>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</si>
  <si>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</si>
  <si>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</si>
  <si>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</si>
  <si>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</si>
  <si>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</si>
  <si>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</si>
  <si>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</si>
  <si>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</si>
  <si>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</si>
  <si>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</si>
  <si>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</si>
  <si>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</si>
  <si>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</si>
  <si>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</si>
  <si>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</si>
  <si>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</si>
  <si>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</si>
  <si>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</si>
  <si>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</si>
  <si>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</si>
  <si>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</si>
  <si>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</si>
  <si>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</si>
  <si>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</si>
  <si>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</si>
  <si>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</si>
  <si>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</si>
  <si>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</si>
  <si>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</si>
  <si>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</si>
  <si>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</si>
  <si>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</si>
  <si>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</si>
  <si>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</si>
  <si>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</si>
  <si>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</si>
  <si>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</si>
  <si>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</si>
  <si>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</si>
  <si>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</si>
  <si>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</si>
  <si>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</si>
  <si>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</si>
  <si>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</si>
  <si>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</si>
  <si>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</si>
  <si>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</si>
  <si>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</si>
  <si>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</si>
  <si>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</si>
  <si>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</si>
  <si>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</si>
  <si>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</si>
  <si>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</si>
  <si>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</si>
  <si>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</si>
  <si>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</si>
  <si>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</si>
  <si>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</si>
  <si>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</si>
  <si>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</si>
  <si>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</si>
  <si>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</si>
  <si>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</si>
  <si>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</si>
  <si>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</si>
  <si>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</si>
  <si>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</si>
  <si>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</si>
  <si>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</si>
  <si>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</si>
  <si>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</si>
  <si>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</si>
  <si>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</si>
  <si>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</si>
  <si>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</si>
  <si>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</si>
  <si>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</si>
  <si>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</si>
  <si>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</si>
  <si>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</si>
  <si>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</si>
  <si>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</si>
  <si>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</si>
  <si>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</si>
  <si>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</si>
  <si>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</si>
  <si>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</si>
  <si>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</si>
  <si>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</si>
  <si>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</si>
  <si>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</si>
  <si>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</si>
  <si>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</si>
  <si>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</si>
  <si>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</si>
  <si>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</si>
  <si>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</si>
  <si>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</si>
  <si>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</si>
  <si>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</si>
  <si>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</si>
  <si>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</si>
  <si>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</si>
  <si>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</si>
  <si>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</si>
  <si>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</si>
  <si>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</si>
  <si>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</si>
  <si>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</si>
  <si>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</si>
  <si>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</si>
  <si>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</si>
  <si>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</si>
  <si>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</si>
  <si>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</si>
  <si>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</si>
  <si>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</si>
  <si>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</si>
  <si>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</si>
  <si>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</si>
  <si>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</si>
  <si>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</si>
  <si>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</si>
  <si>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</si>
  <si>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</si>
  <si>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</si>
  <si>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</si>
  <si>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</si>
  <si>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</si>
  <si>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</si>
  <si>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</si>
  <si>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</si>
  <si>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</si>
  <si>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</si>
  <si>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</si>
  <si>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</si>
  <si>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</si>
  <si>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</si>
  <si>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</si>
  <si>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</si>
  <si>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</si>
  <si>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</si>
  <si>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</si>
  <si>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</si>
  <si>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</si>
  <si>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</si>
  <si>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</si>
  <si>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</si>
  <si>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</si>
  <si>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</si>
  <si>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</si>
  <si>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</si>
  <si>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</si>
  <si>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</si>
  <si>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</si>
  <si>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</si>
  <si>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</si>
  <si>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</si>
  <si>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</si>
  <si>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</si>
  <si>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</si>
  <si>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</si>
  <si>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</si>
  <si>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</si>
  <si>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</si>
  <si>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</si>
  <si>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</si>
  <si>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</si>
  <si>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</si>
  <si>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</si>
  <si>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</si>
  <si>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</si>
  <si>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</si>
  <si>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</si>
  <si>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</si>
  <si>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</si>
  <si>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</si>
  <si>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</si>
  <si>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</si>
  <si>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</si>
  <si>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</si>
  <si>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</si>
  <si>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</si>
  <si>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</si>
  <si>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</si>
  <si>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</si>
  <si>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</si>
  <si>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</si>
  <si>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</si>
  <si>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</si>
  <si>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</si>
  <si>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</si>
  <si>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</si>
  <si>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</si>
  <si>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</si>
  <si>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</si>
  <si>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</si>
  <si>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</si>
  <si>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</si>
  <si>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</si>
  <si>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</si>
  <si>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</si>
  <si>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</si>
  <si>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</si>
  <si>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</si>
  <si>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</si>
  <si>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</si>
  <si>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</si>
  <si>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</si>
  <si>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</si>
  <si>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</si>
  <si>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</si>
  <si>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</si>
  <si>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</si>
  <si>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</si>
  <si>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</si>
  <si>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</si>
  <si>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</si>
  <si>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</si>
  <si>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</si>
  <si>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</si>
  <si>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</si>
  <si>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</si>
  <si>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</si>
  <si>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</si>
  <si>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</si>
  <si>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</si>
  <si>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</si>
  <si>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</si>
  <si>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</si>
  <si>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</si>
  <si>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</si>
  <si>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</si>
  <si>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</si>
  <si>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</si>
  <si>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</si>
  <si>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</si>
  <si>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</si>
  <si>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</si>
  <si>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</si>
  <si>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</si>
  <si>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</si>
  <si>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</si>
  <si>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</si>
  <si>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</si>
  <si>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</si>
  <si>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</si>
  <si>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</si>
  <si>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</si>
  <si>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</si>
  <si>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</si>
  <si>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</si>
  <si>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</si>
  <si>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</si>
  <si>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</si>
  <si>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</si>
  <si>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</si>
  <si>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</si>
  <si>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</si>
  <si>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</si>
  <si>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</si>
  <si>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</si>
  <si>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</si>
  <si>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</si>
  <si>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</si>
  <si>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</si>
  <si>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</si>
  <si>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</si>
  <si>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</si>
  <si>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</si>
  <si>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</si>
  <si>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</si>
  <si>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</si>
  <si>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</si>
  <si>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</si>
  <si>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</si>
  <si>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</si>
  <si>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</si>
  <si>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</si>
  <si>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</si>
  <si>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</si>
  <si>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</si>
  <si>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</si>
  <si>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</si>
  <si>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</si>
  <si>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</si>
  <si>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</si>
  <si>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</si>
  <si>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</si>
  <si>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</si>
  <si>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</si>
  <si>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</si>
  <si>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</si>
  <si>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</si>
  <si>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</si>
  <si>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</si>
  <si>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</si>
  <si>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</si>
  <si>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</si>
  <si>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</si>
  <si>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</si>
  <si>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</si>
  <si>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</si>
  <si>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</si>
  <si>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</si>
  <si>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</si>
  <si>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</si>
  <si>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</si>
  <si>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</si>
  <si>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</si>
  <si>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</si>
  <si>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</si>
  <si>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</si>
  <si>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</si>
  <si>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</si>
  <si>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</si>
  <si>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</si>
  <si>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</si>
  <si>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</si>
  <si>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</si>
  <si>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</si>
  <si>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</si>
  <si>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</si>
  <si>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</si>
  <si>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</si>
  <si>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</si>
  <si>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</si>
  <si>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</si>
  <si>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</si>
  <si>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</si>
  <si>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</si>
  <si>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</si>
  <si>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</si>
  <si>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</si>
  <si>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</si>
  <si>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</si>
  <si>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</si>
  <si>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</si>
  <si>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</si>
  <si>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</si>
  <si>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</si>
  <si>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</si>
  <si>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</si>
  <si>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</si>
  <si>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</si>
  <si>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</si>
  <si>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</si>
  <si>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</si>
  <si>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</si>
  <si>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</si>
  <si>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</si>
  <si>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</si>
  <si>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</si>
  <si>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</si>
  <si>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</si>
  <si>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</si>
  <si>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</si>
  <si>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</si>
  <si>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</si>
  <si>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</si>
  <si>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</si>
  <si>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</si>
  <si>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</si>
  <si>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</si>
  <si>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</si>
  <si>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</si>
  <si>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</si>
  <si>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</si>
  <si>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</si>
  <si>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</si>
  <si>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</si>
  <si>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</si>
  <si>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</si>
  <si>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</si>
  <si>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</si>
  <si>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</si>
  <si>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</si>
  <si>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</si>
  <si>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</si>
  <si>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</si>
  <si>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</si>
  <si>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</si>
  <si>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</si>
  <si>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</si>
  <si>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</si>
  <si>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</si>
  <si>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</si>
  <si>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</si>
  <si>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</si>
  <si>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</si>
  <si>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</si>
  <si>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</si>
  <si>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</si>
  <si>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</si>
  <si>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</si>
  <si>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</si>
  <si>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</si>
  <si>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</si>
  <si>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</si>
  <si>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</si>
  <si>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</si>
  <si>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</si>
  <si>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</si>
  <si>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</si>
  <si>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</si>
  <si>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</si>
  <si>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</si>
  <si>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</si>
  <si>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</si>
  <si>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</si>
  <si>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</si>
  <si>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</si>
  <si>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</si>
  <si>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</si>
  <si>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</si>
  <si>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</si>
  <si>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</si>
  <si>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</si>
  <si>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</si>
  <si>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</si>
  <si>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</si>
  <si>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</si>
  <si>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</si>
  <si>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</si>
  <si>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</si>
  <si>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</si>
  <si>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</si>
  <si>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</si>
  <si>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</si>
  <si>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</si>
  <si>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</si>
  <si>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</si>
  <si>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</si>
  <si>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</si>
  <si>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</si>
  <si>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</si>
  <si>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</si>
  <si>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</si>
  <si>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</si>
  <si>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</si>
  <si>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</si>
  <si>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</si>
  <si>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</si>
  <si>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</si>
  <si>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</si>
  <si>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</si>
  <si>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</si>
  <si>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</si>
  <si>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</si>
  <si>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</si>
  <si>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</si>
  <si>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</si>
  <si>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</si>
  <si>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</si>
  <si>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</si>
  <si>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</si>
  <si>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</si>
  <si>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</si>
  <si>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</si>
  <si>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</si>
  <si>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</si>
  <si>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</si>
  <si>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</si>
  <si>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</si>
  <si>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</si>
  <si>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</si>
  <si>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</si>
  <si>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</si>
  <si>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</si>
  <si>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</si>
  <si>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</si>
  <si>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</si>
  <si>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</si>
  <si>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</si>
  <si>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</si>
  <si>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</si>
  <si>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</si>
  <si>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</si>
  <si>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</si>
  <si>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</si>
  <si>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</si>
  <si>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</si>
  <si>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</si>
  <si>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</si>
  <si>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</si>
  <si>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</si>
  <si>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</si>
  <si>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</si>
  <si>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</si>
  <si>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</si>
  <si>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</si>
  <si>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</si>
  <si>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</si>
  <si>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</si>
  <si>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</si>
  <si>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</si>
  <si>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</si>
  <si>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</si>
  <si>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</si>
  <si>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</si>
  <si>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</si>
  <si>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</si>
  <si>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</si>
  <si>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</si>
  <si>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</si>
  <si>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</si>
  <si>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</si>
  <si>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</si>
  <si>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</si>
  <si>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</si>
  <si>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</si>
  <si>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</si>
  <si>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</si>
  <si>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</si>
  <si>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</si>
  <si>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</si>
  <si>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</si>
  <si>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</si>
  <si>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</si>
  <si>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</si>
  <si>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</si>
  <si>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</si>
  <si>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</si>
  <si>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</si>
  <si>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</si>
  <si>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</si>
  <si>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</si>
  <si>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</si>
  <si>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</si>
  <si>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</si>
  <si>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</si>
  <si>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</si>
  <si>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</si>
  <si>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</si>
  <si>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</si>
  <si>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</si>
  <si>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</si>
  <si>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</si>
  <si>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</si>
  <si>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</si>
  <si>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</si>
  <si>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</si>
  <si>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</si>
  <si>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</si>
  <si>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</si>
  <si>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</si>
  <si>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</si>
  <si>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</si>
  <si>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</si>
  <si>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</si>
  <si>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</si>
  <si>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</si>
  <si>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</si>
  <si>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</si>
  <si>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</si>
  <si>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</si>
  <si>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</si>
  <si>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</si>
  <si>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</si>
  <si>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</si>
  <si>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</si>
  <si>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</si>
  <si>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</si>
  <si>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</si>
  <si>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</si>
  <si>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</si>
  <si>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</si>
  <si>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</si>
  <si>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</si>
  <si>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</si>
  <si>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</si>
  <si>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</si>
  <si>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</si>
  <si>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</si>
  <si>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</si>
  <si>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</si>
  <si>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</si>
  <si>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</si>
  <si>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</si>
  <si>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</si>
  <si>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</si>
  <si>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</si>
  <si>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</si>
  <si>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</si>
  <si>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</si>
  <si>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</si>
  <si>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</si>
  <si>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</si>
  <si>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</si>
  <si>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</si>
  <si>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</si>
  <si>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</si>
  <si>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</si>
  <si>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</si>
  <si>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</si>
  <si>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</si>
  <si>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</si>
  <si>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</si>
  <si>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</si>
  <si>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</si>
  <si>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</si>
  <si>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</si>
  <si>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</si>
  <si>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</si>
  <si>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</si>
  <si>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</si>
  <si>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</si>
  <si>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</si>
  <si>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</si>
  <si>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</si>
  <si>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</si>
  <si>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</si>
  <si>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</si>
  <si>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</si>
  <si>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</si>
  <si>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</si>
  <si>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</si>
  <si>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</si>
  <si>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</si>
  <si>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</si>
  <si>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</si>
  <si>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</si>
  <si>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</si>
  <si>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</si>
  <si>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</si>
  <si>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</si>
  <si>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</si>
  <si>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</si>
  <si>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</si>
  <si>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</si>
  <si>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</si>
  <si>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</si>
  <si>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</si>
  <si>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</si>
  <si>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</si>
  <si>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</si>
  <si>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</si>
  <si>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</si>
  <si>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</si>
  <si>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</si>
  <si>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</si>
  <si>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</si>
  <si>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</si>
  <si>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</si>
  <si>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</si>
  <si>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</si>
  <si>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</si>
  <si>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</si>
  <si>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</si>
  <si>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</si>
  <si>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</si>
  <si>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</si>
  <si>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</si>
  <si>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</si>
  <si>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</si>
  <si>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</si>
  <si>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</si>
  <si>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</si>
  <si>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</si>
  <si>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</si>
  <si>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</si>
  <si>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</si>
  <si>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</si>
  <si>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</si>
  <si>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</si>
  <si>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</si>
  <si>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</si>
  <si>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</si>
  <si>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</si>
  <si>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</si>
  <si>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</si>
  <si>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</si>
  <si>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</si>
  <si>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</si>
  <si>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</si>
  <si>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</si>
  <si>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</si>
  <si>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</si>
  <si>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</si>
  <si>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</si>
  <si>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</si>
  <si>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</si>
  <si>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</si>
  <si>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</si>
  <si>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</si>
  <si>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</si>
  <si>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</si>
  <si>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</si>
  <si>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</si>
  <si>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</si>
  <si>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</si>
  <si>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</si>
  <si>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</si>
  <si>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</si>
  <si>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</si>
  <si>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</si>
  <si>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</si>
  <si>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</si>
  <si>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</si>
  <si>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</si>
  <si>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</si>
  <si>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</si>
  <si>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</si>
  <si>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</si>
  <si>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</si>
  <si>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</si>
  <si>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</si>
  <si>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</si>
  <si>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</si>
  <si>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</si>
  <si>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</si>
  <si>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</si>
  <si>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</si>
  <si>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</si>
  <si>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</si>
  <si>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</si>
  <si>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</si>
  <si>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</si>
  <si>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</si>
  <si>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</si>
  <si>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</si>
  <si>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</si>
  <si>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</si>
  <si>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</si>
  <si>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</si>
  <si>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</si>
  <si>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</si>
  <si>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</si>
  <si>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</si>
  <si>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</si>
  <si>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</si>
  <si>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</si>
  <si>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</si>
  <si>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</si>
  <si>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</si>
  <si>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</si>
  <si>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</si>
  <si>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</si>
  <si>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</si>
  <si>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</si>
  <si>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</si>
  <si>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</si>
  <si>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</si>
  <si>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</si>
  <si>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</si>
  <si>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</si>
  <si>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</si>
  <si>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</si>
  <si>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</si>
  <si>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</si>
  <si>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</si>
  <si>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</si>
  <si>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</si>
  <si>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</si>
  <si>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</si>
  <si>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</si>
  <si>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</si>
  <si>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</si>
  <si>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</si>
  <si>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</si>
  <si>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</si>
  <si>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</si>
  <si>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</si>
  <si>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</si>
  <si>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</si>
  <si>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</si>
  <si>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</si>
  <si>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</si>
  <si>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</si>
  <si>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</si>
  <si>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</si>
  <si>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</si>
  <si>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</si>
  <si>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</si>
  <si>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</si>
  <si>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</si>
  <si>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</si>
  <si>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</si>
  <si>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</si>
  <si>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</si>
  <si>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</si>
  <si>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</si>
  <si>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</si>
  <si>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</si>
  <si>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</si>
  <si>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</si>
  <si>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</si>
  <si>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</si>
  <si>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</si>
  <si>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</si>
  <si>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</si>
  <si>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</si>
  <si>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</si>
  <si>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</si>
  <si>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</si>
  <si>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</si>
  <si>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</si>
  <si>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</si>
  <si>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</si>
  <si>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</si>
  <si>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</si>
  <si>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</si>
  <si>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</si>
  <si>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</si>
  <si>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</si>
  <si>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</si>
  <si>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</si>
  <si>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</si>
  <si>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</si>
  <si>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</si>
  <si>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</si>
  <si>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</si>
  <si>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</si>
  <si>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</si>
  <si>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</si>
  <si>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</si>
  <si>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</si>
  <si>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</si>
  <si>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</si>
  <si>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</si>
  <si>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</si>
  <si>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</si>
  <si>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</si>
  <si>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</si>
  <si>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</si>
  <si>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</si>
  <si>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</si>
  <si>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</si>
  <si>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</si>
  <si>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</si>
  <si>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</si>
  <si>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</si>
  <si>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</si>
  <si>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</si>
  <si>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</si>
  <si>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</si>
  <si>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</si>
  <si>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</si>
  <si>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</si>
  <si>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</si>
  <si>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</si>
  <si>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</si>
  <si>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</si>
  <si>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</si>
  <si>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</si>
  <si>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</si>
  <si>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</si>
  <si>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</si>
  <si>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</si>
  <si>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</si>
  <si>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</si>
  <si>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</si>
  <si>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</si>
  <si>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</si>
  <si>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</si>
  <si>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</si>
  <si>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</si>
  <si>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</si>
  <si>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</si>
  <si>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</si>
  <si>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</si>
  <si>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</si>
  <si>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</si>
  <si>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</si>
  <si>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</si>
  <si>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</si>
  <si>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</si>
  <si>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</si>
  <si>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</si>
  <si>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</si>
  <si>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</si>
  <si>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</si>
  <si>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</si>
  <si>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</si>
  <si>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</si>
  <si>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</si>
  <si>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</si>
  <si>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</si>
  <si>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</si>
  <si>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</si>
  <si>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</si>
  <si>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</si>
  <si>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</si>
  <si>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</si>
  <si>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</si>
  <si>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</si>
  <si>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</si>
  <si>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</si>
  <si>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</si>
  <si>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</si>
  <si>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</si>
  <si>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</si>
  <si>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</si>
  <si>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</si>
  <si>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</si>
  <si>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</si>
  <si>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</si>
  <si>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</si>
  <si>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</si>
  <si>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</si>
  <si>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</si>
  <si>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</si>
  <si>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</si>
  <si>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</si>
  <si>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</si>
  <si>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</si>
  <si>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</si>
  <si>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</si>
  <si>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</si>
  <si>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</si>
  <si>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</si>
  <si>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</si>
  <si>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</si>
  <si>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</si>
  <si>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</si>
  <si>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</si>
  <si>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</si>
  <si>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</si>
  <si>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</si>
  <si>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</si>
  <si>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</si>
  <si>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</si>
  <si>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</si>
  <si>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</si>
  <si>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</si>
  <si>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</si>
  <si>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</si>
  <si>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</si>
  <si>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</si>
  <si>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</si>
  <si>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</si>
  <si>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</si>
  <si>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</si>
  <si>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</si>
  <si>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</si>
  <si>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郑燚</t>
  </si>
  <si>
    <t>抵押</t>
  </si>
  <si>
    <t>房地产抵押价值</t>
  </si>
  <si>
    <t>北京市</t>
  </si>
  <si>
    <t>企业</t>
  </si>
  <si>
    <t>出让</t>
  </si>
  <si>
    <t>商业项目</t>
  </si>
  <si>
    <t>无</t>
  </si>
  <si>
    <t>否</t>
  </si>
  <si>
    <t>现房</t>
  </si>
  <si>
    <t>通路</t>
  </si>
  <si>
    <t>通电</t>
  </si>
  <si>
    <t>通讯</t>
  </si>
  <si>
    <t>通上水</t>
  </si>
  <si>
    <t>通下水</t>
  </si>
  <si>
    <t>序号</t>
    <phoneticPr fontId="140" type="noConversion"/>
  </si>
  <si>
    <t>不动产权利人</t>
    <phoneticPr fontId="140" type="noConversion"/>
  </si>
  <si>
    <t>分区</t>
  </si>
  <si>
    <t>功能</t>
  </si>
  <si>
    <t>规划用途</t>
  </si>
  <si>
    <t>楼号或幢号</t>
    <phoneticPr fontId="140" type="noConversion"/>
  </si>
  <si>
    <t>所在楼层</t>
    <phoneticPr fontId="140" type="noConversion"/>
  </si>
  <si>
    <t>部位及房号</t>
    <phoneticPr fontId="140" type="noConversion"/>
  </si>
  <si>
    <t>不动产权证书编号</t>
    <phoneticPr fontId="140" type="noConversion"/>
  </si>
  <si>
    <t>房屋坐落地址</t>
  </si>
  <si>
    <t>建筑面积（㎡）</t>
  </si>
  <si>
    <t>套内面积（㎡)</t>
  </si>
  <si>
    <t>房屋结构</t>
    <phoneticPr fontId="140" type="noConversion"/>
  </si>
  <si>
    <t>说明</t>
  </si>
  <si>
    <t>北京东富益通投资中心（有限合伙）</t>
    <phoneticPr fontId="140" type="noConversion"/>
  </si>
  <si>
    <t>北区</t>
  </si>
  <si>
    <t>车库</t>
  </si>
  <si>
    <t>17号</t>
    <phoneticPr fontId="140" type="noConversion"/>
  </si>
  <si>
    <t>负1层</t>
    <phoneticPr fontId="140" type="noConversion"/>
  </si>
  <si>
    <t>负01层车库</t>
    <phoneticPr fontId="140" type="noConversion"/>
  </si>
  <si>
    <t>4（-03）</t>
    <phoneticPr fontId="140" type="noConversion"/>
  </si>
  <si>
    <t>钢混</t>
    <phoneticPr fontId="140" type="noConversion"/>
  </si>
  <si>
    <t>负2层</t>
    <phoneticPr fontId="140" type="noConversion"/>
  </si>
  <si>
    <t>负02层车库</t>
    <phoneticPr fontId="140" type="noConversion"/>
  </si>
  <si>
    <t>京（2020）朝不动产权第0013970号</t>
    <phoneticPr fontId="140" type="noConversion"/>
  </si>
  <si>
    <t>朝阳区广顺北大街17号-2层-02层车库</t>
    <phoneticPr fontId="140" type="noConversion"/>
  </si>
  <si>
    <t>负3层</t>
    <phoneticPr fontId="140" type="noConversion"/>
  </si>
  <si>
    <t>负03层车库</t>
    <phoneticPr fontId="140" type="noConversion"/>
  </si>
  <si>
    <t>京（2020）朝不动产权第0013418号</t>
    <phoneticPr fontId="140" type="noConversion"/>
  </si>
  <si>
    <t>朝阳区广顺北大街17号-3层-03层车库</t>
    <phoneticPr fontId="140" type="noConversion"/>
  </si>
  <si>
    <t>南区</t>
  </si>
  <si>
    <t>19号</t>
    <phoneticPr fontId="140" type="noConversion"/>
  </si>
  <si>
    <t>负02层汽车库</t>
    <phoneticPr fontId="140" type="noConversion"/>
  </si>
  <si>
    <t>4（-02）</t>
    <phoneticPr fontId="140" type="noConversion"/>
  </si>
  <si>
    <t>京（2020）朝不动产权第0013363号</t>
    <phoneticPr fontId="140" type="noConversion"/>
  </si>
  <si>
    <t>朝阳区广顺北大街19号-2层-02层汽车库</t>
    <phoneticPr fontId="140" type="noConversion"/>
  </si>
  <si>
    <t>合计</t>
    <phoneticPr fontId="140" type="noConversion"/>
  </si>
  <si>
    <t>是</t>
  </si>
  <si>
    <t>地下</t>
  </si>
  <si>
    <t>车库—商业</t>
  </si>
  <si>
    <t>成新度</t>
  </si>
  <si>
    <t>钢混</t>
  </si>
  <si>
    <t>非生产用房</t>
  </si>
  <si>
    <t>自定义</t>
  </si>
  <si>
    <t>按租金收入计税</t>
  </si>
  <si>
    <t>收益法</t>
  </si>
  <si>
    <t>利息：取LPR加浮动点数</t>
  </si>
  <si>
    <t>未包含在土地购买价格中</t>
  </si>
  <si>
    <t>全部缴纳</t>
  </si>
  <si>
    <t>已包含在土地取得成本中</t>
  </si>
  <si>
    <t>总价</t>
  </si>
  <si>
    <t>成本比率</t>
  </si>
  <si>
    <t>成本法</t>
  </si>
  <si>
    <t>崔锴</t>
  </si>
  <si>
    <t>交通银行股份有限公司北京慧忠里支行</t>
    <phoneticPr fontId="6" type="noConversion"/>
  </si>
  <si>
    <r>
      <rPr>
        <sz val="10"/>
        <color theme="9" tint="-0.249977111117893"/>
        <rFont val="宋体"/>
        <family val="3"/>
        <charset val="134"/>
      </rPr>
      <t>朝阳区广顺北大街</t>
    </r>
    <r>
      <rPr>
        <sz val="10"/>
        <color theme="9" tint="-0.249977111117893"/>
        <rFont val="Arial"/>
        <family val="2"/>
      </rPr>
      <t>17</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层</t>
    </r>
    <r>
      <rPr>
        <sz val="10"/>
        <color theme="9" tint="-0.249977111117893"/>
        <rFont val="Arial"/>
        <family val="2"/>
      </rPr>
      <t>01</t>
    </r>
    <r>
      <rPr>
        <sz val="10"/>
        <color theme="9" tint="-0.249977111117893"/>
        <rFont val="宋体"/>
        <family val="3"/>
        <charset val="134"/>
      </rPr>
      <t>层</t>
    </r>
    <r>
      <rPr>
        <sz val="10"/>
        <color theme="9" tint="-0.249977111117893"/>
        <rFont val="Arial"/>
        <family val="2"/>
      </rPr>
      <t>A03</t>
    </r>
    <r>
      <rPr>
        <sz val="10"/>
        <color theme="9" tint="-0.249977111117893"/>
        <rFont val="宋体"/>
        <family val="3"/>
        <charset val="134"/>
      </rPr>
      <t>等共</t>
    </r>
    <r>
      <rPr>
        <sz val="10"/>
        <color theme="9" tint="-0.249977111117893"/>
        <rFont val="Arial"/>
        <family val="2"/>
      </rPr>
      <t>57</t>
    </r>
    <r>
      <rPr>
        <sz val="10"/>
        <color theme="9" tint="-0.249977111117893"/>
        <rFont val="宋体"/>
        <family val="3"/>
        <charset val="134"/>
      </rPr>
      <t>套商业用房、</t>
    </r>
    <r>
      <rPr>
        <sz val="10"/>
        <color theme="9" tint="-0.249977111117893"/>
        <rFont val="Arial"/>
        <family val="2"/>
      </rPr>
      <t>4</t>
    </r>
    <r>
      <rPr>
        <sz val="10"/>
        <color theme="9" tint="-0.249977111117893"/>
        <rFont val="宋体"/>
        <family val="3"/>
        <charset val="134"/>
      </rPr>
      <t>套地下车库用房</t>
    </r>
    <phoneticPr fontId="6" type="noConversion"/>
  </si>
  <si>
    <t>房屋总层数</t>
    <phoneticPr fontId="140" type="noConversion"/>
  </si>
  <si>
    <t xml:space="preserve"> </t>
    <phoneticPr fontId="140" type="noConversion"/>
  </si>
  <si>
    <t>朝阳区广顺北大街17号-1层-01层车库</t>
    <phoneticPr fontId="140" type="noConversion"/>
  </si>
  <si>
    <t>京（2020）朝不动产权第0013495号</t>
    <phoneticPr fontId="140" type="noConversion"/>
  </si>
  <si>
    <t>序号</t>
    <phoneticPr fontId="140" type="noConversion"/>
  </si>
  <si>
    <t>不动产权利人</t>
    <phoneticPr fontId="140" type="noConversion"/>
  </si>
  <si>
    <t>楼号或幢号</t>
    <phoneticPr fontId="140" type="noConversion"/>
  </si>
  <si>
    <t>所在楼层</t>
    <phoneticPr fontId="140" type="noConversion"/>
  </si>
  <si>
    <t>部位及房号</t>
    <phoneticPr fontId="140" type="noConversion"/>
  </si>
  <si>
    <t>房屋总层数</t>
    <phoneticPr fontId="140" type="noConversion"/>
  </si>
  <si>
    <t>不动产权证书编号</t>
    <phoneticPr fontId="140" type="noConversion"/>
  </si>
  <si>
    <t>房屋结构</t>
    <phoneticPr fontId="140" type="noConversion"/>
  </si>
  <si>
    <t>北京东富益通投资中心（有限合伙）</t>
    <phoneticPr fontId="140" type="noConversion"/>
  </si>
  <si>
    <t>商业用房</t>
  </si>
  <si>
    <t>17号</t>
    <phoneticPr fontId="140" type="noConversion"/>
  </si>
  <si>
    <t>1层</t>
    <phoneticPr fontId="140" type="noConversion"/>
  </si>
  <si>
    <t>01层A03</t>
    <phoneticPr fontId="140" type="noConversion"/>
  </si>
  <si>
    <t>4（-03）</t>
    <phoneticPr fontId="140" type="noConversion"/>
  </si>
  <si>
    <t>京（2020）朝不动产权第0012879号</t>
    <phoneticPr fontId="140" type="noConversion"/>
  </si>
  <si>
    <t>朝阳区广顺北大街17号1层01层A03</t>
    <phoneticPr fontId="140" type="noConversion"/>
  </si>
  <si>
    <t>钢混</t>
    <phoneticPr fontId="140" type="noConversion"/>
  </si>
  <si>
    <t>北京东富益通投资中心（有限合伙）</t>
  </si>
  <si>
    <t>01层A05</t>
    <phoneticPr fontId="140" type="noConversion"/>
  </si>
  <si>
    <t>京（2020）朝不动产权第0013974号</t>
    <phoneticPr fontId="140" type="noConversion"/>
  </si>
  <si>
    <t>朝阳区广顺北大街17号1层01层A05</t>
    <phoneticPr fontId="140" type="noConversion"/>
  </si>
  <si>
    <t>01层A10</t>
    <phoneticPr fontId="140" type="noConversion"/>
  </si>
  <si>
    <t>京（2020）朝不动产权第0013504号</t>
    <phoneticPr fontId="140" type="noConversion"/>
  </si>
  <si>
    <t>朝阳区广顺北大街17号1层01层A10</t>
    <phoneticPr fontId="140" type="noConversion"/>
  </si>
  <si>
    <t>01层B01</t>
    <phoneticPr fontId="140" type="noConversion"/>
  </si>
  <si>
    <t>京（2020）朝不动产权第0013502号</t>
    <phoneticPr fontId="140" type="noConversion"/>
  </si>
  <si>
    <t>朝阳区广顺北大街17号1层01层B01</t>
    <phoneticPr fontId="140" type="noConversion"/>
  </si>
  <si>
    <t>租户：麦当劳</t>
  </si>
  <si>
    <t>01层B02</t>
    <phoneticPr fontId="140" type="noConversion"/>
  </si>
  <si>
    <t>京（2020）朝不动产权第0012888号</t>
    <phoneticPr fontId="140" type="noConversion"/>
  </si>
  <si>
    <t>朝阳区广顺北大街17号1层01层B02</t>
    <phoneticPr fontId="140" type="noConversion"/>
  </si>
  <si>
    <t>01层B03</t>
    <phoneticPr fontId="140" type="noConversion"/>
  </si>
  <si>
    <t>京（2020）朝不动产权第0012887号</t>
    <phoneticPr fontId="140" type="noConversion"/>
  </si>
  <si>
    <t>朝阳区广顺北大街17号1层01层B03</t>
    <phoneticPr fontId="140" type="noConversion"/>
  </si>
  <si>
    <t>01层B03a</t>
    <phoneticPr fontId="140" type="noConversion"/>
  </si>
  <si>
    <t>京（2020）朝不动产权第0012877号</t>
    <phoneticPr fontId="140" type="noConversion"/>
  </si>
  <si>
    <t>朝阳区广顺北大街17号1层01层B03a</t>
    <phoneticPr fontId="140" type="noConversion"/>
  </si>
  <si>
    <t>01层B06</t>
    <phoneticPr fontId="140" type="noConversion"/>
  </si>
  <si>
    <t>京（2020）朝不动产权第0013513号</t>
    <phoneticPr fontId="140" type="noConversion"/>
  </si>
  <si>
    <t>朝阳区广顺北大街17号1层01层B06</t>
    <phoneticPr fontId="140" type="noConversion"/>
  </si>
  <si>
    <t>2层</t>
    <phoneticPr fontId="140" type="noConversion"/>
  </si>
  <si>
    <t>02层A07</t>
    <phoneticPr fontId="140" type="noConversion"/>
  </si>
  <si>
    <t>京（2020）朝不动产权第0013423号</t>
    <phoneticPr fontId="140" type="noConversion"/>
  </si>
  <si>
    <t>朝阳区广顺北大街17号2层02层A07</t>
    <phoneticPr fontId="140" type="noConversion"/>
  </si>
  <si>
    <t>02层A09</t>
    <phoneticPr fontId="140" type="noConversion"/>
  </si>
  <si>
    <t>京（2020）朝不动产权第0013421号</t>
    <phoneticPr fontId="140" type="noConversion"/>
  </si>
  <si>
    <t>朝阳区广顺北大街17号2层02层A09</t>
    <phoneticPr fontId="140" type="noConversion"/>
  </si>
  <si>
    <t>02层A32</t>
    <phoneticPr fontId="140" type="noConversion"/>
  </si>
  <si>
    <t>京（2020）朝不动产权第0012885号</t>
    <phoneticPr fontId="140" type="noConversion"/>
  </si>
  <si>
    <t>朝阳区广顺北大街17号2层02层A32</t>
  </si>
  <si>
    <t>3层</t>
    <phoneticPr fontId="140" type="noConversion"/>
  </si>
  <si>
    <t>03层A01</t>
    <phoneticPr fontId="140" type="noConversion"/>
  </si>
  <si>
    <t>京（2020）朝不动产权第0013498号</t>
    <phoneticPr fontId="140" type="noConversion"/>
  </si>
  <si>
    <t>朝阳区广顺北大街17号3层03层A01</t>
  </si>
  <si>
    <t>03层A02</t>
    <phoneticPr fontId="140" type="noConversion"/>
  </si>
  <si>
    <t xml:space="preserve"> 京（2020）朝不动产权第0013416号</t>
    <phoneticPr fontId="140" type="noConversion"/>
  </si>
  <si>
    <t>朝阳区广顺北大街17号3层03层A02</t>
  </si>
  <si>
    <t>03层A03</t>
    <phoneticPr fontId="140" type="noConversion"/>
  </si>
  <si>
    <t>京（2020）朝不动产权第0012880号</t>
    <phoneticPr fontId="140" type="noConversion"/>
  </si>
  <si>
    <t>朝阳区广顺北大街17号3层03层A03</t>
  </si>
  <si>
    <t>03层A03a</t>
    <phoneticPr fontId="140" type="noConversion"/>
  </si>
  <si>
    <t>京（2020）朝不动产权第0013506号</t>
    <phoneticPr fontId="140" type="noConversion"/>
  </si>
  <si>
    <t>朝阳区广顺北大街17号3层03层A03a</t>
  </si>
  <si>
    <t>03层B01</t>
    <phoneticPr fontId="140" type="noConversion"/>
  </si>
  <si>
    <t>京（2020）朝不动产权第0013419号</t>
    <phoneticPr fontId="140" type="noConversion"/>
  </si>
  <si>
    <t>朝阳区广顺北大街17号3层03层B01</t>
  </si>
  <si>
    <t>03层B02</t>
    <phoneticPr fontId="140" type="noConversion"/>
  </si>
  <si>
    <t>京（2020）朝不动产权第0013424号</t>
    <phoneticPr fontId="140" type="noConversion"/>
  </si>
  <si>
    <t>朝阳区广顺北大街17号3层03层B02</t>
  </si>
  <si>
    <t>03层B03</t>
    <phoneticPr fontId="140" type="noConversion"/>
  </si>
  <si>
    <t>京（2020）朝不动产权第0013425号</t>
    <phoneticPr fontId="140" type="noConversion"/>
  </si>
  <si>
    <t>朝阳区广顺北大街17号3层03层B03</t>
  </si>
  <si>
    <t>03层B03a</t>
    <phoneticPr fontId="140" type="noConversion"/>
  </si>
  <si>
    <t>京（2020）朝不动产权第0013967号</t>
    <phoneticPr fontId="140" type="noConversion"/>
  </si>
  <si>
    <t>朝阳区广顺北大街17号3层03层B03a</t>
  </si>
  <si>
    <t>4层</t>
    <phoneticPr fontId="140" type="noConversion"/>
  </si>
  <si>
    <t>04层A01</t>
    <phoneticPr fontId="140" type="noConversion"/>
  </si>
  <si>
    <t>京（2020）朝不动产权第0013959号</t>
    <phoneticPr fontId="140" type="noConversion"/>
  </si>
  <si>
    <t>朝阳区广顺北大街17号4层04层A01</t>
  </si>
  <si>
    <t>04层A02</t>
    <phoneticPr fontId="140" type="noConversion"/>
  </si>
  <si>
    <t>京（2020）朝不动产权第0013512号</t>
    <phoneticPr fontId="140" type="noConversion"/>
  </si>
  <si>
    <t>朝阳区广顺北大街17号4层04层A02</t>
  </si>
  <si>
    <t>04层A03</t>
    <phoneticPr fontId="140" type="noConversion"/>
  </si>
  <si>
    <t>京（2020）朝不动产权第0013971号</t>
    <phoneticPr fontId="140" type="noConversion"/>
  </si>
  <si>
    <t>朝阳区广顺北大街17号4层04层A03</t>
  </si>
  <si>
    <t>04层A03a</t>
    <phoneticPr fontId="140" type="noConversion"/>
  </si>
  <si>
    <t>京（2020）朝不动产权第0012883号</t>
    <phoneticPr fontId="140" type="noConversion"/>
  </si>
  <si>
    <t>朝阳区广顺北大街17号4层04层A03a</t>
  </si>
  <si>
    <t>04层B01</t>
    <phoneticPr fontId="140" type="noConversion"/>
  </si>
  <si>
    <t>京（2020）朝不动产权第0012884号</t>
    <phoneticPr fontId="140" type="noConversion"/>
  </si>
  <si>
    <t>朝阳区广顺北大街17号4层04层B01</t>
  </si>
  <si>
    <t>04层B02</t>
    <phoneticPr fontId="140" type="noConversion"/>
  </si>
  <si>
    <t>京（2020）朝不动产权第0013508号</t>
    <phoneticPr fontId="140" type="noConversion"/>
  </si>
  <si>
    <t>朝阳区广顺北大街17号4层04层B02</t>
  </si>
  <si>
    <t>04层B03</t>
    <phoneticPr fontId="140" type="noConversion"/>
  </si>
  <si>
    <t>京（2020）朝不动产权第0013373号</t>
    <phoneticPr fontId="140" type="noConversion"/>
  </si>
  <si>
    <t>朝阳区广顺北大街17号4层04层B03</t>
  </si>
  <si>
    <t>04层B03a</t>
    <phoneticPr fontId="140" type="noConversion"/>
  </si>
  <si>
    <t>京（2020）朝不动产权第0012873号</t>
    <phoneticPr fontId="140" type="noConversion"/>
  </si>
  <si>
    <t>朝阳区广顺北大街17号4层04层B03a</t>
  </si>
  <si>
    <t>负1层</t>
    <phoneticPr fontId="140" type="noConversion"/>
  </si>
  <si>
    <t>负01层A01</t>
    <phoneticPr fontId="140" type="noConversion"/>
  </si>
  <si>
    <t>京（2020）朝不动产权第0013973号</t>
    <phoneticPr fontId="140" type="noConversion"/>
  </si>
  <si>
    <t>朝阳区广顺北大街17号-1层-01层A01</t>
    <phoneticPr fontId="140" type="noConversion"/>
  </si>
  <si>
    <t>租户：物美超市</t>
  </si>
  <si>
    <t>负01层A02</t>
    <phoneticPr fontId="140" type="noConversion"/>
  </si>
  <si>
    <t>京（2020）朝不动产权第0013380号</t>
    <phoneticPr fontId="140" type="noConversion"/>
  </si>
  <si>
    <t>朝阳区广顺北大街17号-1层-01层A02</t>
    <phoneticPr fontId="140" type="noConversion"/>
  </si>
  <si>
    <t>负01层A03</t>
    <phoneticPr fontId="140" type="noConversion"/>
  </si>
  <si>
    <t>京（2020）朝不动产权第0013165号</t>
    <phoneticPr fontId="140" type="noConversion"/>
  </si>
  <si>
    <t>朝阳区广顺北大街17号-1层-01层A03</t>
    <phoneticPr fontId="140" type="noConversion"/>
  </si>
  <si>
    <t>负01层A03a</t>
    <phoneticPr fontId="140" type="noConversion"/>
  </si>
  <si>
    <t>京（2020）朝不动产权第0012876号</t>
    <phoneticPr fontId="140" type="noConversion"/>
  </si>
  <si>
    <t>朝阳区广顺北大街17号-1层-01层A03a</t>
    <phoneticPr fontId="140" type="noConversion"/>
  </si>
  <si>
    <t>负01层A05</t>
    <phoneticPr fontId="140" type="noConversion"/>
  </si>
  <si>
    <t xml:space="preserve"> 京（2020）朝不动产权第0012878号</t>
    <phoneticPr fontId="140" type="noConversion"/>
  </si>
  <si>
    <t>朝阳区广顺北大街17号-1层-01层A05</t>
    <phoneticPr fontId="140" type="noConversion"/>
  </si>
  <si>
    <t>19号</t>
    <phoneticPr fontId="140" type="noConversion"/>
  </si>
  <si>
    <t>01层A03a</t>
    <phoneticPr fontId="140" type="noConversion"/>
  </si>
  <si>
    <t>4（-02）</t>
    <phoneticPr fontId="140" type="noConversion"/>
  </si>
  <si>
    <t>京（2020）朝不动产权第0012872号</t>
    <phoneticPr fontId="140" type="noConversion"/>
  </si>
  <si>
    <t>朝阳区广顺北大街19号1层01层A03a</t>
  </si>
  <si>
    <t>租户：必胜客</t>
  </si>
  <si>
    <t>01层A06</t>
    <phoneticPr fontId="140" type="noConversion"/>
  </si>
  <si>
    <t>京（2020）朝不动产权第0013350号</t>
    <phoneticPr fontId="140" type="noConversion"/>
  </si>
  <si>
    <t>朝阳区广顺北大街19号1层01层A06</t>
  </si>
  <si>
    <t>01层A08</t>
    <phoneticPr fontId="140" type="noConversion"/>
  </si>
  <si>
    <t>京（2020）朝不动产权第0012871号</t>
    <phoneticPr fontId="140" type="noConversion"/>
  </si>
  <si>
    <t>朝阳区广顺北大街19号1层01层A08</t>
  </si>
  <si>
    <t>01层A11</t>
    <phoneticPr fontId="140" type="noConversion"/>
  </si>
  <si>
    <t>京（2020）朝不动产权第0013370号</t>
    <phoneticPr fontId="140" type="noConversion"/>
  </si>
  <si>
    <t>朝阳区广顺北大街19号1层01层A11</t>
  </si>
  <si>
    <t>01层A21</t>
    <phoneticPr fontId="140" type="noConversion"/>
  </si>
  <si>
    <t>京（2020）朝不动产权第0013355号</t>
    <phoneticPr fontId="140" type="noConversion"/>
  </si>
  <si>
    <t>朝阳区广顺北大街19号1层01层A21</t>
  </si>
  <si>
    <t>01层A22</t>
    <phoneticPr fontId="140" type="noConversion"/>
  </si>
  <si>
    <t>京（2020）朝不动产权第0012874号</t>
    <phoneticPr fontId="140" type="noConversion"/>
  </si>
  <si>
    <t>朝阳区广顺北大街19号1层01层A22</t>
  </si>
  <si>
    <t>02层A03a</t>
    <phoneticPr fontId="140" type="noConversion"/>
  </si>
  <si>
    <t>京（2020）朝不动产权第0012882号</t>
    <phoneticPr fontId="140" type="noConversion"/>
  </si>
  <si>
    <t>朝阳区广顺北大街19号2层02层A03a</t>
  </si>
  <si>
    <t>02层A16</t>
    <phoneticPr fontId="140" type="noConversion"/>
  </si>
  <si>
    <t>京（2020）朝不动产权第0013387号</t>
    <phoneticPr fontId="140" type="noConversion"/>
  </si>
  <si>
    <t>朝阳区广顺北大街19号2层02层A16</t>
  </si>
  <si>
    <t>02层A19</t>
    <phoneticPr fontId="140" type="noConversion"/>
  </si>
  <si>
    <t>京（2020）朝不动产权第0012875号</t>
    <phoneticPr fontId="140" type="noConversion"/>
  </si>
  <si>
    <t>朝阳区广顺北大街19号2层02层A19</t>
  </si>
  <si>
    <t>京（2020）朝不动产权第0012889号</t>
    <phoneticPr fontId="140" type="noConversion"/>
  </si>
  <si>
    <t>朝阳区广顺北大街19号3层03层A01</t>
  </si>
  <si>
    <t>京（2020）朝不动产权第0012881号</t>
    <phoneticPr fontId="140" type="noConversion"/>
  </si>
  <si>
    <t>朝阳区广顺北大街19号3层03层A02</t>
  </si>
  <si>
    <t>京（2020）朝不动产权第0013960号</t>
    <phoneticPr fontId="140" type="noConversion"/>
  </si>
  <si>
    <t>朝阳区广顺北大街19号3层03层B02</t>
  </si>
  <si>
    <t>03层B05</t>
    <phoneticPr fontId="140" type="noConversion"/>
  </si>
  <si>
    <t>京（2020）朝不动产权第0013489号</t>
    <phoneticPr fontId="140" type="noConversion"/>
  </si>
  <si>
    <t>朝阳区广顺北大街19号3层03层B05</t>
  </si>
  <si>
    <t>京（2020）朝不动产权第0013420号</t>
    <phoneticPr fontId="140" type="noConversion"/>
  </si>
  <si>
    <t>朝阳区广顺北大街19号4层04层A01</t>
  </si>
  <si>
    <t>京（2020）朝不动产权第0013385号</t>
    <phoneticPr fontId="140" type="noConversion"/>
  </si>
  <si>
    <t>朝阳区广顺北大街19号4层04层A02</t>
  </si>
  <si>
    <t>京（2020）朝不动产权第0012886号</t>
    <phoneticPr fontId="140" type="noConversion"/>
  </si>
  <si>
    <t>朝阳区广顺北大街19号4层04层A03</t>
  </si>
  <si>
    <t>04层A05</t>
    <phoneticPr fontId="140" type="noConversion"/>
  </si>
  <si>
    <t>京（2020）朝不动产权第0013422号</t>
    <phoneticPr fontId="140" type="noConversion"/>
  </si>
  <si>
    <t>朝阳区广顺北大街19号4层04层A05</t>
  </si>
  <si>
    <t>京（2020）朝不动产权第0013963号</t>
    <phoneticPr fontId="140" type="noConversion"/>
  </si>
  <si>
    <t>朝阳区广顺北大街19号4层04层B01</t>
  </si>
  <si>
    <t>京（2020）朝不动产权第0013964号</t>
    <phoneticPr fontId="140" type="noConversion"/>
  </si>
  <si>
    <t>朝阳区广顺北大街19号4层04层B02</t>
  </si>
  <si>
    <t>京（2020）朝不动产权第0013965号</t>
    <phoneticPr fontId="140" type="noConversion"/>
  </si>
  <si>
    <t>朝阳区广顺北大街19号4层04层B03</t>
  </si>
  <si>
    <t>04层B05</t>
    <phoneticPr fontId="140" type="noConversion"/>
  </si>
  <si>
    <t>京（2020）朝不动产权第0013368号</t>
    <phoneticPr fontId="140" type="noConversion"/>
  </si>
  <si>
    <t>朝阳区广顺北大街19号4层04层B05</t>
  </si>
  <si>
    <t>京（2020）朝不动产权第0013968号</t>
    <phoneticPr fontId="140" type="noConversion"/>
  </si>
  <si>
    <t>朝阳区广顺北大街19号-1层-01层A02</t>
  </si>
  <si>
    <t>京（2020）朝不动产权第0013969号</t>
    <phoneticPr fontId="140" type="noConversion"/>
  </si>
  <si>
    <t>朝阳区广顺北大街19号-1层-01层A03</t>
  </si>
  <si>
    <t>京（2020）朝不动产权第0013417号</t>
    <phoneticPr fontId="140" type="noConversion"/>
  </si>
  <si>
    <t>朝阳区广顺北大街19号-1层-01层A05</t>
  </si>
  <si>
    <t>负01层A06</t>
    <phoneticPr fontId="140" type="noConversion"/>
  </si>
  <si>
    <t>京（2020）朝不动产权第0013358号</t>
    <phoneticPr fontId="140" type="noConversion"/>
  </si>
  <si>
    <t>朝阳区广顺北大街19号-1层-01层A06</t>
  </si>
  <si>
    <t>合计</t>
    <phoneticPr fontId="140" type="noConversion"/>
  </si>
  <si>
    <t>商业小计</t>
    <phoneticPr fontId="140" type="noConversion"/>
  </si>
  <si>
    <t>地下车库小计</t>
    <phoneticPr fontId="140" type="noConversion"/>
  </si>
  <si>
    <t>直线</t>
    <phoneticPr fontId="3" type="noConversion"/>
  </si>
  <si>
    <t>观察</t>
    <phoneticPr fontId="3" type="noConversion"/>
  </si>
  <si>
    <t>综合</t>
    <phoneticPr fontId="3" type="noConversion"/>
  </si>
  <si>
    <t>收益法-商业</t>
  </si>
  <si>
    <t>收益法-商业</t>
    <phoneticPr fontId="16" type="noConversion"/>
  </si>
  <si>
    <t>地上</t>
  </si>
  <si>
    <t>独立商业</t>
  </si>
  <si>
    <t>商业-独栋</t>
  </si>
  <si>
    <t>商业-独栋</t>
    <phoneticPr fontId="7" type="noConversion"/>
  </si>
  <si>
    <t>地下车库</t>
    <phoneticPr fontId="7" type="noConversion"/>
  </si>
  <si>
    <t>押二</t>
  </si>
  <si>
    <t>楼层</t>
    <phoneticPr fontId="3" type="noConversion"/>
  </si>
  <si>
    <t>系数</t>
    <phoneticPr fontId="3" type="noConversion"/>
  </si>
  <si>
    <t>租金</t>
    <phoneticPr fontId="3" type="noConversion"/>
  </si>
  <si>
    <t>收益法（汇总）</t>
  </si>
  <si>
    <t>商业</t>
    <phoneticPr fontId="140" type="noConversion"/>
  </si>
  <si>
    <t>地下商业</t>
    <phoneticPr fontId="140" type="noConversion"/>
  </si>
  <si>
    <t>车库</t>
    <phoneticPr fontId="140" type="noConversion"/>
  </si>
  <si>
    <t>宗地面积</t>
    <phoneticPr fontId="140" type="noConversion"/>
  </si>
  <si>
    <t>1层</t>
    <phoneticPr fontId="140" type="noConversion"/>
  </si>
  <si>
    <t>2层</t>
  </si>
  <si>
    <t>3层</t>
  </si>
  <si>
    <t>4层</t>
  </si>
  <si>
    <t>面积</t>
    <phoneticPr fontId="3" type="noConversion"/>
  </si>
  <si>
    <t>北区面积</t>
    <phoneticPr fontId="140" type="noConversion"/>
  </si>
  <si>
    <t>南区面积</t>
    <phoneticPr fontId="140" type="noConversion"/>
  </si>
  <si>
    <t>装修改造费用</t>
    <phoneticPr fontId="140" type="noConversion"/>
  </si>
  <si>
    <t>北区</t>
    <phoneticPr fontId="140" type="noConversion"/>
  </si>
  <si>
    <t>南区</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</si>
</sst>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5" fillId="0" borderId="0" applyFont="0" applyFill="0" applyBorder="0" applyAlignment="0" applyProtection="0">
      <alignment vertical="center"/>
    </xf>
  </cellStyleXfs>
  <cellXfs count="36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165" fillId="0" borderId="0" xfId="12" applyAlignment="1">
      <alignment vertical="center"/>
    </xf>
    <xf numFmtId="0" fontId="111" fillId="0" borderId="1" xfId="12" applyFont="1" applyBorder="1" applyAlignment="1">
      <alignment horizontal="left" vertical="center" wrapText="1"/>
    </xf>
    <xf numFmtId="0" fontId="117" fillId="0" borderId="1" xfId="12" applyFont="1" applyBorder="1" applyAlignment="1">
      <alignment horizontal="left" vertical="center" wrapText="1"/>
    </xf>
    <xf numFmtId="0" fontId="165" fillId="0" borderId="0" xfId="12"/>
    <xf numFmtId="177" fontId="79" fillId="0" borderId="1" xfId="1" applyNumberFormat="1" applyFont="1" applyFill="1" applyBorder="1" applyAlignment="1" applyProtection="1">
      <alignment vertical="center"/>
      <protection locked="0" hidden="1"/>
    </xf>
    <xf numFmtId="0" fontId="79" fillId="0" borderId="1" xfId="0" applyFont="1" applyBorder="1" applyAlignment="1" applyProtection="1">
      <alignment horizontal="center" vertical="center" wrapText="1"/>
      <protection locked="0"/>
    </xf>
    <xf numFmtId="0" fontId="79" fillId="7" borderId="5" xfId="0" applyFont="1" applyFill="1" applyBorder="1" applyAlignment="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11" fillId="0" borderId="0" xfId="12" applyFont="1" applyAlignment="1">
      <alignment horizontal="left" vertical="center" wrapText="1"/>
    </xf>
    <xf numFmtId="0" fontId="111" fillId="0" borderId="1" xfId="12" applyFont="1" applyFill="1" applyBorder="1" applyAlignment="1">
      <alignment horizontal="left" vertical="center" wrapText="1"/>
    </xf>
    <xf numFmtId="0" fontId="111" fillId="5" borderId="1" xfId="12" applyFont="1" applyFill="1" applyBorder="1" applyAlignment="1">
      <alignment horizontal="left" vertical="center" wrapText="1"/>
    </xf>
    <xf numFmtId="0" fontId="111" fillId="0" borderId="0" xfId="12" applyFont="1" applyFill="1" applyAlignment="1">
      <alignment horizontal="left" vertical="center" wrapText="1"/>
    </xf>
    <xf numFmtId="0" fontId="79" fillId="12" borderId="0" xfId="0" applyFont="1" applyFill="1" applyAlignment="1" applyProtection="1">
      <alignment vertical="center"/>
      <protection locked="0"/>
    </xf>
    <xf numFmtId="0" fontId="134"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protection locked="0"/>
    </xf>
    <xf numFmtId="179" fontId="46" fillId="0" borderId="0" xfId="0" applyNumberFormat="1" applyFont="1" applyFill="1" applyAlignment="1" applyProtection="1">
      <alignment horizontal="left" vertical="center"/>
      <protection locked="0"/>
    </xf>
    <xf numFmtId="0" fontId="49" fillId="0" borderId="0" xfId="0" applyFont="1" applyFill="1" applyAlignment="1" applyProtection="1">
      <alignment horizontal="left" vertical="center"/>
      <protection locked="0"/>
    </xf>
    <xf numFmtId="0" fontId="98" fillId="0" borderId="0" xfId="0" applyFont="1">
      <alignment vertical="center"/>
    </xf>
    <xf numFmtId="0" fontId="111" fillId="0" borderId="0" xfId="12" applyFont="1" applyFill="1" applyBorder="1" applyAlignment="1">
      <alignment horizontal="left" vertical="center" wrapText="1"/>
    </xf>
    <xf numFmtId="10" fontId="0" fillId="0" borderId="0" xfId="17" applyNumberFormat="1" applyFont="1">
      <alignment vertical="center"/>
    </xf>
    <xf numFmtId="0" fontId="56" fillId="6" borderId="0" xfId="0" applyNumberFormat="1" applyFont="1" applyFill="1" applyBorder="1" applyAlignment="1" applyProtection="1"/>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20934;&#22320;&#20215;-&#19996;&#28246;&#27426;&#20048;&#39042;-&#21271;&#213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68;&#23457;-&#19996;&#28246;&#27426;&#20048;&#39042;-&#21335;&#21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商业抵押物清单"/>
      <sheetName val="租赁合同"/>
      <sheetName val="Sheet3"/>
      <sheetName val="市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1">
          <cell r="G21">
            <v>0.9</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面积"/>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39910</v>
          </cell>
        </row>
      </sheetData>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车库抵押物清单"/>
      <sheetName val="面积"/>
      <sheetName val="抵押物清单汇总"/>
      <sheetName val="数据-汇总表"/>
      <sheetName val="数据-取费表"/>
      <sheetName val="估价对象房地状况"/>
      <sheetName val="系统读取表"/>
      <sheetName val="结果表"/>
      <sheetName val="成本法"/>
      <sheetName val="成本法 (元)"/>
      <sheetName val="假设开发法"/>
      <sheetName val="收益法-商业"/>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30905.11</v>
          </cell>
          <cell r="C14">
            <v>17099.09</v>
          </cell>
          <cell r="D14">
            <v>55508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北京市朝阳区广顺北大街17号1层01层A03等共57套商业用房、4套地下车库用房房地产抵押价值预评估</v>
      </c>
    </row>
    <row r="3" spans="1:2" s="1318" customFormat="1">
      <c r="A3" s="1316" t="s">
        <v>948</v>
      </c>
      <c r="B3" s="1317">
        <f>'预评函-封皮'!B40</f>
        <v>0</v>
      </c>
    </row>
    <row r="4" spans="1:2" s="1318" customFormat="1">
      <c r="A4" s="1316" t="s">
        <v>949</v>
      </c>
      <c r="B4" s="1317" t="str">
        <f ca="1">'预评函-封皮'!B46</f>
        <v>崔锴（注册号：0)、郑燚（注册号：1120070131)</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受贵公司委托，我公司对北京市朝阳区广顺北大街17号1层01层A03等共57套商业用房、4套地下车库用房房地产抵押价值进行了预评估。</v>
      </c>
    </row>
    <row r="7" spans="1:2" s="1318" customFormat="1">
      <c r="A7" s="1316" t="s">
        <v>991</v>
      </c>
      <c r="B7" s="1317" t="str">
        <f>'预评函-1'!A7</f>
        <v>估价对象为北京市朝阳区广顺北大街17号1层01层A03等共57套商业用房、4套地下车库用房房地产，为所有。根据《国有土地使用证》[]，估价对象（分摊）出让国有建设用地使用权面积为18060.05平方米，建筑面积为40421.87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朝阳区广顺北大街17号1层01层A03等共57套商业用房、4套地下车库用房房地产,属开发建设的商业项目，该项目尚在开发建设中。根据《国有土地使用证》[]，估价对象（分摊）出让国有建设用地使用权面积为18060.05平方米，规划建筑面积为40421.87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为估价委托人在向交通银行股份有限公司北京慧忠里支行办理贷款手续过程中，确定房地产抵押贷款额度提供参考依据而评估房地产抵押价值。</v>
      </c>
    </row>
    <row r="12" spans="1:2" s="1318" customFormat="1">
      <c r="A12" s="1316" t="s">
        <v>953</v>
      </c>
      <c r="B12" s="1317" t="str">
        <f>'预评函-1'!A15</f>
        <v>2022年8月26日（评估专业人员实地查勘之日）</v>
      </c>
    </row>
    <row r="13" spans="1:2" s="1318" customFormat="1">
      <c r="A13" s="1316" t="s">
        <v>954</v>
      </c>
      <c r="B13" s="1317" t="str">
        <f>'预评函-1'!A18</f>
        <v>本次估价的“房地产价值”是指在正常市场情况下，在价值时点2022年8月26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66356</v>
      </c>
    </row>
    <row r="21" spans="1:2" s="1318" customFormat="1">
      <c r="A21" s="1316" t="s">
        <v>962</v>
      </c>
      <c r="B21" s="1317">
        <f ca="1">'预评函-2'!D7</f>
        <v>16416</v>
      </c>
    </row>
    <row r="22" spans="1:2" s="1318" customFormat="1">
      <c r="A22" s="1316" t="s">
        <v>963</v>
      </c>
      <c r="B22" s="1317" t="str">
        <f ca="1">'预评函-2'!D6</f>
        <v>陆亿陆仟叁佰伍拾陆万元整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66356</v>
      </c>
    </row>
    <row r="31" spans="1:2" s="1318" customFormat="1">
      <c r="A31" s="1316" t="s">
        <v>1001</v>
      </c>
      <c r="B31" s="1317">
        <f ca="1">'预评函-2'!D15</f>
        <v>16416</v>
      </c>
    </row>
    <row r="32" spans="1:2" s="1318" customFormat="1">
      <c r="A32" s="1316" t="s">
        <v>968</v>
      </c>
      <c r="B32" s="1317" t="str">
        <f ca="1">'预评函-2'!D14</f>
        <v>陆亿陆仟叁佰伍拾陆万元整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北京市朝阳区广顺北大街17号1层01层A03等共57套商业用房、4套地下车库用房房地产</v>
      </c>
    </row>
    <row r="42" spans="1:2" s="1318" customFormat="1">
      <c r="A42" s="1316" t="s">
        <v>1015</v>
      </c>
      <c r="B42" s="1317" t="str">
        <f>'预评函-3'!B2</f>
        <v>建筑面积</v>
      </c>
    </row>
    <row r="43" spans="1:2" s="1318" customFormat="1">
      <c r="A43" s="1316" t="s">
        <v>1016</v>
      </c>
      <c r="B43" s="1317">
        <f>'预评函-3'!B4</f>
        <v>40421.870000000003</v>
      </c>
    </row>
    <row r="44" spans="1:2" s="1318" customFormat="1">
      <c r="A44" s="1316" t="s">
        <v>1000</v>
      </c>
      <c r="B44" s="1317" t="str">
        <f>'预评函-3'!C2</f>
        <v>(分摊)土地面积</v>
      </c>
    </row>
    <row r="45" spans="1:2" s="1318" customFormat="1">
      <c r="A45" s="1316" t="s">
        <v>972</v>
      </c>
      <c r="B45" s="1317">
        <f>'预评函-3'!C4</f>
        <v>18060.05</v>
      </c>
    </row>
    <row r="46" spans="1:2" s="1318" customFormat="1">
      <c r="A46" s="1316" t="s">
        <v>998</v>
      </c>
      <c r="B46" s="1317" t="str">
        <f>'预评函-3'!D2</f>
        <v>出让国有建设用地使用权价值</v>
      </c>
    </row>
    <row r="47" spans="1:2" s="1318" customFormat="1">
      <c r="A47" s="1316" t="s">
        <v>973</v>
      </c>
      <c r="B47" s="1317">
        <f ca="1">'预评函-3'!D4</f>
        <v>47245</v>
      </c>
    </row>
    <row r="48" spans="1:2" s="1318" customFormat="1">
      <c r="A48" s="1316" t="s">
        <v>974</v>
      </c>
      <c r="B48" s="1317">
        <f ca="1">'预评函-3'!E4</f>
        <v>11688</v>
      </c>
    </row>
    <row r="49" spans="1:2" s="1318" customFormat="1">
      <c r="A49" s="1316" t="s">
        <v>975</v>
      </c>
      <c r="B49" s="1317" t="str">
        <f ca="1">'预评函-3'!D5</f>
        <v>肆亿柒仟贰佰肆拾伍万元整</v>
      </c>
    </row>
    <row r="50" spans="1:2" s="1318" customFormat="1">
      <c r="A50" s="1316" t="s">
        <v>999</v>
      </c>
      <c r="B50" s="1317" t="str">
        <f>'预评函-3'!F2</f>
        <v>在建建筑物价值</v>
      </c>
    </row>
    <row r="51" spans="1:2" s="1318" customFormat="1">
      <c r="A51" s="1316" t="s">
        <v>976</v>
      </c>
      <c r="B51" s="1317">
        <f ca="1">'预评函-3'!F4</f>
        <v>19111</v>
      </c>
    </row>
    <row r="52" spans="1:2" s="1318" customFormat="1">
      <c r="A52" s="1316" t="s">
        <v>977</v>
      </c>
      <c r="B52" s="1317">
        <f ca="1">'预评函-3'!G4</f>
        <v>4728</v>
      </c>
    </row>
    <row r="53" spans="1:2" s="1318" customFormat="1">
      <c r="A53" s="1316" t="s">
        <v>1005</v>
      </c>
      <c r="B53" s="1317" t="str">
        <f ca="1">'预评函-3'!F5</f>
        <v>壹亿玖仟壹佰壹拾壹万元整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8" customFormat="1">
      <c r="A67" s="1316" t="s">
        <v>996</v>
      </c>
      <c r="B67" s="131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t="str">
        <f>'预评函-4'!A4</f>
        <v>崔锴</v>
      </c>
    </row>
    <row r="71" spans="1:2">
      <c r="A71" s="1316" t="s">
        <v>988</v>
      </c>
      <c r="B71" s="1317">
        <f ca="1">'预评函-4'!B4</f>
        <v>0</v>
      </c>
    </row>
    <row r="72" spans="1:2">
      <c r="A72" s="1316" t="s">
        <v>989</v>
      </c>
      <c r="B72" s="1325" t="str">
        <f>'预评函-4'!A5</f>
        <v>郑燚</v>
      </c>
    </row>
    <row r="73" spans="1:2" s="1312" customFormat="1" ht="15" thickBot="1">
      <c r="A73" s="1319" t="s">
        <v>990</v>
      </c>
      <c r="B73" s="1320">
        <f ca="1">'预评函-4'!B5</f>
        <v>1120070131</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61" t="str">
        <f>项目基本情况!B1</f>
        <v>北京市朝阳区广顺北大街17号1层01层A03等共57套商业用房、4套地下车库用房房地产抵押价值预评估</v>
      </c>
      <c r="C37" s="3261"/>
      <c r="D37" s="3261"/>
      <c r="E37" s="3261"/>
      <c r="F37" s="3261"/>
      <c r="G37" s="3261"/>
      <c r="H37" s="3261"/>
      <c r="I37" s="3261"/>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 ca="1">项目基本情况!K4</f>
        <v>崔锴（注册号：0)、郑燚（注册号：1120070131)</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36">
      <c r="A4" s="1616" t="str">
        <f>"受贵公司委托，我公司对"&amp;项目基本情况!S1&amp;"进行了预评估。"</f>
        <v>受贵公司委托，我公司对北京市朝阳区广顺北大街17号1层01层A03等共57套商业用房、4套地下车库用房房地产抵押价值进行了预评估。</v>
      </c>
    </row>
    <row r="5" spans="1:1" ht="18.75">
      <c r="A5" s="1617" t="s">
        <v>1336</v>
      </c>
    </row>
    <row r="6" spans="1:1" ht="18.75">
      <c r="A6" s="1618" t="s">
        <v>1337</v>
      </c>
    </row>
    <row r="7" spans="1:1" ht="72">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广顺北大街17号1层01层A03等共57套商业用房、4套地下车库用房房地产，为所有。根据《国有土地使用证》[]，估价对象（分摊）出让国有建设用地使用权面积为18060.05平方米，建筑面积为40421.87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广顺北大街17号1层01层A03等共57套商业用房、4套地下车库用房房地产,属开发建设的商业项目，该项目尚在开发建设中。根据《国有土地使用证》[]，估价对象（分摊）出让国有建设用地使用权面积为18060.05平方米，规划建筑面积为40421.87平方米。</v>
      </c>
    </row>
    <row r="11" spans="1:1" ht="76.5">
      <c r="A11" s="1619" t="s">
        <v>1340</v>
      </c>
    </row>
    <row r="12" spans="1:1" ht="18.75">
      <c r="A12" s="1617" t="s">
        <v>1341</v>
      </c>
    </row>
    <row r="13" spans="1:1" ht="38.25" customHeight="1">
      <c r="A13" s="1620" t="str">
        <f>IF(项目基本情况!B8="抵押",IF(项目基本情况!B5=项目基本情况!B6,定义!C51,定义!B51),定义!D51)</f>
        <v>为估价委托人在向交通银行股份有限公司北京慧忠里支行办理贷款手续过程中，确定房地产抵押贷款额度提供参考依据而评估房地产抵押价值。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2022年8月26日（评估专业人员实地查勘之日）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26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6"/>
      <c r="C2" s="3266"/>
      <c r="D2" s="3266"/>
      <c r="E2" s="3266"/>
    </row>
    <row r="3" spans="1:5" ht="18">
      <c r="A3" s="3267" t="str">
        <f>IF(项目基本情况!B9="房地产市场价值","估价结果一览表（市场价值不需“结果表-1”）","估价结果一览表")</f>
        <v>估价结果一览表</v>
      </c>
      <c r="B3" s="3267"/>
      <c r="C3" s="3267"/>
      <c r="D3" s="3267"/>
      <c r="E3" s="3267"/>
    </row>
    <row r="4" spans="1:5" ht="19.5" thickBot="1">
      <c r="A4" s="1629"/>
      <c r="B4" s="3265" t="s">
        <v>1354</v>
      </c>
      <c r="C4" s="3265"/>
      <c r="D4" s="3265"/>
      <c r="E4" s="1629"/>
    </row>
    <row r="5" spans="1:5" ht="16.5" thickTop="1">
      <c r="A5" s="1627"/>
      <c r="B5" s="3263" t="s">
        <v>1346</v>
      </c>
      <c r="C5" s="1630" t="s">
        <v>1347</v>
      </c>
      <c r="D5" s="940">
        <f ca="1">结果表!H101</f>
        <v>66356</v>
      </c>
      <c r="E5" s="1627"/>
    </row>
    <row r="6" spans="1:5" ht="15.75">
      <c r="A6" s="1627"/>
      <c r="B6" s="3263"/>
      <c r="C6" s="1630" t="s">
        <v>1348</v>
      </c>
      <c r="D6" s="940" t="str">
        <f ca="1">NUMBERSTRING(INT(D5*10000),2)&amp;"元整"</f>
        <v>陆亿陆仟叁佰伍拾陆万元整</v>
      </c>
      <c r="E6" s="1627"/>
    </row>
    <row r="7" spans="1:5" ht="15.75">
      <c r="A7" s="1627"/>
      <c r="B7" s="3268"/>
      <c r="C7" s="1631" t="s">
        <v>1349</v>
      </c>
      <c r="D7" s="941">
        <f ca="1">结果表!H102</f>
        <v>16416</v>
      </c>
      <c r="E7" s="1627"/>
    </row>
    <row r="8" spans="1:5" ht="15.75">
      <c r="A8" s="1627"/>
      <c r="B8" s="3269" t="str">
        <f>结果表!E103</f>
        <v>2.估价师知悉的法定优先受偿款</v>
      </c>
      <c r="C8" s="1632" t="s">
        <v>1350</v>
      </c>
      <c r="D8" s="941">
        <f>结果表!H103</f>
        <v>0</v>
      </c>
      <c r="E8" s="1627"/>
    </row>
    <row r="9" spans="1:5" ht="15.75">
      <c r="A9" s="1627"/>
      <c r="B9" s="3271"/>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62" t="str">
        <f>结果表!E107</f>
        <v>3.房地产抵押价值</v>
      </c>
      <c r="C13" s="1635" t="s">
        <v>1347</v>
      </c>
      <c r="D13" s="943">
        <f ca="1">结果表!H107</f>
        <v>66356</v>
      </c>
      <c r="E13" s="1627"/>
    </row>
    <row r="14" spans="1:5" ht="15.75">
      <c r="A14" s="1627"/>
      <c r="B14" s="3263"/>
      <c r="C14" s="1630" t="s">
        <v>1348</v>
      </c>
      <c r="D14" s="940" t="str">
        <f ca="1">NUMBERSTRING(INT(D13*10000),2)&amp;"元整"</f>
        <v>陆亿陆仟叁佰伍拾陆万元整</v>
      </c>
      <c r="E14" s="1627"/>
    </row>
    <row r="15" spans="1:5" ht="15">
      <c r="A15" s="1627"/>
      <c r="B15" s="3268"/>
      <c r="C15" s="1631" t="s">
        <v>1358</v>
      </c>
      <c r="D15" s="949">
        <f ca="1">结果表!H108</f>
        <v>16416</v>
      </c>
      <c r="E15" s="1627"/>
    </row>
    <row r="16" spans="1:5" ht="15">
      <c r="A16" s="1627"/>
      <c r="B16" s="3269" t="str">
        <f>结果表!E109</f>
        <v>——</v>
      </c>
      <c r="C16" s="1635" t="s">
        <v>1359</v>
      </c>
      <c r="D16" s="1636" t="str">
        <f>结果表!H109</f>
        <v>——</v>
      </c>
      <c r="E16" s="1627"/>
    </row>
    <row r="17" spans="1:5" ht="15.75">
      <c r="A17" s="1627"/>
      <c r="B17" s="3270"/>
      <c r="C17" s="1630" t="s">
        <v>1360</v>
      </c>
      <c r="D17" s="940" t="e">
        <f>NUMBERSTRING(INT(D16*10000),2)&amp;"元整"</f>
        <v>#VALUE!</v>
      </c>
      <c r="E17" s="1627"/>
    </row>
    <row r="18" spans="1:5" ht="15">
      <c r="A18" s="1627"/>
      <c r="B18" s="3271"/>
      <c r="C18" s="1631" t="s">
        <v>1349</v>
      </c>
      <c r="D18" s="949" t="str">
        <f>结果表!H110</f>
        <v>——</v>
      </c>
      <c r="E18" s="1627"/>
    </row>
    <row r="19" spans="1:5" ht="15.75">
      <c r="A19" s="1627"/>
      <c r="B19" s="3262" t="str">
        <f>结果表!E111</f>
        <v>——</v>
      </c>
      <c r="C19" s="1635" t="s">
        <v>1347</v>
      </c>
      <c r="D19" s="941" t="str">
        <f>结果表!H111</f>
        <v>——</v>
      </c>
      <c r="E19" s="1627"/>
    </row>
    <row r="20" spans="1:5" ht="15.75">
      <c r="A20" s="1627"/>
      <c r="B20" s="3263"/>
      <c r="C20" s="1630" t="s">
        <v>1360</v>
      </c>
      <c r="D20" s="940" t="e">
        <f>NUMBERSTRING(INT(D19*10000),2)&amp;"元整"</f>
        <v>#VALUE!</v>
      </c>
      <c r="E20" s="1627"/>
    </row>
    <row r="21" spans="1:5" ht="15.75" thickBot="1">
      <c r="A21" s="1627"/>
      <c r="B21" s="3264"/>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81" t="str">
        <f>IF(项目基本情况!B9="房地产市场价值","估价结果一览表","结果表-2")</f>
        <v>结果表-2</v>
      </c>
      <c r="B1" s="3281"/>
      <c r="C1" s="3281"/>
      <c r="D1" s="3281"/>
      <c r="E1" s="3281"/>
      <c r="F1" s="3281"/>
      <c r="G1" s="3281"/>
      <c r="H1" s="3281"/>
      <c r="I1" s="3281"/>
    </row>
    <row r="2" spans="1:9" ht="30" customHeight="1" thickTop="1">
      <c r="A2" s="3282" t="s">
        <v>1365</v>
      </c>
      <c r="B2" s="3282" t="s">
        <v>1366</v>
      </c>
      <c r="C2" s="3282" t="s">
        <v>1367</v>
      </c>
      <c r="D2" s="3282" t="str">
        <f>结果表!D116</f>
        <v>出让国有建设用地使用权价值</v>
      </c>
      <c r="E2" s="3282"/>
      <c r="F2" s="3282" t="str">
        <f>结果表!F116</f>
        <v>在建建筑物价值</v>
      </c>
      <c r="G2" s="3282"/>
      <c r="H2" s="3282" t="str">
        <f>IF(项目基本情况!B9="房地产市场价值","房地产市场价值","房地产价值")</f>
        <v>房地产价值</v>
      </c>
      <c r="I2" s="3282"/>
    </row>
    <row r="3" spans="1:9" ht="15">
      <c r="A3" s="3276"/>
      <c r="B3" s="3276"/>
      <c r="C3" s="3276"/>
      <c r="D3" s="944" t="s">
        <v>1362</v>
      </c>
      <c r="E3" s="944" t="s">
        <v>1368</v>
      </c>
      <c r="F3" s="944" t="s">
        <v>1362</v>
      </c>
      <c r="G3" s="944" t="s">
        <v>1363</v>
      </c>
      <c r="H3" s="944" t="s">
        <v>1362</v>
      </c>
      <c r="I3" s="944" t="s">
        <v>1363</v>
      </c>
    </row>
    <row r="4" spans="1:9" ht="45">
      <c r="A4" s="1641" t="str">
        <f>项目基本情况!S2</f>
        <v>北京市朝阳区广顺北大街17号1层01层A03等共57套商业用房、4套地下车库用房房地产</v>
      </c>
      <c r="B4" s="944">
        <f>项目基本情况!C17</f>
        <v>40421.870000000003</v>
      </c>
      <c r="C4" s="944">
        <f>项目基本情况!C18</f>
        <v>18060.05</v>
      </c>
      <c r="D4" s="944">
        <f ca="1">结果表!D118</f>
        <v>47245</v>
      </c>
      <c r="E4" s="944">
        <f ca="1">结果表!E118</f>
        <v>11688</v>
      </c>
      <c r="F4" s="944">
        <f ca="1">结果表!F118</f>
        <v>19111</v>
      </c>
      <c r="G4" s="944">
        <f ca="1">结果表!G118</f>
        <v>4728</v>
      </c>
      <c r="H4" s="944">
        <f ca="1">结果表!H118</f>
        <v>66356</v>
      </c>
      <c r="I4" s="944">
        <f ca="1">结果表!I118</f>
        <v>16416</v>
      </c>
    </row>
    <row r="5" spans="1:9" ht="30" customHeight="1">
      <c r="A5" s="3276" t="s">
        <v>1364</v>
      </c>
      <c r="B5" s="3276"/>
      <c r="C5" s="3276"/>
      <c r="D5" s="3277" t="str">
        <f ca="1">结果表!D119</f>
        <v>肆亿柒仟贰佰肆拾伍万元整</v>
      </c>
      <c r="E5" s="3277"/>
      <c r="F5" s="3277" t="str">
        <f ca="1">结果表!F119</f>
        <v>壹亿玖仟壹佰壹拾壹万元整</v>
      </c>
      <c r="G5" s="3277"/>
      <c r="H5" s="3277" t="str">
        <f ca="1">结果表!H119</f>
        <v>陆亿陆仟叁佰伍拾陆万元整</v>
      </c>
      <c r="I5" s="3277"/>
    </row>
    <row r="6" spans="1:9" ht="15.75">
      <c r="A6" s="3275" t="str">
        <f>结果表!A120</f>
        <v>估价师知悉的法定优先受偿款</v>
      </c>
      <c r="B6" s="3275"/>
      <c r="C6" s="3275"/>
      <c r="D6" s="3275">
        <f>结果表!D120</f>
        <v>0</v>
      </c>
      <c r="E6" s="3275"/>
      <c r="F6" s="3275"/>
      <c r="G6" s="3275"/>
      <c r="H6" s="3275"/>
      <c r="I6" s="3275"/>
    </row>
    <row r="7" spans="1:9" ht="15">
      <c r="A7" s="3276" t="s">
        <v>1364</v>
      </c>
      <c r="B7" s="3276"/>
      <c r="C7" s="3276"/>
      <c r="D7" s="3278" t="str">
        <f>结果表!D121</f>
        <v>零元整</v>
      </c>
      <c r="E7" s="3279"/>
      <c r="F7" s="3279"/>
      <c r="G7" s="3279"/>
      <c r="H7" s="3279"/>
      <c r="I7" s="3280"/>
    </row>
    <row r="8" spans="1:9" ht="15.75">
      <c r="A8" s="3275" t="str">
        <f>结果表!A122</f>
        <v>房地产抵押价值</v>
      </c>
      <c r="B8" s="3275"/>
      <c r="C8" s="3275"/>
      <c r="D8" s="3275">
        <f ca="1">结果表!D122</f>
        <v>66356</v>
      </c>
      <c r="E8" s="3275"/>
      <c r="F8" s="3275"/>
      <c r="G8" s="3275"/>
      <c r="H8" s="3275"/>
      <c r="I8" s="3275"/>
    </row>
    <row r="9" spans="1:9" ht="15">
      <c r="A9" s="3276" t="s">
        <v>1364</v>
      </c>
      <c r="B9" s="3276"/>
      <c r="C9" s="3276"/>
      <c r="D9" s="3277" t="str">
        <f ca="1">结果表!D123</f>
        <v>陆亿陆仟叁佰伍拾陆万元整</v>
      </c>
      <c r="E9" s="3277"/>
      <c r="F9" s="3277"/>
      <c r="G9" s="3277"/>
      <c r="H9" s="3277"/>
      <c r="I9" s="3277"/>
    </row>
    <row r="10" spans="1:9" ht="15.75">
      <c r="A10" s="3275" t="str">
        <f>结果表!A124</f>
        <v/>
      </c>
      <c r="B10" s="3275"/>
      <c r="C10" s="3275"/>
      <c r="D10" s="3275" t="str">
        <f>结果表!D124</f>
        <v>——</v>
      </c>
      <c r="E10" s="3275"/>
      <c r="F10" s="3275"/>
      <c r="G10" s="3275"/>
      <c r="H10" s="3275"/>
      <c r="I10" s="3275"/>
    </row>
    <row r="11" spans="1:9" ht="15">
      <c r="A11" s="3276" t="s">
        <v>1364</v>
      </c>
      <c r="B11" s="3276"/>
      <c r="C11" s="3276"/>
      <c r="D11" s="3277" t="e">
        <f>结果表!D125</f>
        <v>#VALUE!</v>
      </c>
      <c r="E11" s="3277"/>
      <c r="F11" s="3277"/>
      <c r="G11" s="3277"/>
      <c r="H11" s="3277"/>
      <c r="I11" s="3277"/>
    </row>
    <row r="12" spans="1:9" ht="15.75">
      <c r="A12" s="3275" t="str">
        <f>结果表!A126</f>
        <v/>
      </c>
      <c r="B12" s="3275"/>
      <c r="C12" s="3275"/>
      <c r="D12" s="3275" t="str">
        <f>结果表!D126</f>
        <v>——</v>
      </c>
      <c r="E12" s="3275"/>
      <c r="F12" s="3275"/>
      <c r="G12" s="3275"/>
      <c r="H12" s="3275"/>
      <c r="I12" s="3275"/>
    </row>
    <row r="13" spans="1:9" ht="15.75" thickBot="1">
      <c r="A13" s="3272" t="s">
        <v>1364</v>
      </c>
      <c r="B13" s="3272"/>
      <c r="C13" s="3272"/>
      <c r="D13" s="3273" t="e">
        <f>结果表!D127</f>
        <v>#VALUE!</v>
      </c>
      <c r="E13" s="3273"/>
      <c r="F13" s="3273"/>
      <c r="G13" s="3273"/>
      <c r="H13" s="3273"/>
      <c r="I13" s="3273"/>
    </row>
    <row r="14" spans="1:9" ht="15" thickTop="1">
      <c r="A14" s="3274" t="s">
        <v>1369</v>
      </c>
      <c r="B14" s="3274"/>
      <c r="C14" s="3274"/>
      <c r="D14" s="3274"/>
      <c r="E14" s="3274"/>
      <c r="F14" s="3274"/>
      <c r="G14" s="3274"/>
      <c r="H14" s="3274"/>
      <c r="I14" s="3274"/>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89" t="s">
        <v>1386</v>
      </c>
      <c r="B1" s="3289"/>
      <c r="C1" s="3289"/>
      <c r="D1" s="3289"/>
    </row>
    <row r="2" spans="1:4" ht="18">
      <c r="A2" s="3290" t="s">
        <v>1370</v>
      </c>
      <c r="B2" s="3290"/>
      <c r="C2" s="3290"/>
      <c r="D2" s="3290"/>
    </row>
    <row r="3" spans="1:4" ht="18.75">
      <c r="A3" s="1645" t="s">
        <v>1371</v>
      </c>
      <c r="B3" s="1645" t="s">
        <v>1372</v>
      </c>
      <c r="C3" s="1645" t="s">
        <v>1373</v>
      </c>
      <c r="D3" s="1645" t="s">
        <v>1374</v>
      </c>
    </row>
    <row r="4" spans="1:4" ht="56.25" customHeight="1">
      <c r="A4" s="1646" t="str">
        <f>项目基本情况!B4</f>
        <v>崔锴</v>
      </c>
      <c r="B4" s="1647">
        <f ca="1">项目基本情况!C4</f>
        <v>0</v>
      </c>
      <c r="C4" s="1648"/>
      <c r="D4" s="1649" t="s">
        <v>1375</v>
      </c>
    </row>
    <row r="5" spans="1:4" ht="56.25" customHeight="1">
      <c r="A5" s="1646" t="str">
        <f>项目基本情况!D4</f>
        <v>郑燚</v>
      </c>
      <c r="B5" s="1647">
        <f ca="1">项目基本情况!E4</f>
        <v>1120070131</v>
      </c>
      <c r="C5" s="1650"/>
      <c r="D5" s="1649" t="s">
        <v>1375</v>
      </c>
    </row>
    <row r="6" spans="1:4" ht="18">
      <c r="A6" s="3290" t="s">
        <v>1376</v>
      </c>
      <c r="B6" s="3290"/>
      <c r="C6" s="3290"/>
      <c r="D6" s="3290"/>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91" t="s">
        <v>1379</v>
      </c>
      <c r="B11" s="3283"/>
      <c r="C11" s="3283"/>
      <c r="D11" s="3283"/>
    </row>
    <row r="12" spans="1:4" ht="15.75">
      <c r="A12" s="328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8"/>
      <c r="C12" s="3288"/>
      <c r="D12" s="3288"/>
    </row>
    <row r="13" spans="1:4" ht="30" customHeight="1">
      <c r="A13" s="328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8"/>
      <c r="C13" s="3288"/>
      <c r="D13" s="3288"/>
    </row>
    <row r="14" spans="1:4" ht="15.75" customHeight="1">
      <c r="A14" s="3283" t="str">
        <f>IF(项目基本情况!B8="抵押","4.本次评估估价师所知悉的法定优先受偿款情况说明如下：","——")</f>
        <v>4.本次评估估价师所知悉的法定优先受偿款情况说明如下：</v>
      </c>
      <c r="B14" s="3288"/>
      <c r="C14" s="3288"/>
      <c r="D14" s="3288"/>
    </row>
    <row r="15" spans="1:4" ht="42" customHeight="1">
      <c r="A15" s="3283" t="str">
        <f>IF(项目基本情况!B8="抵押","（1）"&amp;CONCATENATE(项目基本情况!L20,项目基本情况!L21,项目基本情况!L22),"——")</f>
        <v>（1）根据估价对象《房屋所有权证》原件、《国有土地使用权》复印件，截至价值时点，估价对象抵押权未见登记。</v>
      </c>
      <c r="B15" s="3283"/>
      <c r="C15" s="3283"/>
      <c r="D15" s="3283"/>
    </row>
    <row r="16" spans="1:4" ht="30" customHeight="1">
      <c r="A16" s="3285" t="s">
        <v>1380</v>
      </c>
      <c r="B16" s="3285"/>
      <c r="C16" s="3285"/>
      <c r="D16" s="3285"/>
    </row>
    <row r="17" spans="1:4" ht="144" customHeight="1">
      <c r="A17" s="3285" t="s">
        <v>1381</v>
      </c>
      <c r="B17" s="3285"/>
      <c r="C17" s="3285"/>
      <c r="D17" s="3285"/>
    </row>
    <row r="18" spans="1:4" ht="15.75" customHeight="1">
      <c r="A18" s="3283" t="str">
        <f>IF(项目基本情况!B8="抵押",结果表!K120,"——")</f>
        <v>故，本次评估不存在估价师知悉的法定优先受偿款</v>
      </c>
      <c r="B18" s="3283"/>
      <c r="C18" s="3283"/>
      <c r="D18" s="3283"/>
    </row>
    <row r="19" spans="1:4" ht="46.5" customHeight="1">
      <c r="A19" s="328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83"/>
      <c r="C19" s="3283"/>
      <c r="D19" s="3283"/>
    </row>
    <row r="20" spans="1:4" ht="57.75" customHeight="1">
      <c r="A20" s="328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83"/>
      <c r="C20" s="3283"/>
      <c r="D20" s="3283"/>
    </row>
    <row r="21" spans="1:4" ht="57.75" customHeight="1">
      <c r="A21" s="328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6"/>
      <c r="C21" s="3286"/>
      <c r="D21" s="3286"/>
    </row>
    <row r="22" spans="1:4" ht="18.75" customHeight="1">
      <c r="A22" s="3287" t="s">
        <v>1382</v>
      </c>
      <c r="B22" s="3287"/>
      <c r="C22" s="3287"/>
      <c r="D22" s="3287"/>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84">
        <v>42551</v>
      </c>
      <c r="D31" s="328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97" t="s">
        <v>1393</v>
      </c>
      <c r="B15" s="3292" t="s">
        <v>136</v>
      </c>
      <c r="C15" s="3293"/>
    </row>
    <row r="16" spans="1:7" ht="13.5">
      <c r="A16" s="3298"/>
      <c r="B16" s="3292" t="s">
        <v>69</v>
      </c>
      <c r="C16" s="3293"/>
    </row>
    <row r="17" spans="1:3" ht="13.5">
      <c r="A17" s="3298"/>
      <c r="B17" s="3295" t="s">
        <v>1394</v>
      </c>
      <c r="C17" s="1668" t="s">
        <v>1393</v>
      </c>
    </row>
    <row r="18" spans="1:3" ht="13.5">
      <c r="A18" s="3298"/>
      <c r="B18" s="3295"/>
      <c r="C18" s="1668" t="s">
        <v>1395</v>
      </c>
    </row>
    <row r="19" spans="1:3" ht="13.5">
      <c r="A19" s="3298"/>
      <c r="B19" s="3295"/>
      <c r="C19" s="1668" t="s">
        <v>1396</v>
      </c>
    </row>
    <row r="20" spans="1:3" ht="13.5">
      <c r="A20" s="3299"/>
      <c r="B20" s="3294" t="s">
        <v>1397</v>
      </c>
      <c r="C20" s="3293"/>
    </row>
    <row r="21" spans="1:3" ht="13.5">
      <c r="A21" s="1669" t="s">
        <v>1398</v>
      </c>
      <c r="B21" s="1670"/>
      <c r="C21" s="1671"/>
    </row>
    <row r="22" spans="1:3" ht="13.5">
      <c r="A22" s="3296" t="s">
        <v>1399</v>
      </c>
      <c r="B22" s="3294" t="s">
        <v>1400</v>
      </c>
      <c r="C22" s="3293"/>
    </row>
    <row r="23" spans="1:3" ht="13.5">
      <c r="A23" s="3296"/>
      <c r="B23" s="3294" t="s">
        <v>1401</v>
      </c>
      <c r="C23" s="3293"/>
    </row>
    <row r="24" spans="1:3" ht="13.5">
      <c r="A24" s="3296"/>
      <c r="B24" s="3294" t="s">
        <v>1402</v>
      </c>
      <c r="C24" s="3293"/>
    </row>
    <row r="25" spans="1:3" ht="13.5">
      <c r="A25" s="3296"/>
      <c r="B25" s="3295" t="s">
        <v>1403</v>
      </c>
      <c r="C25" s="1668" t="s">
        <v>1404</v>
      </c>
    </row>
    <row r="26" spans="1:3" ht="13.5">
      <c r="A26" s="3296"/>
      <c r="B26" s="3295"/>
      <c r="C26" s="1668" t="s">
        <v>1405</v>
      </c>
    </row>
    <row r="27" spans="1:3" ht="13.5">
      <c r="A27" s="3296"/>
      <c r="B27" s="3295"/>
      <c r="C27" s="1668" t="s">
        <v>1406</v>
      </c>
    </row>
    <row r="28" spans="1:3" ht="13.5">
      <c r="A28" s="3296"/>
      <c r="B28" s="3295"/>
      <c r="C28" s="1668" t="s">
        <v>1407</v>
      </c>
    </row>
    <row r="29" spans="1:3" ht="13.5">
      <c r="A29" s="3296"/>
      <c r="B29" s="3295"/>
      <c r="C29" s="1668" t="s">
        <v>1408</v>
      </c>
    </row>
    <row r="30" spans="1:3" ht="13.5">
      <c r="A30" s="3296"/>
      <c r="B30" s="3295"/>
      <c r="C30" s="1668" t="s">
        <v>1409</v>
      </c>
    </row>
    <row r="31" spans="1:3" ht="13.5">
      <c r="A31" s="3296"/>
      <c r="B31" s="3295"/>
      <c r="C31" s="1668" t="s">
        <v>1410</v>
      </c>
    </row>
    <row r="32" spans="1:3" ht="13.5">
      <c r="A32" s="3296"/>
      <c r="B32" s="3295"/>
      <c r="C32" s="1668" t="s">
        <v>1411</v>
      </c>
    </row>
    <row r="33" spans="1:3" ht="13.5">
      <c r="A33" s="3296"/>
      <c r="B33" s="3295"/>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44805</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300" t="s">
        <v>2661</v>
      </c>
      <c r="B17" s="3300"/>
      <c r="C17" s="3300"/>
      <c r="D17" s="3300"/>
      <c r="E17" s="3300"/>
      <c r="F17" s="3300"/>
      <c r="G17" s="3300"/>
      <c r="H17" s="3300"/>
    </row>
    <row r="18" spans="1:8" ht="24" customHeight="1">
      <c r="A18" s="3301" t="s">
        <v>2662</v>
      </c>
      <c r="B18" s="3301"/>
      <c r="C18" s="3301"/>
      <c r="D18" s="2517"/>
      <c r="E18" s="3302" t="s">
        <v>2663</v>
      </c>
      <c r="F18" s="3301"/>
      <c r="G18" s="3301"/>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3">
      <formula>AND($C4-TODAY()&lt;30,TODAY()&lt;$C4)</formula>
    </cfRule>
  </conditionalFormatting>
  <conditionalFormatting sqref="C20:D20">
    <cfRule type="expression" dxfId="234" priority="52">
      <formula>AND($C20-TODAY()&lt;30,TODAY()&lt;$C20)</formula>
    </cfRule>
  </conditionalFormatting>
  <conditionalFormatting sqref="C20:D20 G4 C4:D5 C13:D13">
    <cfRule type="cellIs" dxfId="233" priority="54" stopIfTrue="1" operator="lessThan">
      <formula>$B$2</formula>
    </cfRule>
  </conditionalFormatting>
  <conditionalFormatting sqref="G5 G7 G9">
    <cfRule type="cellIs" dxfId="232" priority="51" stopIfTrue="1" operator="lessThan">
      <formula>$B$2</formula>
    </cfRule>
  </conditionalFormatting>
  <conditionalFormatting sqref="C6:D6 D14 D16">
    <cfRule type="expression" dxfId="231" priority="49">
      <formula>AND($C6-TODAY()&lt;30,TODAY()&lt;$C6)</formula>
    </cfRule>
  </conditionalFormatting>
  <conditionalFormatting sqref="G6 G8 G10 C6:D6 D7:D12 D14 D16">
    <cfRule type="cellIs" dxfId="230" priority="50" stopIfTrue="1" operator="lessThan">
      <formula>$B$2</formula>
    </cfRule>
  </conditionalFormatting>
  <conditionalFormatting sqref="D12">
    <cfRule type="expression" dxfId="229" priority="47">
      <formula>AND($C12-TODAY()&lt;30,TODAY()&lt;$C12)</formula>
    </cfRule>
  </conditionalFormatting>
  <conditionalFormatting sqref="D12">
    <cfRule type="cellIs" dxfId="228" priority="48" stopIfTrue="1" operator="lessThan">
      <formula>$B$2</formula>
    </cfRule>
  </conditionalFormatting>
  <conditionalFormatting sqref="C13:D13">
    <cfRule type="expression" dxfId="227" priority="45">
      <formula>AND($C13-TODAY()&lt;30,TODAY()&lt;$C13)</formula>
    </cfRule>
  </conditionalFormatting>
  <conditionalFormatting sqref="C13:D13">
    <cfRule type="cellIs" dxfId="226" priority="46" stopIfTrue="1" operator="lessThan">
      <formula>$B$2</formula>
    </cfRule>
  </conditionalFormatting>
  <conditionalFormatting sqref="D14">
    <cfRule type="expression" dxfId="225" priority="43">
      <formula>AND($C14-TODAY()&lt;30,TODAY()&lt;$C14)</formula>
    </cfRule>
  </conditionalFormatting>
  <conditionalFormatting sqref="D14">
    <cfRule type="cellIs" dxfId="224" priority="44" stopIfTrue="1" operator="lessThan">
      <formula>$B$2</formula>
    </cfRule>
  </conditionalFormatting>
  <conditionalFormatting sqref="G13">
    <cfRule type="cellIs" dxfId="223" priority="42" stopIfTrue="1" operator="lessThan">
      <formula>$B$2</formula>
    </cfRule>
  </conditionalFormatting>
  <conditionalFormatting sqref="B4:B11 F4:F11 B13 F13:F14">
    <cfRule type="cellIs" dxfId="222" priority="41" stopIfTrue="1" operator="equal">
      <formula>"已过期"</formula>
    </cfRule>
  </conditionalFormatting>
  <conditionalFormatting sqref="C7">
    <cfRule type="cellIs" dxfId="221" priority="38" stopIfTrue="1" operator="lessThan">
      <formula>$B$2</formula>
    </cfRule>
  </conditionalFormatting>
  <conditionalFormatting sqref="C7">
    <cfRule type="expression" dxfId="220" priority="37">
      <formula>AND($C7-TODAY()&lt;30,TODAY()&lt;$C7)</formula>
    </cfRule>
  </conditionalFormatting>
  <conditionalFormatting sqref="C8">
    <cfRule type="expression" dxfId="219" priority="35">
      <formula>AND($C8-TODAY()&lt;30,TODAY()&lt;$C8)</formula>
    </cfRule>
  </conditionalFormatting>
  <conditionalFormatting sqref="C8">
    <cfRule type="cellIs" dxfId="218" priority="36" stopIfTrue="1" operator="lessThan">
      <formula>$B$2</formula>
    </cfRule>
  </conditionalFormatting>
  <conditionalFormatting sqref="C11">
    <cfRule type="expression" dxfId="217" priority="33">
      <formula>AND($C11-TODAY()&lt;30,TODAY()&lt;$C11)</formula>
    </cfRule>
  </conditionalFormatting>
  <conditionalFormatting sqref="C11">
    <cfRule type="cellIs" dxfId="216" priority="34" stopIfTrue="1" operator="lessThan">
      <formula>$B$2</formula>
    </cfRule>
  </conditionalFormatting>
  <conditionalFormatting sqref="A16:C16">
    <cfRule type="cellIs" dxfId="215" priority="32" stopIfTrue="1" operator="equal">
      <formula>"已过期"</formula>
    </cfRule>
  </conditionalFormatting>
  <conditionalFormatting sqref="E16:G16">
    <cfRule type="cellIs" dxfId="214" priority="31" stopIfTrue="1" operator="equal">
      <formula>"已过期"</formula>
    </cfRule>
  </conditionalFormatting>
  <conditionalFormatting sqref="G11">
    <cfRule type="cellIs" dxfId="213" priority="30" stopIfTrue="1" operator="lessThan">
      <formula>$B$2</formula>
    </cfRule>
  </conditionalFormatting>
  <conditionalFormatting sqref="F12">
    <cfRule type="cellIs" dxfId="212" priority="29" stopIfTrue="1" operator="equal">
      <formula>"已过期"</formula>
    </cfRule>
  </conditionalFormatting>
  <conditionalFormatting sqref="G12">
    <cfRule type="cellIs" dxfId="211" priority="28" stopIfTrue="1" operator="lessThan">
      <formula>$B$2</formula>
    </cfRule>
  </conditionalFormatting>
  <conditionalFormatting sqref="C12">
    <cfRule type="cellIs" dxfId="210" priority="27" stopIfTrue="1" operator="lessThan">
      <formula>$B$2</formula>
    </cfRule>
  </conditionalFormatting>
  <conditionalFormatting sqref="C12">
    <cfRule type="expression" dxfId="209" priority="25">
      <formula>AND($C12-TODAY()&lt;30,TODAY()&lt;$C12)</formula>
    </cfRule>
  </conditionalFormatting>
  <conditionalFormatting sqref="C12">
    <cfRule type="cellIs" dxfId="208" priority="26" stopIfTrue="1" operator="lessThan">
      <formula>$B$2</formula>
    </cfRule>
  </conditionalFormatting>
  <conditionalFormatting sqref="B12">
    <cfRule type="cellIs" dxfId="207" priority="24" stopIfTrue="1" operator="equal">
      <formula>"已过期"</formula>
    </cfRule>
  </conditionalFormatting>
  <conditionalFormatting sqref="C9:C10">
    <cfRule type="expression" dxfId="206" priority="22">
      <formula>AND($C9-TODAY()&lt;30,TODAY()&lt;$C9)</formula>
    </cfRule>
  </conditionalFormatting>
  <conditionalFormatting sqref="C9:C10">
    <cfRule type="cellIs" dxfId="205" priority="23" stopIfTrue="1" operator="lessThan">
      <formula>$B$2</formula>
    </cfRule>
  </conditionalFormatting>
  <conditionalFormatting sqref="G21">
    <cfRule type="expression" dxfId="204" priority="20" stopIfTrue="1">
      <formula>AND(#REF!-TODAY()&lt;30,TODAY()&lt;#REF!)</formula>
    </cfRule>
  </conditionalFormatting>
  <conditionalFormatting sqref="G21">
    <cfRule type="cellIs" dxfId="203" priority="21"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20" sqref="D20"/>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3440</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为估价委托人在向交通银行股份有限公司北京慧忠里支行办理贷款手续过程中，确定房地产抵押贷款额度提供参考依据而评估房地产抵押价值。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广顺北大街17号1层01层A03等共57套商业用房、4套地下车库用房房地产作为抵押担保物，向交通银行股份有限公司北京慧忠里支行办理贷款手续。交通银行股份有限公司北京慧忠里支行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303"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03"/>
      <c r="B54" s="1690" t="s">
        <v>651</v>
      </c>
      <c r="C54" s="1687" t="s">
        <v>1008</v>
      </c>
    </row>
    <row r="55" spans="1:4">
      <c r="A55" s="3303"/>
      <c r="B55" s="1690" t="s">
        <v>652</v>
      </c>
      <c r="C55" s="1687" t="s">
        <v>1009</v>
      </c>
    </row>
    <row r="56" spans="1:4">
      <c r="A56" s="3303"/>
      <c r="B56" s="1690" t="s">
        <v>653</v>
      </c>
      <c r="C56" s="1687" t="s">
        <v>1013</v>
      </c>
    </row>
    <row r="57" spans="1:4">
      <c r="A57" s="3303"/>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13" sqref="G13"/>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4" customWidth="1"/>
    <col min="12" max="13" width="10" style="2805"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312" t="str">
        <f>IF(B10="北京市","北京市",C10)&amp;F10&amp;IF(结果表!G1="在建","出让国有建设用地使用权及在建建筑物",IF(结果表!G1="土地","出让国有建设用地使用权",))&amp;B9&amp;"预评估"</f>
        <v>北京市朝阳区广顺北大街17号1层01层A03等共57套商业用房、4套地下车库用房房地产抵押价值预评估</v>
      </c>
      <c r="C1" s="3313"/>
      <c r="D1" s="3313"/>
      <c r="E1" s="3313"/>
      <c r="F1" s="3313"/>
      <c r="G1" s="3313"/>
      <c r="H1" s="3313"/>
      <c r="I1" s="3314"/>
      <c r="J1" s="2646"/>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北京市朝阳区广顺北大街17号1层01层A03等共57套商业用房、4套地下车库用房房地产抵押价值</v>
      </c>
      <c r="T1" s="1882"/>
      <c r="U1" s="1882"/>
      <c r="V1" s="1882"/>
      <c r="W1" s="1882"/>
      <c r="X1" s="1882"/>
      <c r="Y1" s="1882"/>
      <c r="Z1" s="1882"/>
      <c r="AA1" s="1882"/>
      <c r="AB1" s="1882"/>
    </row>
    <row r="2" spans="1:28">
      <c r="A2" s="2541" t="s">
        <v>2670</v>
      </c>
      <c r="B2" s="2545"/>
      <c r="C2" s="2546"/>
      <c r="D2" s="2848"/>
      <c r="E2" s="2838"/>
      <c r="F2" s="2838"/>
      <c r="G2" s="2839"/>
      <c r="H2" s="2839"/>
      <c r="I2" s="2839"/>
      <c r="J2" s="2646"/>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北京市朝阳区广顺北大街17号1层01层A03等共57套商业用房、4套地下车库用房房地产</v>
      </c>
      <c r="T2" s="1882"/>
      <c r="U2" s="1882"/>
      <c r="V2" s="1882"/>
      <c r="W2" s="1882"/>
      <c r="X2" s="1882"/>
      <c r="Y2" s="1882"/>
      <c r="Z2" s="1882"/>
      <c r="AA2" s="1882"/>
      <c r="AB2" s="1882"/>
    </row>
    <row r="3" spans="1:28">
      <c r="A3" s="308" t="s">
        <v>2671</v>
      </c>
      <c r="B3" s="2547">
        <v>44799</v>
      </c>
      <c r="C3" s="2548" t="s">
        <v>2672</v>
      </c>
      <c r="D3" s="2547">
        <f>B3</f>
        <v>44799</v>
      </c>
      <c r="E3" s="2839"/>
      <c r="F3" s="2839"/>
      <c r="G3" s="2839"/>
      <c r="H3" s="2839"/>
      <c r="I3" s="2839"/>
      <c r="J3" s="2646"/>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t="s">
        <v>3243</v>
      </c>
      <c r="C4" s="2550">
        <f ca="1">SUMIF(注册房地产估价师,B4,估价师及机构信息!B3:B24)</f>
        <v>0</v>
      </c>
      <c r="D4" s="2549" t="s">
        <v>3175</v>
      </c>
      <c r="E4" s="2551">
        <f ca="1">SUMIF(注册房地产估价师,D4,估价师及机构信息!B3:B24)</f>
        <v>1120070131</v>
      </c>
      <c r="F4" s="2549"/>
      <c r="G4" s="2551">
        <f>SUMIF(注册房地产估价师,F4,估价师及机构信息!B3:B24)</f>
        <v>0</v>
      </c>
      <c r="H4" s="2549"/>
      <c r="I4" s="2551">
        <f>SUMIF(注册房地产估价师,H4,估价师及机构信息!B3:B24)</f>
        <v>0</v>
      </c>
      <c r="J4" s="2614"/>
      <c r="K4" s="2552" t="str">
        <f ca="1">CONCATENATE(B4,"（注册号：",C4,")、",D4,"（注册号：",E4,")")</f>
        <v>崔锴（注册号：0)、郑燚（注册号：1120070131)</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0"/>
      <c r="F5" s="2840"/>
      <c r="G5" s="2840"/>
      <c r="H5" s="2840"/>
      <c r="I5" s="2840"/>
      <c r="J5" s="2614"/>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3236" t="s">
        <v>3244</v>
      </c>
      <c r="C6" s="2558"/>
      <c r="D6" s="2559"/>
      <c r="E6" s="2838"/>
      <c r="F6" s="2840"/>
      <c r="G6" s="2840"/>
      <c r="H6" s="2840"/>
      <c r="I6" s="2840"/>
      <c r="J6" s="2614"/>
      <c r="K6" s="2790" t="str">
        <f>IF(COUNTIF(B6,"*上海银行*"),"上海银行","")</f>
        <v/>
      </c>
      <c r="L6" s="2788"/>
      <c r="M6" s="2788"/>
      <c r="N6" s="2614"/>
      <c r="O6" s="2625"/>
      <c r="P6" s="2614"/>
      <c r="Q6" s="2614"/>
      <c r="R6" s="2614"/>
    </row>
    <row r="7" spans="1:28">
      <c r="A7" s="2557" t="s">
        <v>2676</v>
      </c>
      <c r="B7" s="2560"/>
      <c r="C7" s="2558"/>
      <c r="D7" s="2559"/>
      <c r="E7" s="2838"/>
      <c r="F7" s="2840"/>
      <c r="G7" s="2840"/>
      <c r="H7" s="2840"/>
      <c r="I7" s="2840"/>
      <c r="J7" s="2614"/>
      <c r="K7" s="2791"/>
      <c r="L7" s="2788"/>
      <c r="M7" s="2788"/>
      <c r="N7" s="2614"/>
      <c r="O7" s="2625"/>
      <c r="P7" s="2614"/>
      <c r="Q7" s="2614"/>
      <c r="R7" s="2614"/>
    </row>
    <row r="8" spans="1:28">
      <c r="A8" s="2561" t="s">
        <v>2677</v>
      </c>
      <c r="B8" s="2562" t="s">
        <v>3176</v>
      </c>
      <c r="C8" s="2563"/>
      <c r="D8" s="3315" t="s">
        <v>2678</v>
      </c>
      <c r="E8" s="2564" t="s">
        <v>3177</v>
      </c>
      <c r="F8" s="2565"/>
      <c r="G8" s="2839"/>
      <c r="H8" s="2839"/>
      <c r="I8" s="2839"/>
      <c r="J8" s="2614"/>
      <c r="K8" s="2789"/>
      <c r="L8" s="2788"/>
      <c r="M8" s="2788"/>
      <c r="N8" s="2614"/>
      <c r="O8" s="2625"/>
      <c r="P8" s="2614"/>
      <c r="Q8" s="2614"/>
      <c r="R8" s="2614"/>
    </row>
    <row r="9" spans="1:28" ht="13.5" thickBot="1">
      <c r="A9" s="2566" t="s">
        <v>2679</v>
      </c>
      <c r="B9" s="2567" t="s">
        <v>3177</v>
      </c>
      <c r="C9" s="2568"/>
      <c r="D9" s="3316"/>
      <c r="E9" s="2567"/>
      <c r="F9" s="2569"/>
      <c r="G9" s="2841"/>
      <c r="H9" s="2841"/>
      <c r="I9" s="2841"/>
      <c r="J9" s="2614"/>
      <c r="K9" s="2791"/>
      <c r="L9" s="2788"/>
      <c r="M9" s="2788"/>
      <c r="N9" s="2614"/>
      <c r="O9" s="2625"/>
      <c r="P9" s="2614"/>
      <c r="Q9" s="2614"/>
      <c r="R9" s="2614"/>
    </row>
    <row r="10" spans="1:28" ht="13.5" thickTop="1">
      <c r="A10" s="2570" t="s">
        <v>2680</v>
      </c>
      <c r="B10" s="2571" t="s">
        <v>3178</v>
      </c>
      <c r="C10" s="2572"/>
      <c r="D10" s="2556"/>
      <c r="E10" s="2573" t="s">
        <v>2681</v>
      </c>
      <c r="F10" s="2842" t="s">
        <v>3245</v>
      </c>
      <c r="G10" s="2843"/>
      <c r="H10" s="2844"/>
      <c r="I10" s="2845"/>
      <c r="J10" s="2614"/>
      <c r="K10" s="2791"/>
      <c r="L10" s="2788"/>
      <c r="M10" s="2788"/>
      <c r="N10" s="2614"/>
      <c r="O10" s="2625"/>
      <c r="P10" s="2614"/>
      <c r="Q10" s="2614"/>
      <c r="R10" s="2614"/>
    </row>
    <row r="11" spans="1:28">
      <c r="A11" s="2574" t="s">
        <v>2682</v>
      </c>
      <c r="B11" s="2575" t="s">
        <v>3179</v>
      </c>
      <c r="C11" s="2576"/>
      <c r="D11" s="2577"/>
      <c r="E11" s="2544"/>
      <c r="F11" s="2544"/>
      <c r="G11" s="2544"/>
      <c r="H11" s="2544"/>
      <c r="I11" s="2544"/>
      <c r="J11" s="2614"/>
      <c r="K11" s="2791"/>
      <c r="L11" s="2788"/>
      <c r="M11" s="2788"/>
      <c r="N11" s="2614"/>
      <c r="O11" s="2625"/>
      <c r="P11" s="2614"/>
      <c r="Q11" s="2614"/>
      <c r="R11" s="2614"/>
    </row>
    <row r="12" spans="1:28">
      <c r="A12" s="2578" t="s">
        <v>2683</v>
      </c>
      <c r="B12" s="2575" t="s">
        <v>3180</v>
      </c>
      <c r="C12" s="329" t="s">
        <v>2684</v>
      </c>
      <c r="D12" s="2579" t="s">
        <v>2685</v>
      </c>
      <c r="E12" s="2579" t="s">
        <v>2686</v>
      </c>
      <c r="F12" s="2579" t="s">
        <v>2687</v>
      </c>
      <c r="G12" s="2579" t="s">
        <v>2688</v>
      </c>
      <c r="H12" s="2579" t="s">
        <v>2689</v>
      </c>
      <c r="I12" s="2579" t="s">
        <v>2690</v>
      </c>
      <c r="J12" s="2614"/>
      <c r="K12" s="2791"/>
      <c r="L12" s="2788"/>
      <c r="M12" s="2788"/>
      <c r="N12" s="2614"/>
      <c r="O12" s="2625"/>
      <c r="P12" s="2614"/>
      <c r="Q12" s="2614"/>
      <c r="R12" s="2614"/>
    </row>
    <row r="13" spans="1:28">
      <c r="A13" s="1194"/>
      <c r="B13" s="2580"/>
      <c r="C13" s="2581" t="s">
        <v>2691</v>
      </c>
      <c r="D13" s="946"/>
      <c r="E13" s="946">
        <v>52611</v>
      </c>
      <c r="F13" s="946"/>
      <c r="G13" s="946">
        <v>56264</v>
      </c>
      <c r="H13" s="946"/>
      <c r="I13" s="946"/>
      <c r="J13" s="2614"/>
      <c r="K13" s="2791"/>
      <c r="L13" s="2788"/>
      <c r="M13" s="2788"/>
      <c r="N13" s="2614"/>
      <c r="O13" s="2625"/>
      <c r="P13" s="2614"/>
      <c r="Q13" s="2614"/>
      <c r="R13" s="2614"/>
    </row>
    <row r="14" spans="1:28">
      <c r="A14" s="1194"/>
      <c r="B14" s="2580"/>
      <c r="C14" s="2581" t="s">
        <v>2692</v>
      </c>
      <c r="D14" s="2582"/>
      <c r="E14" s="2582">
        <v>40</v>
      </c>
      <c r="F14" s="2582"/>
      <c r="G14" s="2582">
        <v>50</v>
      </c>
      <c r="H14" s="2582"/>
      <c r="I14" s="2582"/>
      <c r="J14" s="2614"/>
      <c r="K14" s="2792"/>
      <c r="L14" s="2788"/>
      <c r="M14" s="2788"/>
      <c r="N14" s="2614"/>
      <c r="O14" s="2625"/>
      <c r="P14" s="2614"/>
      <c r="Q14" s="2614"/>
      <c r="R14" s="2614"/>
    </row>
    <row r="15" spans="1:28">
      <c r="A15" s="326"/>
      <c r="B15" s="2583"/>
      <c r="C15" s="2584" t="s">
        <v>2693</v>
      </c>
      <c r="D15" s="2585" t="str">
        <f>IF(B12="出让",IF(D13="","",ROUNDDOWN(MIN((D13-$D$3)/365,D14),2)),D14)</f>
        <v/>
      </c>
      <c r="E15" s="2585">
        <f>IF(B12="出让",IF(E13="","",ROUNDDOWN(MIN((E13-$D$3)/365,E14),2)),E14)</f>
        <v>21.4</v>
      </c>
      <c r="F15" s="2585" t="str">
        <f>IF(B12="出让",IF(F13="","",ROUNDDOWN(MIN((F13-$D$3)/365,F14),2)),F14)</f>
        <v/>
      </c>
      <c r="G15" s="2585">
        <f>IF(B12="出让",IF(G13="","",ROUNDDOWN(MIN((G13-$D$3)/365,G14),2)),G14)</f>
        <v>31.41</v>
      </c>
      <c r="H15" s="2585" t="str">
        <f>IF(B12="出让",IF(H13="","",ROUNDDOWN(MIN((H13-$D$3)/365,H14),2)),H14)</f>
        <v/>
      </c>
      <c r="I15" s="2585" t="str">
        <f>IF(B12="出让",IF(I13="","",ROUNDDOWN(MIN((I13-$D$3)/365,I14),2)),I14)</f>
        <v/>
      </c>
      <c r="J15" s="2614"/>
      <c r="K15" s="2793"/>
      <c r="L15" s="2626"/>
      <c r="M15" s="2626"/>
      <c r="N15" s="2684"/>
      <c r="O15" s="2626"/>
      <c r="P15" s="2684"/>
      <c r="Q15" s="2614"/>
      <c r="R15" s="2614"/>
    </row>
    <row r="16" spans="1:28">
      <c r="A16" s="2573" t="s">
        <v>2694</v>
      </c>
      <c r="B16" s="3322"/>
      <c r="C16" s="3323"/>
      <c r="D16" s="3324"/>
      <c r="E16" s="2588" t="s">
        <v>2695</v>
      </c>
      <c r="F16" s="3325"/>
      <c r="G16" s="3326"/>
      <c r="H16" s="3326"/>
      <c r="I16" s="3327"/>
      <c r="J16" s="2614"/>
      <c r="K16" s="2793"/>
      <c r="L16" s="2626"/>
      <c r="M16" s="2626"/>
      <c r="N16" s="2684"/>
      <c r="O16" s="2626"/>
      <c r="P16" s="2684"/>
      <c r="Q16" s="2614"/>
      <c r="R16" s="2614"/>
    </row>
    <row r="17" spans="1:28">
      <c r="A17" s="319" t="s">
        <v>2696</v>
      </c>
      <c r="B17" s="308" t="s">
        <v>2697</v>
      </c>
      <c r="C17" s="11">
        <f>'数据-汇总表'!E3</f>
        <v>40421.870000000003</v>
      </c>
      <c r="D17" s="2496" t="s">
        <v>2698</v>
      </c>
      <c r="E17" s="3328" t="s">
        <v>2699</v>
      </c>
      <c r="F17" s="3329"/>
      <c r="G17" s="3329"/>
      <c r="H17" s="3329"/>
      <c r="I17" s="3330"/>
      <c r="J17" s="2614"/>
      <c r="K17" s="2794"/>
      <c r="L17" s="2626"/>
      <c r="M17" s="2626"/>
      <c r="N17" s="2684"/>
      <c r="O17" s="2626"/>
      <c r="P17" s="2684"/>
      <c r="Q17" s="2614"/>
      <c r="R17" s="2614"/>
      <c r="S17" s="2614"/>
      <c r="T17" s="2614"/>
      <c r="U17" s="2614"/>
      <c r="V17" s="2614"/>
    </row>
    <row r="18" spans="1:28" ht="24.75" thickBot="1">
      <c r="A18" s="2589" t="s">
        <v>2700</v>
      </c>
      <c r="B18" s="1203" t="s">
        <v>2701</v>
      </c>
      <c r="C18" s="2590">
        <f>'数据-汇总表'!D3</f>
        <v>18060.05</v>
      </c>
      <c r="D18" s="1205" t="s">
        <v>2702</v>
      </c>
      <c r="E18" s="3331" t="s">
        <v>2703</v>
      </c>
      <c r="F18" s="3332"/>
      <c r="G18" s="3332"/>
      <c r="H18" s="3332"/>
      <c r="I18" s="3333"/>
      <c r="J18" s="2614"/>
      <c r="K18" s="2794"/>
      <c r="L18" s="2626"/>
      <c r="M18" s="2626"/>
      <c r="N18" s="2684"/>
      <c r="O18" s="2626"/>
      <c r="P18" s="2684"/>
      <c r="Q18" s="2614"/>
      <c r="R18" s="2614"/>
      <c r="S18" s="2614"/>
      <c r="T18" s="2614"/>
      <c r="U18" s="2614"/>
      <c r="V18" s="2614"/>
    </row>
    <row r="19" spans="1:28" ht="37.5" thickTop="1" thickBot="1">
      <c r="A19" s="333" t="s">
        <v>1500</v>
      </c>
      <c r="B19" s="313" t="s">
        <v>2704</v>
      </c>
      <c r="C19" s="1699" t="s">
        <v>3183</v>
      </c>
      <c r="D19" s="1700" t="s">
        <v>2705</v>
      </c>
      <c r="E19" s="1701" t="s">
        <v>3183</v>
      </c>
      <c r="F19" s="1702" t="str">
        <f>IF(AND(C19="是",E19="否"),"是否提供他项权证或相关说明","")</f>
        <v/>
      </c>
      <c r="G19" s="1703"/>
      <c r="H19" s="2840"/>
      <c r="I19" s="2840"/>
      <c r="J19" s="2614"/>
      <c r="K19" s="2791"/>
      <c r="L19" s="2788"/>
      <c r="M19" s="2788"/>
      <c r="N19" s="2684"/>
      <c r="O19" s="2626"/>
      <c r="P19" s="2684"/>
      <c r="Q19" s="2614"/>
      <c r="R19" s="2614"/>
      <c r="S19" s="2614"/>
      <c r="T19" s="2614"/>
      <c r="U19" s="2614"/>
      <c r="V19" s="2614"/>
    </row>
    <row r="20" spans="1:28">
      <c r="A20" s="2808" t="s">
        <v>2706</v>
      </c>
      <c r="B20" s="3318" t="s">
        <v>2707</v>
      </c>
      <c r="C20" s="3319"/>
      <c r="D20" s="3320" t="s">
        <v>2708</v>
      </c>
      <c r="E20" s="3321"/>
      <c r="F20" s="2823" t="s">
        <v>1501</v>
      </c>
      <c r="G20" s="2840"/>
      <c r="H20" s="2840"/>
      <c r="I20" s="2840"/>
      <c r="J20" s="2614"/>
      <c r="K20" s="3317"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7"/>
      <c r="O20" s="2586"/>
      <c r="P20" s="2587"/>
      <c r="Q20" s="2544"/>
      <c r="R20" s="2544"/>
      <c r="S20" s="2544"/>
      <c r="T20" s="2544"/>
      <c r="U20" s="2544"/>
      <c r="V20" s="2544"/>
      <c r="W20" s="1882"/>
      <c r="X20" s="1882"/>
      <c r="Y20" s="1882"/>
      <c r="Z20" s="1882"/>
      <c r="AA20" s="1882"/>
      <c r="AB20" s="1882"/>
    </row>
    <row r="21" spans="1:28" ht="24.75" thickBot="1">
      <c r="A21" s="2808"/>
      <c r="B21" s="2809" t="s">
        <v>2710</v>
      </c>
      <c r="C21" s="2810" t="s">
        <v>1502</v>
      </c>
      <c r="D21" s="1704" t="s">
        <v>2711</v>
      </c>
      <c r="E21" s="2811" t="s">
        <v>1502</v>
      </c>
      <c r="F21" s="2824"/>
      <c r="G21" s="2840"/>
      <c r="H21" s="2840"/>
      <c r="I21" s="2840"/>
      <c r="J21" s="2614"/>
      <c r="K21" s="331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43"/>
      <c r="N21" s="2587"/>
      <c r="O21" s="2586"/>
      <c r="P21" s="2587"/>
      <c r="Q21" s="2544"/>
      <c r="R21" s="2544"/>
      <c r="S21" s="2544"/>
      <c r="T21" s="2544"/>
      <c r="U21" s="2544"/>
      <c r="V21" s="2544"/>
      <c r="W21" s="1882"/>
      <c r="X21" s="1882"/>
      <c r="Y21" s="1882"/>
      <c r="Z21" s="1882"/>
      <c r="AA21" s="1882"/>
      <c r="AB21" s="1882"/>
    </row>
    <row r="22" spans="1:28" ht="24.75" thickBot="1">
      <c r="A22" s="2808"/>
      <c r="B22" s="2812" t="s">
        <v>2712</v>
      </c>
      <c r="C22" s="2810" t="s">
        <v>1503</v>
      </c>
      <c r="D22" s="2839"/>
      <c r="E22" s="2839"/>
      <c r="F22" s="2839"/>
      <c r="G22" s="2840"/>
      <c r="H22" s="2840"/>
      <c r="I22" s="2840"/>
      <c r="J22" s="2614"/>
      <c r="K22" s="331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7"/>
      <c r="O22" s="2586"/>
      <c r="P22" s="2587"/>
      <c r="Q22" s="2544"/>
      <c r="R22" s="2544"/>
      <c r="S22" s="2544"/>
      <c r="T22" s="2544"/>
      <c r="U22" s="2544"/>
      <c r="V22" s="2544"/>
      <c r="W22" s="1882"/>
      <c r="X22" s="1882"/>
      <c r="Y22" s="1882"/>
      <c r="Z22" s="1882"/>
      <c r="AA22" s="1882"/>
      <c r="AB22" s="1882"/>
    </row>
    <row r="23" spans="1:28">
      <c r="A23" s="2813" t="s">
        <v>2713</v>
      </c>
      <c r="B23" s="2677" t="s">
        <v>2714</v>
      </c>
      <c r="C23" s="2814"/>
      <c r="D23" s="2815" t="s">
        <v>2714</v>
      </c>
      <c r="E23" s="2816"/>
      <c r="F23" s="2839"/>
      <c r="G23" s="2840"/>
      <c r="H23" s="2840"/>
      <c r="I23" s="2840"/>
      <c r="J23" s="2614"/>
      <c r="K23" s="2795"/>
      <c r="L23" s="2650"/>
      <c r="M23" s="2788"/>
      <c r="N23" s="2684"/>
      <c r="O23" s="2626"/>
      <c r="P23" s="2684"/>
      <c r="Q23" s="2614"/>
      <c r="R23" s="2614"/>
      <c r="S23" s="2614"/>
      <c r="T23" s="2614"/>
      <c r="U23" s="2614"/>
      <c r="V23" s="2614"/>
    </row>
    <row r="24" spans="1:28">
      <c r="A24" s="2813"/>
      <c r="B24" s="2677" t="s">
        <v>1504</v>
      </c>
      <c r="C24" s="2817"/>
      <c r="D24" s="2813" t="s">
        <v>1504</v>
      </c>
      <c r="E24" s="2818"/>
      <c r="F24" s="2839"/>
      <c r="G24" s="2840"/>
      <c r="H24" s="2840"/>
      <c r="I24" s="2840"/>
      <c r="J24" s="2614"/>
      <c r="K24" s="2795"/>
      <c r="L24" s="2650"/>
      <c r="M24" s="2788"/>
      <c r="N24" s="2684"/>
      <c r="O24" s="2626"/>
      <c r="P24" s="2684"/>
      <c r="Q24" s="2614"/>
      <c r="R24" s="2614"/>
      <c r="S24" s="2614"/>
      <c r="T24" s="2614"/>
      <c r="U24" s="2614"/>
      <c r="V24" s="2614"/>
    </row>
    <row r="25" spans="1:28">
      <c r="A25" s="2813"/>
      <c r="B25" s="2677" t="s">
        <v>1505</v>
      </c>
      <c r="C25" s="2817"/>
      <c r="D25" s="2813" t="s">
        <v>1505</v>
      </c>
      <c r="E25" s="2818"/>
      <c r="F25" s="2839"/>
      <c r="G25" s="2840"/>
      <c r="H25" s="2840"/>
      <c r="I25" s="2840"/>
      <c r="J25" s="2614"/>
      <c r="K25" s="2791"/>
      <c r="L25" s="2788"/>
      <c r="M25" s="2788"/>
      <c r="N25" s="2684"/>
      <c r="O25" s="2626"/>
      <c r="P25" s="2684"/>
      <c r="Q25" s="2614"/>
      <c r="R25" s="2614"/>
      <c r="S25" s="2614"/>
      <c r="T25" s="2614"/>
      <c r="U25" s="2614"/>
      <c r="V25" s="2614"/>
    </row>
    <row r="26" spans="1:28" ht="13.5" thickBot="1">
      <c r="A26" s="2819"/>
      <c r="B26" s="2820" t="s">
        <v>1506</v>
      </c>
      <c r="C26" s="2821"/>
      <c r="D26" s="2819" t="s">
        <v>1506</v>
      </c>
      <c r="E26" s="2822"/>
      <c r="F26" s="2841"/>
      <c r="G26" s="2841"/>
      <c r="H26" s="2841"/>
      <c r="I26" s="2841"/>
      <c r="J26" s="2614"/>
      <c r="K26" s="2791"/>
      <c r="L26" s="2788"/>
      <c r="M26" s="2788"/>
      <c r="N26" s="2684"/>
      <c r="O26" s="2626"/>
      <c r="P26" s="2684"/>
      <c r="Q26" s="2614"/>
      <c r="R26" s="2614"/>
      <c r="S26" s="2614"/>
      <c r="T26" s="2614"/>
      <c r="U26" s="2614"/>
      <c r="V26" s="2614"/>
    </row>
    <row r="27" spans="1:28" ht="13.5" thickTop="1">
      <c r="A27" s="3305" t="s">
        <v>2715</v>
      </c>
      <c r="B27" s="326" t="s">
        <v>2716</v>
      </c>
      <c r="C27" s="2591" t="s">
        <v>3181</v>
      </c>
      <c r="D27" s="2592"/>
      <c r="E27" s="2840"/>
      <c r="F27" s="2840"/>
      <c r="G27" s="2840"/>
      <c r="H27" s="2840"/>
      <c r="I27" s="2840"/>
      <c r="J27" s="2614"/>
      <c r="K27" s="2793"/>
      <c r="L27" s="2626"/>
      <c r="M27" s="2626"/>
      <c r="N27" s="2684"/>
      <c r="O27" s="2626"/>
      <c r="P27" s="2684"/>
      <c r="Q27" s="2614"/>
      <c r="R27" s="2614"/>
      <c r="S27" s="2614"/>
      <c r="T27" s="2614"/>
      <c r="U27" s="2614"/>
      <c r="V27" s="2614"/>
    </row>
    <row r="28" spans="1:28">
      <c r="A28" s="3305"/>
      <c r="B28" s="308" t="s">
        <v>2717</v>
      </c>
      <c r="C28" s="2593" t="s">
        <v>3182</v>
      </c>
      <c r="D28" s="2594"/>
      <c r="E28" s="2840"/>
      <c r="F28" s="2840"/>
      <c r="G28" s="2840"/>
      <c r="H28" s="2840"/>
      <c r="I28" s="2840"/>
      <c r="J28" s="2614"/>
      <c r="K28" s="2791"/>
      <c r="L28" s="2788"/>
      <c r="M28" s="2788"/>
      <c r="N28" s="2614"/>
      <c r="O28" s="2625"/>
      <c r="P28" s="2614"/>
      <c r="Q28" s="2614"/>
      <c r="R28" s="2614"/>
      <c r="S28" s="2614"/>
      <c r="T28" s="2614"/>
      <c r="U28" s="2614"/>
      <c r="V28" s="2614"/>
    </row>
    <row r="29" spans="1:28">
      <c r="A29" s="3305"/>
      <c r="B29" s="308" t="s">
        <v>2718</v>
      </c>
      <c r="C29" s="2595" t="s">
        <v>3183</v>
      </c>
      <c r="D29" s="2596"/>
      <c r="E29" s="2840"/>
      <c r="F29" s="2840"/>
      <c r="G29" s="2840"/>
      <c r="H29" s="2840"/>
      <c r="I29" s="2840"/>
      <c r="J29" s="2614"/>
      <c r="K29" s="2791"/>
      <c r="L29" s="2788"/>
      <c r="M29" s="2788"/>
      <c r="N29" s="2614"/>
      <c r="O29" s="2625"/>
      <c r="P29" s="2614"/>
      <c r="Q29" s="2614"/>
      <c r="R29" s="2614"/>
      <c r="S29" s="2614"/>
      <c r="T29" s="2614"/>
      <c r="U29" s="2614"/>
      <c r="V29" s="2614"/>
    </row>
    <row r="30" spans="1:28">
      <c r="A30" s="3306"/>
      <c r="B30" s="308" t="s">
        <v>2719</v>
      </c>
      <c r="C30" s="3307"/>
      <c r="D30" s="3308"/>
      <c r="E30" s="2840"/>
      <c r="F30" s="2840"/>
      <c r="G30" s="2840"/>
      <c r="H30" s="2840"/>
      <c r="I30" s="2840"/>
      <c r="J30" s="2614"/>
      <c r="K30" s="2791"/>
      <c r="L30" s="2788"/>
      <c r="M30" s="2788"/>
      <c r="N30" s="2614"/>
      <c r="O30" s="2625"/>
      <c r="P30" s="2614"/>
      <c r="Q30" s="2614"/>
      <c r="R30" s="2614"/>
      <c r="S30" s="2614"/>
      <c r="T30" s="2614"/>
      <c r="U30" s="2614"/>
      <c r="V30" s="2614"/>
    </row>
    <row r="31" spans="1:28">
      <c r="A31" s="3309" t="s">
        <v>2720</v>
      </c>
      <c r="B31" s="2597" t="s">
        <v>3184</v>
      </c>
      <c r="C31" s="2497" t="str">
        <f>IF(B31="现房","成新及维护状况正常否",IF(B31="在建","工程状态是否正常",IF(B31="土地","是否闲置","-")))</f>
        <v>成新及维护状况正常否</v>
      </c>
      <c r="D31" s="1508"/>
      <c r="E31" s="2598"/>
      <c r="F31" s="2840"/>
      <c r="G31" s="2840"/>
      <c r="H31" s="2840"/>
      <c r="I31" s="2840"/>
      <c r="J31" s="2614"/>
      <c r="K31" s="2790"/>
      <c r="L31" s="2788"/>
      <c r="M31" s="2788"/>
      <c r="N31" s="2614"/>
      <c r="O31" s="2625"/>
      <c r="P31" s="2614"/>
      <c r="Q31" s="2614"/>
      <c r="R31" s="2614"/>
      <c r="S31" s="2614"/>
      <c r="T31" s="2614"/>
      <c r="U31" s="2614"/>
      <c r="V31" s="2614"/>
    </row>
    <row r="32" spans="1:28">
      <c r="A32" s="3310"/>
      <c r="B32" s="2597"/>
      <c r="C32" s="2497" t="str">
        <f>IF(B32="现房","成新及维护状况是否正常",IF(B32="在建","工程状态是否正常",IF(B32="土地","是否闲置","-")))</f>
        <v>-</v>
      </c>
      <c r="D32" s="1508"/>
      <c r="E32" s="2598"/>
      <c r="F32" s="2840"/>
      <c r="G32" s="2840"/>
      <c r="H32" s="2840"/>
      <c r="I32" s="2840"/>
      <c r="J32" s="2614"/>
      <c r="K32" s="2791"/>
      <c r="L32" s="2788"/>
      <c r="M32" s="2788"/>
      <c r="N32" s="2614"/>
      <c r="O32" s="2625"/>
      <c r="P32" s="2614"/>
      <c r="Q32" s="2614"/>
      <c r="R32" s="2614"/>
      <c r="S32" s="2614"/>
      <c r="T32" s="2614"/>
      <c r="U32" s="2614"/>
      <c r="V32" s="2614"/>
    </row>
    <row r="33" spans="1:30">
      <c r="A33" s="3310"/>
      <c r="B33" s="2600"/>
      <c r="C33" s="1726" t="str">
        <f>IF(B33="现房","成新及维护状况是否正常",IF(B33="在建","工程状态是否正常",IF(B33="土地","是否闲置","-")))</f>
        <v>-</v>
      </c>
      <c r="D33" s="1500"/>
      <c r="E33" s="2601"/>
      <c r="F33" s="2840"/>
      <c r="G33" s="2840"/>
      <c r="H33" s="2840"/>
      <c r="I33" s="2840"/>
      <c r="J33" s="2614"/>
      <c r="K33" s="2791"/>
      <c r="L33" s="2788"/>
      <c r="M33" s="2788"/>
      <c r="N33" s="2614"/>
      <c r="O33" s="2625"/>
      <c r="P33" s="2614"/>
      <c r="Q33" s="2614"/>
      <c r="R33" s="2614"/>
      <c r="S33" s="2614"/>
      <c r="T33" s="2614"/>
      <c r="U33" s="2614"/>
      <c r="V33" s="2614"/>
    </row>
    <row r="34" spans="1:30">
      <c r="A34" s="308" t="s">
        <v>2721</v>
      </c>
      <c r="B34" s="2165" t="s">
        <v>3185</v>
      </c>
      <c r="C34" s="2165" t="s">
        <v>3186</v>
      </c>
      <c r="D34" s="2165" t="s">
        <v>3187</v>
      </c>
      <c r="E34" s="2165" t="s">
        <v>3188</v>
      </c>
      <c r="F34" s="2165" t="s">
        <v>3189</v>
      </c>
      <c r="G34" s="2165"/>
      <c r="H34" s="2165"/>
      <c r="I34" s="2840"/>
      <c r="J34" s="2614"/>
      <c r="K34" s="2602">
        <f>COUNTIF(B34:H34,"——")</f>
        <v>0</v>
      </c>
      <c r="L34" s="329" t="s">
        <v>2722</v>
      </c>
      <c r="M34" s="329" t="s">
        <v>2723</v>
      </c>
      <c r="N34" s="329" t="s">
        <v>2724</v>
      </c>
      <c r="O34" s="329" t="s">
        <v>2725</v>
      </c>
      <c r="P34" s="329" t="s">
        <v>2726</v>
      </c>
      <c r="Q34" s="329" t="s">
        <v>2727</v>
      </c>
      <c r="R34" s="329" t="s">
        <v>2728</v>
      </c>
      <c r="S34" s="3304" t="s">
        <v>2729</v>
      </c>
      <c r="T34" s="2603" t="str">
        <f>NUMBERSTRING(7-K34,1)&amp;"通"</f>
        <v>七通</v>
      </c>
      <c r="U34" s="2614"/>
      <c r="V34" s="2614"/>
    </row>
    <row r="35" spans="1:30">
      <c r="A35" s="2604"/>
      <c r="B35" s="3311" t="s">
        <v>2730</v>
      </c>
      <c r="C35" s="3311"/>
      <c r="D35" s="3311"/>
      <c r="E35" s="3311"/>
      <c r="F35" s="673">
        <f>C10</f>
        <v>0</v>
      </c>
      <c r="G35" s="2840"/>
      <c r="H35" s="2840"/>
      <c r="I35" s="2840"/>
      <c r="J35" s="261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304"/>
      <c r="T35" s="335" t="str">
        <f>IF(T34="一通",L35,IF(T34="二通",M35,IF(T34="三通",N35,IF(T34="四通",O35,IF(T34="五通",P35,IF(T34="六通",Q35,R35))))))</f>
        <v>通路、通电、通讯、通上水、通下水、、</v>
      </c>
      <c r="U35" s="2614"/>
      <c r="V35" s="2614"/>
    </row>
    <row r="36" spans="1:30">
      <c r="A36" s="2605"/>
      <c r="B36" s="673" t="s">
        <v>2686</v>
      </c>
      <c r="C36" s="673" t="s">
        <v>2687</v>
      </c>
      <c r="D36" s="673" t="s">
        <v>2685</v>
      </c>
      <c r="E36" s="673" t="s">
        <v>2690</v>
      </c>
      <c r="F36" s="2846"/>
      <c r="G36" s="2840"/>
      <c r="H36" s="2840"/>
      <c r="I36" s="2840"/>
      <c r="J36" s="2614"/>
      <c r="K36" s="2791"/>
      <c r="L36" s="2788"/>
      <c r="M36" s="2788"/>
      <c r="N36" s="2614"/>
      <c r="O36" s="2625"/>
      <c r="P36" s="2614"/>
      <c r="Q36" s="2614"/>
      <c r="R36" s="2614"/>
      <c r="S36" s="2614"/>
      <c r="T36" s="2614"/>
      <c r="U36" s="2614"/>
      <c r="V36" s="2614"/>
    </row>
    <row r="37" spans="1:30">
      <c r="A37" s="2806" t="s">
        <v>2731</v>
      </c>
      <c r="B37" s="2606" t="s">
        <v>137</v>
      </c>
      <c r="C37" s="2606"/>
      <c r="D37" s="2606"/>
      <c r="E37" s="2606"/>
      <c r="F37" s="2846"/>
      <c r="G37" s="2840"/>
      <c r="H37" s="2840"/>
      <c r="I37" s="2840"/>
      <c r="J37" s="2614"/>
      <c r="K37" s="2791"/>
      <c r="L37" s="2788"/>
      <c r="M37" s="2788"/>
      <c r="N37" s="2614"/>
      <c r="O37" s="2625"/>
      <c r="P37" s="2614"/>
      <c r="Q37" s="2614"/>
      <c r="R37" s="2614"/>
      <c r="S37" s="2614"/>
      <c r="T37" s="2614"/>
      <c r="U37" s="2614"/>
      <c r="V37" s="2614"/>
    </row>
    <row r="38" spans="1:30" ht="13.5" thickBot="1">
      <c r="A38" s="2807" t="s">
        <v>2732</v>
      </c>
      <c r="B38" s="2607"/>
      <c r="C38" s="2607"/>
      <c r="D38" s="2607"/>
      <c r="E38" s="2607"/>
      <c r="F38" s="2847"/>
      <c r="G38" s="2841"/>
      <c r="H38" s="2841"/>
      <c r="I38" s="2841"/>
      <c r="J38" s="2614"/>
      <c r="K38" s="2791"/>
      <c r="L38" s="2788"/>
      <c r="M38" s="2788"/>
      <c r="N38" s="2614"/>
      <c r="O38" s="2625"/>
      <c r="P38" s="2614"/>
      <c r="Q38" s="2614"/>
      <c r="R38" s="2614"/>
      <c r="S38" s="2614"/>
      <c r="T38" s="2614"/>
      <c r="U38" s="2614"/>
      <c r="V38" s="2614"/>
    </row>
    <row r="39" spans="1:30" s="2610" customFormat="1" ht="14.25" thickTop="1" thickBot="1">
      <c r="A39" s="2608" t="s">
        <v>2733</v>
      </c>
      <c r="B39" s="2609"/>
      <c r="C39" s="2609"/>
      <c r="D39" s="2609"/>
      <c r="E39" s="2609"/>
      <c r="F39" s="2609"/>
      <c r="G39" s="2609"/>
      <c r="H39" s="2609"/>
      <c r="I39" s="2609"/>
      <c r="J39" s="2798"/>
      <c r="K39" s="2799"/>
      <c r="L39" s="2798"/>
      <c r="M39" s="2798"/>
      <c r="N39" s="2798"/>
      <c r="O39" s="2800"/>
      <c r="P39" s="2798"/>
      <c r="Q39" s="2798"/>
      <c r="R39" s="2798"/>
      <c r="S39" s="2798"/>
      <c r="T39" s="2798"/>
      <c r="U39" s="2798"/>
      <c r="V39" s="2798"/>
      <c r="W39" s="2801"/>
      <c r="X39" s="2801"/>
      <c r="Y39" s="2801"/>
      <c r="Z39" s="2801"/>
      <c r="AA39" s="2801"/>
      <c r="AB39" s="2801"/>
      <c r="AC39" s="2801"/>
      <c r="AD39" s="2801"/>
    </row>
    <row r="40" spans="1:30">
      <c r="A40" s="2544"/>
      <c r="B40" s="2544"/>
      <c r="C40" s="2544"/>
      <c r="D40" s="2544"/>
      <c r="E40" s="2544"/>
      <c r="F40" s="2544"/>
      <c r="G40" s="2544"/>
      <c r="H40" s="2544"/>
      <c r="I40" s="1714"/>
      <c r="J40" s="2684"/>
      <c r="K40" s="2790"/>
      <c r="L40" s="2626"/>
      <c r="M40" s="2626"/>
      <c r="N40" s="2684"/>
      <c r="O40" s="2626"/>
      <c r="P40" s="2614"/>
      <c r="Q40" s="2614"/>
      <c r="R40" s="2614"/>
      <c r="S40" s="2614"/>
      <c r="T40" s="2614"/>
      <c r="U40" s="2614"/>
      <c r="V40" s="2614"/>
    </row>
    <row r="41" spans="1:30">
      <c r="A41" s="2611" t="s">
        <v>2734</v>
      </c>
      <c r="B41" s="1894"/>
      <c r="C41" s="1508"/>
      <c r="D41" s="2544"/>
      <c r="E41" s="2544"/>
      <c r="F41" s="2544"/>
      <c r="G41" s="2544"/>
      <c r="H41" s="2544"/>
      <c r="I41" s="1712"/>
      <c r="J41" s="2614"/>
      <c r="K41" s="2791"/>
      <c r="L41" s="2788"/>
      <c r="M41" s="2788"/>
      <c r="N41" s="2614"/>
      <c r="O41" s="2625"/>
      <c r="P41" s="2614"/>
      <c r="Q41" s="2614"/>
      <c r="R41" s="2614"/>
      <c r="S41" s="2614"/>
      <c r="T41" s="2614"/>
      <c r="U41" s="2614"/>
      <c r="V41" s="2614"/>
    </row>
    <row r="42" spans="1:30" ht="25.5">
      <c r="A42" s="329" t="s">
        <v>2735</v>
      </c>
      <c r="B42" s="11" t="s">
        <v>2736</v>
      </c>
      <c r="C42" s="11" t="s">
        <v>2737</v>
      </c>
      <c r="D42" s="11" t="s">
        <v>2738</v>
      </c>
      <c r="E42" s="11" t="s">
        <v>2739</v>
      </c>
      <c r="F42" s="11" t="s">
        <v>2740</v>
      </c>
      <c r="G42" s="11" t="s">
        <v>2741</v>
      </c>
      <c r="H42" s="11" t="s">
        <v>2742</v>
      </c>
      <c r="I42" s="11" t="s">
        <v>2743</v>
      </c>
      <c r="J42" s="2802" t="s">
        <v>2744</v>
      </c>
      <c r="K42" s="2803" t="s">
        <v>2745</v>
      </c>
      <c r="L42" s="2803" t="s">
        <v>2746</v>
      </c>
      <c r="M42" s="2803" t="s">
        <v>2747</v>
      </c>
      <c r="N42" s="2796" t="s">
        <v>2748</v>
      </c>
      <c r="O42" s="2796" t="s">
        <v>2749</v>
      </c>
      <c r="P42" s="2796" t="s">
        <v>2750</v>
      </c>
      <c r="Q42" s="2797" t="s">
        <v>2751</v>
      </c>
      <c r="R42" s="2797" t="s">
        <v>2752</v>
      </c>
      <c r="S42" s="2614"/>
      <c r="T42" s="2614"/>
      <c r="U42" s="2614"/>
      <c r="V42" s="2614"/>
    </row>
    <row r="43" spans="1:30" s="1880" customFormat="1">
      <c r="A43" s="1706"/>
      <c r="B43" s="1163"/>
      <c r="C43" s="1163"/>
      <c r="D43" s="1163"/>
      <c r="E43" s="1163"/>
      <c r="F43" s="1163"/>
      <c r="G43" s="1163"/>
      <c r="H43" s="1163"/>
      <c r="I43" s="1163"/>
      <c r="J43" s="2612"/>
      <c r="K43" s="2613"/>
      <c r="L43" s="2613"/>
      <c r="M43" s="1163"/>
      <c r="N43" s="1163"/>
      <c r="O43" s="1163"/>
      <c r="P43" s="1163"/>
      <c r="Q43" s="1163"/>
      <c r="R43" s="1163"/>
      <c r="S43" s="2614"/>
      <c r="T43" s="2614"/>
      <c r="U43" s="2614"/>
      <c r="V43" s="2614"/>
    </row>
    <row r="44" spans="1:30" s="1880" customFormat="1">
      <c r="A44" s="1706"/>
      <c r="B44" s="1706"/>
      <c r="C44" s="1163"/>
      <c r="D44" s="1163"/>
      <c r="E44" s="1163"/>
      <c r="F44" s="1163"/>
      <c r="G44" s="1163"/>
      <c r="H44" s="1163"/>
      <c r="I44" s="1163"/>
      <c r="J44" s="2612"/>
      <c r="K44" s="2613"/>
      <c r="L44" s="2613"/>
      <c r="M44" s="1163"/>
      <c r="N44" s="1163"/>
      <c r="O44" s="1163"/>
      <c r="P44" s="1163"/>
      <c r="Q44" s="1163"/>
      <c r="R44" s="1163"/>
      <c r="S44" s="2614"/>
      <c r="T44" s="2614"/>
      <c r="U44" s="2614"/>
      <c r="V44" s="2614"/>
    </row>
    <row r="45" spans="1:30" s="1880" customFormat="1">
      <c r="A45" s="1706"/>
      <c r="B45" s="1706"/>
      <c r="C45" s="1163"/>
      <c r="D45" s="1163"/>
      <c r="E45" s="1163"/>
      <c r="F45" s="1163"/>
      <c r="G45" s="1163"/>
      <c r="H45" s="1163"/>
      <c r="I45" s="1163"/>
      <c r="J45" s="2612"/>
      <c r="K45" s="2613"/>
      <c r="L45" s="2613"/>
      <c r="M45" s="1163"/>
      <c r="N45" s="1163"/>
      <c r="O45" s="1163"/>
      <c r="P45" s="1163"/>
      <c r="Q45" s="1163"/>
      <c r="R45" s="1163"/>
      <c r="S45" s="2614"/>
      <c r="T45" s="2614"/>
      <c r="U45" s="2614"/>
      <c r="V45" s="2614"/>
    </row>
    <row r="46" spans="1:30" s="1880" customFormat="1">
      <c r="A46" s="1706"/>
      <c r="B46" s="1706"/>
      <c r="C46" s="1163"/>
      <c r="D46" s="1163"/>
      <c r="E46" s="1163"/>
      <c r="F46" s="1163"/>
      <c r="G46" s="1163"/>
      <c r="H46" s="1163"/>
      <c r="I46" s="1163"/>
      <c r="J46" s="2612"/>
      <c r="K46" s="2613"/>
      <c r="L46" s="2613"/>
      <c r="M46" s="1163"/>
      <c r="N46" s="1163"/>
      <c r="O46" s="1163"/>
      <c r="P46" s="1163"/>
      <c r="Q46" s="1163"/>
      <c r="R46" s="1163"/>
      <c r="S46" s="2614"/>
      <c r="T46" s="2614"/>
      <c r="U46" s="2614"/>
      <c r="V46" s="2614"/>
    </row>
    <row r="47" spans="1:30" s="1880" customFormat="1">
      <c r="A47" s="1706"/>
      <c r="B47" s="1706"/>
      <c r="C47" s="1163"/>
      <c r="D47" s="1163"/>
      <c r="E47" s="1163"/>
      <c r="F47" s="1163"/>
      <c r="G47" s="1163"/>
      <c r="H47" s="1163"/>
      <c r="I47" s="1163"/>
      <c r="J47" s="2612"/>
      <c r="K47" s="2613"/>
      <c r="L47" s="2613"/>
      <c r="M47" s="1163"/>
      <c r="N47" s="1163"/>
      <c r="O47" s="1163"/>
      <c r="P47" s="1163"/>
      <c r="Q47" s="1163"/>
      <c r="R47" s="1163"/>
      <c r="S47" s="2614"/>
      <c r="T47" s="2614"/>
      <c r="U47" s="2614"/>
      <c r="V47" s="2614"/>
    </row>
    <row r="48" spans="1:30" s="1880" customFormat="1">
      <c r="A48" s="1706"/>
      <c r="B48" s="1706"/>
      <c r="C48" s="1163"/>
      <c r="D48" s="1163"/>
      <c r="E48" s="1163"/>
      <c r="F48" s="1163"/>
      <c r="G48" s="1163"/>
      <c r="H48" s="1163"/>
      <c r="I48" s="1163"/>
      <c r="J48" s="2612"/>
      <c r="K48" s="2613"/>
      <c r="L48" s="2613"/>
      <c r="M48" s="1163"/>
      <c r="N48" s="1163"/>
      <c r="O48" s="1163"/>
      <c r="P48" s="1163"/>
      <c r="Q48" s="1163"/>
      <c r="R48" s="1163"/>
      <c r="S48" s="2614"/>
      <c r="T48" s="2614"/>
      <c r="U48" s="2614"/>
      <c r="V48" s="2614"/>
    </row>
    <row r="49" spans="1:22" s="1880" customFormat="1">
      <c r="A49" s="1706"/>
      <c r="B49" s="1706"/>
      <c r="C49" s="1163"/>
      <c r="D49" s="1163"/>
      <c r="E49" s="1163"/>
      <c r="F49" s="1163"/>
      <c r="G49" s="1163"/>
      <c r="H49" s="1163"/>
      <c r="I49" s="1163"/>
      <c r="J49" s="2612"/>
      <c r="K49" s="2613"/>
      <c r="L49" s="2613"/>
      <c r="M49" s="1163"/>
      <c r="N49" s="1163"/>
      <c r="O49" s="1163"/>
      <c r="P49" s="1163"/>
      <c r="Q49" s="1163"/>
      <c r="R49" s="1163"/>
      <c r="S49" s="2614"/>
      <c r="T49" s="2614"/>
      <c r="U49" s="2614"/>
      <c r="V49" s="2614"/>
    </row>
    <row r="50" spans="1:22" s="1880" customFormat="1">
      <c r="A50" s="1706"/>
      <c r="B50" s="1706"/>
      <c r="C50" s="1163"/>
      <c r="D50" s="1163"/>
      <c r="E50" s="1163"/>
      <c r="F50" s="1163"/>
      <c r="G50" s="1163"/>
      <c r="H50" s="1163"/>
      <c r="I50" s="1163"/>
      <c r="J50" s="2612"/>
      <c r="K50" s="2613"/>
      <c r="L50" s="2613"/>
      <c r="M50" s="1163"/>
      <c r="N50" s="1163"/>
      <c r="O50" s="1163"/>
      <c r="P50" s="1163"/>
      <c r="Q50" s="1163"/>
      <c r="R50" s="1163"/>
      <c r="S50" s="2614"/>
      <c r="T50" s="2614"/>
      <c r="U50" s="2614"/>
      <c r="V50" s="2614"/>
    </row>
    <row r="51" spans="1:22" s="1880" customFormat="1">
      <c r="A51" s="1706"/>
      <c r="B51" s="1706"/>
      <c r="C51" s="1163"/>
      <c r="D51" s="1163"/>
      <c r="E51" s="1163"/>
      <c r="F51" s="1163"/>
      <c r="G51" s="1163"/>
      <c r="H51" s="1163"/>
      <c r="I51" s="1163"/>
      <c r="J51" s="2612"/>
      <c r="K51" s="2613"/>
      <c r="L51" s="2613"/>
      <c r="M51" s="1163"/>
      <c r="N51" s="1163"/>
      <c r="O51" s="1163"/>
      <c r="P51" s="1163"/>
      <c r="Q51" s="1163"/>
      <c r="R51" s="1163"/>
    </row>
    <row r="52" spans="1:22" s="1880" customFormat="1">
      <c r="A52" s="1706"/>
      <c r="B52" s="1706"/>
      <c r="C52" s="1706"/>
      <c r="D52" s="1706"/>
      <c r="E52" s="1706"/>
      <c r="F52" s="1163"/>
      <c r="G52" s="1706"/>
      <c r="H52" s="1706"/>
      <c r="I52" s="1706"/>
      <c r="J52" s="2615"/>
      <c r="K52" s="2613"/>
      <c r="L52" s="2613"/>
      <c r="M52" s="2613"/>
      <c r="N52" s="1706"/>
      <c r="O52" s="1706"/>
      <c r="P52" s="1706"/>
      <c r="Q52" s="1706"/>
      <c r="R52" s="1706"/>
    </row>
    <row r="53" spans="1:22" s="1880" customFormat="1">
      <c r="A53" s="1706"/>
      <c r="B53" s="1706"/>
      <c r="C53" s="1706"/>
      <c r="D53" s="1706"/>
      <c r="E53" s="1706"/>
      <c r="F53" s="1163"/>
      <c r="G53" s="1706"/>
      <c r="H53" s="1706"/>
      <c r="I53" s="1706"/>
      <c r="J53" s="2615"/>
      <c r="K53" s="2613"/>
      <c r="L53" s="2613"/>
      <c r="M53" s="2613"/>
      <c r="N53" s="1706"/>
      <c r="O53" s="1706"/>
      <c r="P53" s="1706"/>
      <c r="Q53" s="1706"/>
      <c r="R53" s="1706"/>
    </row>
    <row r="54" spans="1:22" s="1880" customFormat="1">
      <c r="A54" s="1706"/>
      <c r="B54" s="1706"/>
      <c r="C54" s="1706"/>
      <c r="D54" s="1706"/>
      <c r="E54" s="1706"/>
      <c r="F54" s="1163"/>
      <c r="G54" s="1706"/>
      <c r="H54" s="1706"/>
      <c r="I54" s="1706"/>
      <c r="J54" s="2615"/>
      <c r="K54" s="2613"/>
      <c r="L54" s="2613"/>
      <c r="M54" s="2613"/>
      <c r="N54" s="1706"/>
      <c r="O54" s="1706"/>
      <c r="P54" s="1706"/>
      <c r="Q54" s="1706"/>
      <c r="R54" s="1706"/>
    </row>
    <row r="55" spans="1:22" s="1880" customFormat="1">
      <c r="A55" s="1706"/>
      <c r="B55" s="1706"/>
      <c r="C55" s="1706"/>
      <c r="D55" s="1706"/>
      <c r="E55" s="1706"/>
      <c r="F55" s="1163"/>
      <c r="G55" s="1706"/>
      <c r="H55" s="1706"/>
      <c r="I55" s="1706"/>
      <c r="J55" s="2615"/>
      <c r="K55" s="2613"/>
      <c r="L55" s="2613"/>
      <c r="M55" s="2613"/>
      <c r="N55" s="1706"/>
      <c r="O55" s="1706"/>
      <c r="P55" s="1706"/>
      <c r="Q55" s="1706"/>
      <c r="R55" s="1706"/>
    </row>
    <row r="56" spans="1:22" s="1880" customFormat="1">
      <c r="A56" s="1706"/>
      <c r="B56" s="1706"/>
      <c r="C56" s="1706"/>
      <c r="D56" s="1706"/>
      <c r="E56" s="1706"/>
      <c r="F56" s="1163"/>
      <c r="G56" s="1706"/>
      <c r="H56" s="1706"/>
      <c r="I56" s="1706"/>
      <c r="J56" s="2615"/>
      <c r="K56" s="2613"/>
      <c r="L56" s="2613"/>
      <c r="M56" s="2613"/>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hidden="1" customWidth="1"/>
    <col min="16" max="16" width="9.75" style="1709" hidden="1" customWidth="1"/>
    <col min="17" max="17" width="9.375" style="1709" hidden="1" customWidth="1"/>
    <col min="18" max="18" width="9.25" style="1709" hidden="1" customWidth="1"/>
    <col min="19" max="19" width="10.875" style="1709" hidden="1" customWidth="1"/>
    <col min="20" max="21" width="10.75" style="1709" hidden="1" customWidth="1"/>
    <col min="22" max="22" width="10.875" style="1709" hidden="1" customWidth="1"/>
    <col min="23" max="27" width="10.75" style="1709" hidden="1" customWidth="1"/>
    <col min="28" max="28" width="10.875" style="1709" hidden="1"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f>18060.05</f>
        <v>18060.05</v>
      </c>
      <c r="B3" s="14">
        <f>IF(C3="否",G5-AT5,G5)</f>
        <v>40421.870000000003</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40421.870000000003</v>
      </c>
      <c r="H5" s="16">
        <f t="shared" ref="H5:AT5" si="0">SUM(H13:H656)</f>
        <v>40421.870000000003</v>
      </c>
      <c r="I5" s="16">
        <f t="shared" si="0"/>
        <v>15997.850000000002</v>
      </c>
      <c r="J5" s="16">
        <f t="shared" si="0"/>
        <v>0</v>
      </c>
      <c r="K5" s="16">
        <f t="shared" si="0"/>
        <v>14235.169999999998</v>
      </c>
      <c r="L5" s="16">
        <f t="shared" si="0"/>
        <v>0</v>
      </c>
      <c r="M5" s="16">
        <f t="shared" si="0"/>
        <v>10188.85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40421.870000000003</v>
      </c>
      <c r="BA5" s="18">
        <f t="shared" si="1"/>
        <v>40421.870000000003</v>
      </c>
      <c r="BB5" s="18">
        <f t="shared" si="1"/>
        <v>15997.850000000002</v>
      </c>
      <c r="BC5" s="18">
        <f t="shared" si="1"/>
        <v>14235.169999999998</v>
      </c>
      <c r="BD5" s="18">
        <f t="shared" si="1"/>
        <v>10188.85</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18060.05</v>
      </c>
      <c r="F6" s="16" t="s">
        <v>1</v>
      </c>
      <c r="G6" s="16" t="s">
        <v>2</v>
      </c>
      <c r="H6" s="20">
        <f>SUMIF(I$12:AB$12,"总值",I6:AB6)</f>
        <v>18060.05</v>
      </c>
      <c r="I6" s="16">
        <f t="shared" ref="I6:AB6" si="2">ROUND($A$3*I5/$B$3,2)</f>
        <v>7147.66</v>
      </c>
      <c r="J6" s="16">
        <f t="shared" si="2"/>
        <v>0</v>
      </c>
      <c r="K6" s="16">
        <f t="shared" si="2"/>
        <v>6360.12</v>
      </c>
      <c r="L6" s="16">
        <f t="shared" si="2"/>
        <v>0</v>
      </c>
      <c r="M6" s="16">
        <f t="shared" si="2"/>
        <v>4552.2700000000004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18060.05</v>
      </c>
      <c r="AZ6" s="16" t="s">
        <v>3</v>
      </c>
      <c r="BA6" s="16">
        <f>ROUND($AY$6*BA5/$AZ$5,2)</f>
        <v>18060.05</v>
      </c>
      <c r="BB6" s="16">
        <f>ROUND($AY$6*BB5/$AZ$5,2)</f>
        <v>7147.66</v>
      </c>
      <c r="BC6" s="16">
        <f t="shared" ref="BC6:BH6" si="4">ROUND($AY$6*BC5/$AZ$5,2)</f>
        <v>6360.12</v>
      </c>
      <c r="BD6" s="16">
        <f t="shared" si="4"/>
        <v>4552.2700000000004</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3441</v>
      </c>
      <c r="J9" s="899"/>
      <c r="K9" s="1739" t="s">
        <v>3228</v>
      </c>
      <c r="L9" s="899"/>
      <c r="M9" s="1739" t="s">
        <v>3228</v>
      </c>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1102</v>
      </c>
      <c r="J10" s="899"/>
      <c r="K10" s="1745" t="s">
        <v>3229</v>
      </c>
      <c r="L10" s="899"/>
      <c r="M10" s="1745" t="s">
        <v>1102</v>
      </c>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t="str">
        <f>K9</f>
        <v>地下</v>
      </c>
      <c r="BD10" s="29" t="str">
        <f>M9</f>
        <v>地下</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3442</v>
      </c>
      <c r="J11" s="1751"/>
      <c r="K11" s="1750" t="s">
        <v>3206</v>
      </c>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商业</v>
      </c>
      <c r="BC11" s="1735" t="str">
        <f>K10</f>
        <v>车库—商业</v>
      </c>
      <c r="BD11" s="1735" t="str">
        <f>M10</f>
        <v>商业</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独立商业</v>
      </c>
      <c r="BC12" s="1760" t="str">
        <f>K11</f>
        <v>车库</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1163"/>
      <c r="D13" s="1761" t="s">
        <v>3227</v>
      </c>
      <c r="E13" s="16">
        <f>IF($C$3="是",ROUND($A$3*G13/$B$3,2),ROUND($A$3*(G13-AT13)/$B$3,2))</f>
        <v>18060.05</v>
      </c>
      <c r="F13" s="32"/>
      <c r="G13" s="33">
        <f>H13+AC13+AT13</f>
        <v>40421.870000000003</v>
      </c>
      <c r="H13" s="20">
        <f>SUMIF(I$12:AB$12,"总值",I13:AB13)</f>
        <v>40421.870000000003</v>
      </c>
      <c r="I13" s="1762">
        <f>面积!H38</f>
        <v>15997.850000000002</v>
      </c>
      <c r="J13" s="1762"/>
      <c r="K13" s="1762">
        <f>面积!H40</f>
        <v>14235.169999999998</v>
      </c>
      <c r="L13" s="1762"/>
      <c r="M13" s="1762">
        <f>面积!H39</f>
        <v>10188.85</v>
      </c>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f t="shared" si="6"/>
        <v>0</v>
      </c>
      <c r="AY13" s="1484">
        <f>ROUND($AY$6*AZ13/$AZ$5,2)</f>
        <v>18060.05</v>
      </c>
      <c r="AZ13" s="16">
        <f>BA13+BL13</f>
        <v>40421.870000000003</v>
      </c>
      <c r="BA13" s="16">
        <f>SUM(BB13:BK13)</f>
        <v>40421.870000000003</v>
      </c>
      <c r="BB13" s="16">
        <f>IF($D13="是",I13-J13,0)</f>
        <v>15997.850000000002</v>
      </c>
      <c r="BC13" s="16">
        <f>IF($D13="是",K13-L13,0)</f>
        <v>14235.169999999998</v>
      </c>
      <c r="BD13" s="16">
        <f>IF($D13="是",M13-N13,0)</f>
        <v>10188.85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3235"/>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3235"/>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4" t="s">
        <v>0</v>
      </c>
      <c r="B1" s="3334" t="s">
        <v>4</v>
      </c>
      <c r="C1" s="3334" t="s">
        <v>5</v>
      </c>
      <c r="D1" s="3335" t="s">
        <v>53</v>
      </c>
      <c r="E1" s="3335" t="s">
        <v>54</v>
      </c>
      <c r="F1" s="3335"/>
      <c r="G1" s="3335"/>
      <c r="H1" s="3335"/>
      <c r="I1" s="3335"/>
      <c r="J1" s="3335"/>
      <c r="K1" s="3335"/>
      <c r="L1" s="3335"/>
      <c r="M1" s="3335"/>
    </row>
    <row r="2" spans="1:13" ht="27" customHeight="1">
      <c r="A2" s="3334"/>
      <c r="B2" s="3334"/>
      <c r="C2" s="3334"/>
      <c r="D2" s="3335"/>
      <c r="E2" s="3335" t="s">
        <v>37</v>
      </c>
      <c r="F2" s="3335" t="s">
        <v>38</v>
      </c>
      <c r="G2" s="3335"/>
      <c r="H2" s="3335"/>
      <c r="I2" s="3335"/>
      <c r="J2" s="3335" t="s">
        <v>39</v>
      </c>
      <c r="K2" s="3335"/>
      <c r="L2" s="3335"/>
      <c r="M2" s="3335"/>
    </row>
    <row r="3" spans="1:13" ht="28.5">
      <c r="A3" s="3334"/>
      <c r="B3" s="3334"/>
      <c r="C3" s="3334"/>
      <c r="D3" s="3335"/>
      <c r="E3" s="333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5" t="s">
        <v>55</v>
      </c>
      <c r="B9" s="3335"/>
      <c r="C9" s="333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3" sqref="A3:XFD6"/>
    </sheetView>
  </sheetViews>
  <sheetFormatPr defaultRowHeight="13.5"/>
  <cols>
    <col min="1" max="1" width="6.625" style="3233" customWidth="1"/>
    <col min="2" max="2" width="14.75" style="3233" customWidth="1"/>
    <col min="3" max="3" width="7.25" style="3233" customWidth="1"/>
    <col min="4" max="4" width="6.125" style="3233" customWidth="1"/>
    <col min="5" max="6" width="9" style="3233"/>
    <col min="7" max="7" width="7.75" style="3233" customWidth="1"/>
    <col min="8" max="8" width="11.25" style="3233" customWidth="1"/>
    <col min="9" max="9" width="8.875" style="3233" customWidth="1"/>
    <col min="10" max="10" width="15.5" style="3233" customWidth="1"/>
    <col min="11" max="11" width="16" style="3233" customWidth="1"/>
    <col min="12" max="12" width="9" style="3233"/>
    <col min="13" max="13" width="0" style="3233" hidden="1" customWidth="1"/>
    <col min="14" max="14" width="8.25" style="3233" customWidth="1"/>
    <col min="15" max="16384" width="9" style="3233"/>
  </cols>
  <sheetData>
    <row r="1" spans="1:15" s="3230" customFormat="1"/>
    <row r="2" spans="1:15" s="3230" customFormat="1" ht="24">
      <c r="A2" s="3231" t="s">
        <v>3190</v>
      </c>
      <c r="B2" s="3231" t="s">
        <v>3191</v>
      </c>
      <c r="C2" s="3231" t="s">
        <v>3192</v>
      </c>
      <c r="D2" s="3231" t="s">
        <v>3193</v>
      </c>
      <c r="E2" s="3231" t="s">
        <v>3194</v>
      </c>
      <c r="F2" s="3231" t="s">
        <v>3195</v>
      </c>
      <c r="G2" s="3231" t="s">
        <v>3196</v>
      </c>
      <c r="H2" s="3231" t="s">
        <v>3197</v>
      </c>
      <c r="I2" s="3231" t="s">
        <v>3246</v>
      </c>
      <c r="J2" s="3231" t="s">
        <v>3198</v>
      </c>
      <c r="K2" s="3231" t="s">
        <v>3199</v>
      </c>
      <c r="L2" s="3231" t="s">
        <v>3200</v>
      </c>
      <c r="M2" s="3231" t="s">
        <v>3201</v>
      </c>
      <c r="N2" s="3231" t="s">
        <v>3202</v>
      </c>
      <c r="O2" s="3231" t="s">
        <v>3203</v>
      </c>
    </row>
    <row r="3" spans="1:15" s="3230" customFormat="1" ht="33.75" customHeight="1">
      <c r="A3" s="3231">
        <v>1</v>
      </c>
      <c r="B3" s="3231" t="s">
        <v>3204</v>
      </c>
      <c r="C3" s="3231" t="s">
        <v>3205</v>
      </c>
      <c r="D3" s="3231" t="s">
        <v>3206</v>
      </c>
      <c r="E3" s="3231" t="s">
        <v>48</v>
      </c>
      <c r="F3" s="3231" t="s">
        <v>3207</v>
      </c>
      <c r="G3" s="3231" t="s">
        <v>3208</v>
      </c>
      <c r="H3" s="3231" t="s">
        <v>3209</v>
      </c>
      <c r="I3" s="3231" t="s">
        <v>3210</v>
      </c>
      <c r="J3" s="3231" t="s">
        <v>3249</v>
      </c>
      <c r="K3" s="3231" t="s">
        <v>3248</v>
      </c>
      <c r="L3" s="3231">
        <v>666.13</v>
      </c>
      <c r="M3" s="3231">
        <v>607.67999999999995</v>
      </c>
      <c r="N3" s="3231" t="s">
        <v>3211</v>
      </c>
      <c r="O3" s="3231"/>
    </row>
    <row r="4" spans="1:15" s="3230" customFormat="1" ht="30" customHeight="1">
      <c r="A4" s="3231">
        <v>2</v>
      </c>
      <c r="B4" s="3231" t="s">
        <v>3204</v>
      </c>
      <c r="C4" s="3231" t="s">
        <v>3205</v>
      </c>
      <c r="D4" s="3231" t="s">
        <v>3206</v>
      </c>
      <c r="E4" s="3231" t="s">
        <v>48</v>
      </c>
      <c r="F4" s="3231" t="s">
        <v>3207</v>
      </c>
      <c r="G4" s="3231" t="s">
        <v>3212</v>
      </c>
      <c r="H4" s="3231" t="s">
        <v>3213</v>
      </c>
      <c r="I4" s="3231" t="s">
        <v>3210</v>
      </c>
      <c r="J4" s="3231" t="s">
        <v>3214</v>
      </c>
      <c r="K4" s="3231" t="s">
        <v>3215</v>
      </c>
      <c r="L4" s="3231">
        <v>8684.23</v>
      </c>
      <c r="M4" s="3231">
        <v>7922.26</v>
      </c>
      <c r="N4" s="3231" t="s">
        <v>3211</v>
      </c>
      <c r="O4" s="3231"/>
    </row>
    <row r="5" spans="1:15" s="3230" customFormat="1" ht="33.75" customHeight="1">
      <c r="A5" s="3231">
        <v>3</v>
      </c>
      <c r="B5" s="3231" t="s">
        <v>3204</v>
      </c>
      <c r="C5" s="3231" t="s">
        <v>3205</v>
      </c>
      <c r="D5" s="3231" t="s">
        <v>3206</v>
      </c>
      <c r="E5" s="3231" t="s">
        <v>48</v>
      </c>
      <c r="F5" s="3231" t="s">
        <v>3207</v>
      </c>
      <c r="G5" s="3231" t="s">
        <v>3216</v>
      </c>
      <c r="H5" s="3231" t="s">
        <v>3217</v>
      </c>
      <c r="I5" s="3231" t="s">
        <v>3210</v>
      </c>
      <c r="J5" s="3231" t="s">
        <v>3218</v>
      </c>
      <c r="K5" s="3231" t="s">
        <v>3219</v>
      </c>
      <c r="L5" s="3231">
        <v>4884.8100000000004</v>
      </c>
      <c r="M5" s="3231">
        <v>4456.21</v>
      </c>
      <c r="N5" s="3231" t="s">
        <v>3211</v>
      </c>
      <c r="O5" s="3231"/>
    </row>
    <row r="6" spans="1:15" s="3230" customFormat="1" ht="33.75" customHeight="1">
      <c r="A6" s="3231">
        <v>4</v>
      </c>
      <c r="B6" s="3231" t="s">
        <v>3204</v>
      </c>
      <c r="C6" s="3231" t="s">
        <v>3220</v>
      </c>
      <c r="D6" s="3231" t="s">
        <v>3206</v>
      </c>
      <c r="E6" s="3231" t="s">
        <v>48</v>
      </c>
      <c r="F6" s="3231" t="s">
        <v>3221</v>
      </c>
      <c r="G6" s="3231" t="s">
        <v>3212</v>
      </c>
      <c r="H6" s="3231" t="s">
        <v>3222</v>
      </c>
      <c r="I6" s="3231" t="s">
        <v>3223</v>
      </c>
      <c r="J6" s="3231" t="s">
        <v>3224</v>
      </c>
      <c r="K6" s="3231" t="s">
        <v>3225</v>
      </c>
      <c r="L6" s="3231">
        <v>11285.76</v>
      </c>
      <c r="M6" s="3231">
        <v>10128.76</v>
      </c>
      <c r="N6" s="3231" t="s">
        <v>3211</v>
      </c>
      <c r="O6" s="3231"/>
    </row>
    <row r="7" spans="1:15" s="3230" customFormat="1" ht="20.25" customHeight="1">
      <c r="A7" s="3232" t="s">
        <v>3226</v>
      </c>
      <c r="B7" s="3232"/>
      <c r="C7" s="3232"/>
      <c r="D7" s="3232"/>
      <c r="E7" s="3232"/>
      <c r="F7" s="3232"/>
      <c r="G7" s="3232"/>
      <c r="H7" s="3232"/>
      <c r="I7" s="3232"/>
      <c r="J7" s="3232"/>
      <c r="K7" s="3232"/>
      <c r="L7" s="3232">
        <f>SUM(L3:L6)</f>
        <v>25520.93</v>
      </c>
      <c r="M7" s="3232">
        <v>57733.950000000004</v>
      </c>
      <c r="N7" s="3232"/>
      <c r="O7" s="3232"/>
    </row>
    <row r="8" spans="1:15" s="3230" customFormat="1"/>
    <row r="9" spans="1:15" s="3230" customFormat="1"/>
    <row r="14" spans="1:15">
      <c r="J14" s="3233" t="s">
        <v>3247</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topLeftCell="A68" workbookViewId="0">
      <selection activeCell="H86" sqref="H86"/>
    </sheetView>
  </sheetViews>
  <sheetFormatPr defaultRowHeight="13.5"/>
  <sheetData>
    <row r="1" spans="1:15" ht="24">
      <c r="A1" s="3231" t="s">
        <v>3250</v>
      </c>
      <c r="B1" s="3231" t="s">
        <v>3251</v>
      </c>
      <c r="C1" s="3231" t="s">
        <v>3192</v>
      </c>
      <c r="D1" s="3231" t="s">
        <v>3193</v>
      </c>
      <c r="E1" s="3231" t="s">
        <v>3194</v>
      </c>
      <c r="F1" s="3231" t="s">
        <v>3195</v>
      </c>
      <c r="G1" s="3231" t="s">
        <v>3253</v>
      </c>
      <c r="H1" s="3231" t="s">
        <v>3254</v>
      </c>
      <c r="I1" s="3231" t="s">
        <v>3255</v>
      </c>
      <c r="J1" s="3231" t="s">
        <v>3256</v>
      </c>
      <c r="K1" s="3231" t="s">
        <v>3199</v>
      </c>
      <c r="L1" s="3231" t="s">
        <v>3200</v>
      </c>
      <c r="M1" s="3231" t="s">
        <v>3201</v>
      </c>
      <c r="N1" s="3231" t="s">
        <v>3257</v>
      </c>
      <c r="O1" s="3231" t="s">
        <v>3203</v>
      </c>
    </row>
    <row r="2" spans="1:15" ht="48">
      <c r="A2" s="3249">
        <v>1</v>
      </c>
      <c r="B2" s="3249" t="s">
        <v>3258</v>
      </c>
      <c r="C2" s="3249" t="s">
        <v>3205</v>
      </c>
      <c r="D2" s="3249" t="s">
        <v>1102</v>
      </c>
      <c r="E2" s="3249" t="s">
        <v>3259</v>
      </c>
      <c r="F2" s="3249" t="s">
        <v>3260</v>
      </c>
      <c r="G2" s="3249" t="s">
        <v>3261</v>
      </c>
      <c r="H2" s="3249" t="s">
        <v>3262</v>
      </c>
      <c r="I2" s="3249" t="s">
        <v>3263</v>
      </c>
      <c r="J2" s="3249" t="s">
        <v>3264</v>
      </c>
      <c r="K2" s="3249" t="s">
        <v>3265</v>
      </c>
      <c r="L2" s="3249">
        <v>97.89</v>
      </c>
      <c r="M2" s="3250">
        <v>74.180000000000007</v>
      </c>
      <c r="N2" s="3249" t="s">
        <v>3266</v>
      </c>
      <c r="O2" s="3249"/>
    </row>
    <row r="3" spans="1:15" ht="48">
      <c r="A3" s="3249">
        <v>2</v>
      </c>
      <c r="B3" s="3249" t="s">
        <v>3267</v>
      </c>
      <c r="C3" s="3231" t="s">
        <v>3205</v>
      </c>
      <c r="D3" s="3231" t="s">
        <v>1102</v>
      </c>
      <c r="E3" s="3231" t="s">
        <v>3259</v>
      </c>
      <c r="F3" s="3249" t="s">
        <v>3260</v>
      </c>
      <c r="G3" s="3231" t="s">
        <v>3261</v>
      </c>
      <c r="H3" s="3231" t="s">
        <v>3268</v>
      </c>
      <c r="I3" s="3249" t="s">
        <v>3263</v>
      </c>
      <c r="J3" s="3231" t="s">
        <v>3269</v>
      </c>
      <c r="K3" s="3231" t="s">
        <v>3270</v>
      </c>
      <c r="L3" s="3231">
        <v>97.72</v>
      </c>
      <c r="M3" s="3231">
        <v>74.05</v>
      </c>
      <c r="N3" s="3249" t="s">
        <v>3266</v>
      </c>
      <c r="O3" s="3231"/>
    </row>
    <row r="4" spans="1:15" ht="48">
      <c r="A4" s="3249">
        <v>3</v>
      </c>
      <c r="B4" s="3249" t="s">
        <v>3267</v>
      </c>
      <c r="C4" s="3231" t="s">
        <v>3205</v>
      </c>
      <c r="D4" s="3231" t="s">
        <v>1102</v>
      </c>
      <c r="E4" s="3231" t="s">
        <v>3259</v>
      </c>
      <c r="F4" s="3249" t="s">
        <v>3260</v>
      </c>
      <c r="G4" s="3231" t="s">
        <v>3261</v>
      </c>
      <c r="H4" s="3231" t="s">
        <v>3271</v>
      </c>
      <c r="I4" s="3249" t="s">
        <v>3263</v>
      </c>
      <c r="J4" s="3231" t="s">
        <v>3272</v>
      </c>
      <c r="K4" s="3231" t="s">
        <v>3273</v>
      </c>
      <c r="L4" s="3231">
        <v>100.23</v>
      </c>
      <c r="M4" s="3231">
        <v>75.95</v>
      </c>
      <c r="N4" s="3249" t="s">
        <v>3266</v>
      </c>
      <c r="O4" s="3231"/>
    </row>
    <row r="5" spans="1:15" ht="48">
      <c r="A5" s="3249">
        <v>4</v>
      </c>
      <c r="B5" s="3249" t="s">
        <v>3267</v>
      </c>
      <c r="C5" s="3231" t="s">
        <v>3205</v>
      </c>
      <c r="D5" s="3231" t="s">
        <v>1102</v>
      </c>
      <c r="E5" s="3231" t="s">
        <v>3259</v>
      </c>
      <c r="F5" s="3249" t="s">
        <v>3260</v>
      </c>
      <c r="G5" s="3231" t="s">
        <v>3261</v>
      </c>
      <c r="H5" s="3231" t="s">
        <v>3274</v>
      </c>
      <c r="I5" s="3249" t="s">
        <v>3263</v>
      </c>
      <c r="J5" s="3231" t="s">
        <v>3275</v>
      </c>
      <c r="K5" s="3231" t="s">
        <v>3276</v>
      </c>
      <c r="L5" s="3231">
        <v>55.85</v>
      </c>
      <c r="M5" s="3231">
        <v>42.32</v>
      </c>
      <c r="N5" s="3249" t="s">
        <v>3266</v>
      </c>
      <c r="O5" s="3231" t="s">
        <v>3277</v>
      </c>
    </row>
    <row r="6" spans="1:15" ht="48">
      <c r="A6" s="3249">
        <v>5</v>
      </c>
      <c r="B6" s="3249" t="s">
        <v>3267</v>
      </c>
      <c r="C6" s="3231" t="s">
        <v>3205</v>
      </c>
      <c r="D6" s="3231" t="s">
        <v>1102</v>
      </c>
      <c r="E6" s="3231" t="s">
        <v>3259</v>
      </c>
      <c r="F6" s="3249" t="s">
        <v>3260</v>
      </c>
      <c r="G6" s="3231" t="s">
        <v>3261</v>
      </c>
      <c r="H6" s="3231" t="s">
        <v>3278</v>
      </c>
      <c r="I6" s="3249" t="s">
        <v>3263</v>
      </c>
      <c r="J6" s="3231" t="s">
        <v>3279</v>
      </c>
      <c r="K6" s="3231" t="s">
        <v>3280</v>
      </c>
      <c r="L6" s="3231">
        <v>118.69</v>
      </c>
      <c r="M6" s="3231">
        <v>89.94</v>
      </c>
      <c r="N6" s="3249" t="s">
        <v>3266</v>
      </c>
      <c r="O6" s="3231" t="s">
        <v>3277</v>
      </c>
    </row>
    <row r="7" spans="1:15" ht="48">
      <c r="A7" s="3249">
        <v>6</v>
      </c>
      <c r="B7" s="3249" t="s">
        <v>3267</v>
      </c>
      <c r="C7" s="3231" t="s">
        <v>3205</v>
      </c>
      <c r="D7" s="3231" t="s">
        <v>1102</v>
      </c>
      <c r="E7" s="3231" t="s">
        <v>3259</v>
      </c>
      <c r="F7" s="3249" t="s">
        <v>3260</v>
      </c>
      <c r="G7" s="3231" t="s">
        <v>3261</v>
      </c>
      <c r="H7" s="3231" t="s">
        <v>3281</v>
      </c>
      <c r="I7" s="3249" t="s">
        <v>3263</v>
      </c>
      <c r="J7" s="3231" t="s">
        <v>3282</v>
      </c>
      <c r="K7" s="3231" t="s">
        <v>3283</v>
      </c>
      <c r="L7" s="3231">
        <v>84.8</v>
      </c>
      <c r="M7" s="3231">
        <v>64.260000000000005</v>
      </c>
      <c r="N7" s="3249" t="s">
        <v>3266</v>
      </c>
      <c r="O7" s="3231" t="s">
        <v>3277</v>
      </c>
    </row>
    <row r="8" spans="1:15" ht="48">
      <c r="A8" s="3249">
        <v>7</v>
      </c>
      <c r="B8" s="3249" t="s">
        <v>3267</v>
      </c>
      <c r="C8" s="3231" t="s">
        <v>3205</v>
      </c>
      <c r="D8" s="3231" t="s">
        <v>1102</v>
      </c>
      <c r="E8" s="3231" t="s">
        <v>3259</v>
      </c>
      <c r="F8" s="3249" t="s">
        <v>3260</v>
      </c>
      <c r="G8" s="3231" t="s">
        <v>3261</v>
      </c>
      <c r="H8" s="3231" t="s">
        <v>3284</v>
      </c>
      <c r="I8" s="3249" t="s">
        <v>3263</v>
      </c>
      <c r="J8" s="3231" t="s">
        <v>3285</v>
      </c>
      <c r="K8" s="3231" t="s">
        <v>3286</v>
      </c>
      <c r="L8" s="3231">
        <v>119.01</v>
      </c>
      <c r="M8" s="3231">
        <v>90.18</v>
      </c>
      <c r="N8" s="3249" t="s">
        <v>3266</v>
      </c>
      <c r="O8" s="3231" t="s">
        <v>3277</v>
      </c>
    </row>
    <row r="9" spans="1:15" ht="48">
      <c r="A9" s="3249">
        <v>8</v>
      </c>
      <c r="B9" s="3249" t="s">
        <v>3267</v>
      </c>
      <c r="C9" s="3231" t="s">
        <v>3205</v>
      </c>
      <c r="D9" s="3231" t="s">
        <v>1102</v>
      </c>
      <c r="E9" s="3231" t="s">
        <v>3259</v>
      </c>
      <c r="F9" s="3249" t="s">
        <v>3260</v>
      </c>
      <c r="G9" s="3231" t="s">
        <v>3261</v>
      </c>
      <c r="H9" s="3231" t="s">
        <v>3287</v>
      </c>
      <c r="I9" s="3249" t="s">
        <v>3263</v>
      </c>
      <c r="J9" s="3231" t="s">
        <v>3288</v>
      </c>
      <c r="K9" s="3231" t="s">
        <v>3289</v>
      </c>
      <c r="L9" s="3231">
        <v>110.96</v>
      </c>
      <c r="M9" s="3231">
        <v>84.08</v>
      </c>
      <c r="N9" s="3249" t="s">
        <v>3266</v>
      </c>
      <c r="O9" s="3231" t="s">
        <v>3277</v>
      </c>
    </row>
    <row r="10" spans="1:15" ht="48">
      <c r="A10" s="3249">
        <v>9</v>
      </c>
      <c r="B10" s="3249" t="s">
        <v>3267</v>
      </c>
      <c r="C10" s="3231" t="s">
        <v>3205</v>
      </c>
      <c r="D10" s="3231" t="s">
        <v>1102</v>
      </c>
      <c r="E10" s="3231" t="s">
        <v>3259</v>
      </c>
      <c r="F10" s="3249" t="s">
        <v>3260</v>
      </c>
      <c r="G10" s="3231" t="s">
        <v>3290</v>
      </c>
      <c r="H10" s="3231" t="s">
        <v>3291</v>
      </c>
      <c r="I10" s="3249" t="s">
        <v>3263</v>
      </c>
      <c r="J10" s="3231" t="s">
        <v>3292</v>
      </c>
      <c r="K10" s="3231" t="s">
        <v>3293</v>
      </c>
      <c r="L10" s="3231">
        <v>62.58</v>
      </c>
      <c r="M10" s="3231">
        <v>47.42</v>
      </c>
      <c r="N10" s="3249" t="s">
        <v>3266</v>
      </c>
      <c r="O10" s="3231"/>
    </row>
    <row r="11" spans="1:15" ht="48">
      <c r="A11" s="3249">
        <v>10</v>
      </c>
      <c r="B11" s="3249" t="s">
        <v>3267</v>
      </c>
      <c r="C11" s="3231" t="s">
        <v>3205</v>
      </c>
      <c r="D11" s="3231" t="s">
        <v>1102</v>
      </c>
      <c r="E11" s="3231" t="s">
        <v>3259</v>
      </c>
      <c r="F11" s="3249" t="s">
        <v>3260</v>
      </c>
      <c r="G11" s="3231" t="s">
        <v>3290</v>
      </c>
      <c r="H11" s="3231" t="s">
        <v>3294</v>
      </c>
      <c r="I11" s="3249" t="s">
        <v>3263</v>
      </c>
      <c r="J11" s="3231" t="s">
        <v>3295</v>
      </c>
      <c r="K11" s="3231" t="s">
        <v>3296</v>
      </c>
      <c r="L11" s="3231">
        <v>79.260000000000005</v>
      </c>
      <c r="M11" s="3231">
        <v>60.06</v>
      </c>
      <c r="N11" s="3249" t="s">
        <v>3266</v>
      </c>
      <c r="O11" s="3231"/>
    </row>
    <row r="12" spans="1:15" ht="48">
      <c r="A12" s="3249">
        <v>11</v>
      </c>
      <c r="B12" s="3249" t="s">
        <v>3267</v>
      </c>
      <c r="C12" s="3231" t="s">
        <v>3205</v>
      </c>
      <c r="D12" s="3231" t="s">
        <v>1102</v>
      </c>
      <c r="E12" s="3231" t="s">
        <v>3259</v>
      </c>
      <c r="F12" s="3249" t="s">
        <v>3260</v>
      </c>
      <c r="G12" s="3231" t="s">
        <v>3290</v>
      </c>
      <c r="H12" s="3231" t="s">
        <v>3297</v>
      </c>
      <c r="I12" s="3249" t="s">
        <v>3263</v>
      </c>
      <c r="J12" s="3231" t="s">
        <v>3298</v>
      </c>
      <c r="K12" s="3231" t="s">
        <v>3299</v>
      </c>
      <c r="L12" s="3231">
        <v>71.900000000000006</v>
      </c>
      <c r="M12" s="3231">
        <v>54.48</v>
      </c>
      <c r="N12" s="3249" t="s">
        <v>3266</v>
      </c>
      <c r="O12" s="3231"/>
    </row>
    <row r="13" spans="1:15" ht="48">
      <c r="A13" s="3249">
        <v>12</v>
      </c>
      <c r="B13" s="3249" t="s">
        <v>3267</v>
      </c>
      <c r="C13" s="3231" t="s">
        <v>3205</v>
      </c>
      <c r="D13" s="3231" t="s">
        <v>27</v>
      </c>
      <c r="E13" s="3231" t="s">
        <v>3259</v>
      </c>
      <c r="F13" s="3249" t="s">
        <v>3260</v>
      </c>
      <c r="G13" s="3231" t="s">
        <v>3300</v>
      </c>
      <c r="H13" s="3231" t="s">
        <v>3301</v>
      </c>
      <c r="I13" s="3249" t="s">
        <v>3263</v>
      </c>
      <c r="J13" s="3231" t="s">
        <v>3302</v>
      </c>
      <c r="K13" s="3231" t="s">
        <v>3303</v>
      </c>
      <c r="L13" s="3231">
        <v>1209.7</v>
      </c>
      <c r="M13" s="3231">
        <v>886.56</v>
      </c>
      <c r="N13" s="3249" t="s">
        <v>3266</v>
      </c>
      <c r="O13" s="3231"/>
    </row>
    <row r="14" spans="1:15" ht="48">
      <c r="A14" s="3249">
        <v>13</v>
      </c>
      <c r="B14" s="3249" t="s">
        <v>3267</v>
      </c>
      <c r="C14" s="3231" t="s">
        <v>3205</v>
      </c>
      <c r="D14" s="3231" t="s">
        <v>27</v>
      </c>
      <c r="E14" s="3231" t="s">
        <v>3259</v>
      </c>
      <c r="F14" s="3249" t="s">
        <v>3260</v>
      </c>
      <c r="G14" s="3231" t="s">
        <v>3300</v>
      </c>
      <c r="H14" s="3231" t="s">
        <v>3304</v>
      </c>
      <c r="I14" s="3249" t="s">
        <v>3263</v>
      </c>
      <c r="J14" s="3231" t="s">
        <v>3305</v>
      </c>
      <c r="K14" s="3231" t="s">
        <v>3306</v>
      </c>
      <c r="L14" s="3231">
        <v>1282.24</v>
      </c>
      <c r="M14" s="3231">
        <v>939.72</v>
      </c>
      <c r="N14" s="3249" t="s">
        <v>3266</v>
      </c>
      <c r="O14" s="3231"/>
    </row>
    <row r="15" spans="1:15" ht="48">
      <c r="A15" s="3249">
        <v>14</v>
      </c>
      <c r="B15" s="3249" t="s">
        <v>3267</v>
      </c>
      <c r="C15" s="3231" t="s">
        <v>3205</v>
      </c>
      <c r="D15" s="3231" t="s">
        <v>27</v>
      </c>
      <c r="E15" s="3231" t="s">
        <v>3259</v>
      </c>
      <c r="F15" s="3249" t="s">
        <v>3260</v>
      </c>
      <c r="G15" s="3231" t="s">
        <v>3300</v>
      </c>
      <c r="H15" s="3231" t="s">
        <v>3307</v>
      </c>
      <c r="I15" s="3249" t="s">
        <v>3263</v>
      </c>
      <c r="J15" s="3231" t="s">
        <v>3308</v>
      </c>
      <c r="K15" s="3231" t="s">
        <v>3309</v>
      </c>
      <c r="L15" s="3231">
        <v>1438.79</v>
      </c>
      <c r="M15" s="3231">
        <v>1054.45</v>
      </c>
      <c r="N15" s="3249" t="s">
        <v>3266</v>
      </c>
      <c r="O15" s="3231"/>
    </row>
    <row r="16" spans="1:15" ht="48">
      <c r="A16" s="3249">
        <v>15</v>
      </c>
      <c r="B16" s="3249" t="s">
        <v>3267</v>
      </c>
      <c r="C16" s="3231" t="s">
        <v>3205</v>
      </c>
      <c r="D16" s="3231" t="s">
        <v>27</v>
      </c>
      <c r="E16" s="3231" t="s">
        <v>3259</v>
      </c>
      <c r="F16" s="3249" t="s">
        <v>3260</v>
      </c>
      <c r="G16" s="3231" t="s">
        <v>3300</v>
      </c>
      <c r="H16" s="3231" t="s">
        <v>3310</v>
      </c>
      <c r="I16" s="3249" t="s">
        <v>3263</v>
      </c>
      <c r="J16" s="3231" t="s">
        <v>3311</v>
      </c>
      <c r="K16" s="3231" t="s">
        <v>3312</v>
      </c>
      <c r="L16" s="3231">
        <v>1290.19</v>
      </c>
      <c r="M16" s="3231">
        <v>945.55</v>
      </c>
      <c r="N16" s="3249" t="s">
        <v>3266</v>
      </c>
      <c r="O16" s="3231"/>
    </row>
    <row r="17" spans="1:15" ht="48">
      <c r="A17" s="3249">
        <v>16</v>
      </c>
      <c r="B17" s="3249" t="s">
        <v>3267</v>
      </c>
      <c r="C17" s="3231" t="s">
        <v>3205</v>
      </c>
      <c r="D17" s="3231" t="s">
        <v>27</v>
      </c>
      <c r="E17" s="3231" t="s">
        <v>3259</v>
      </c>
      <c r="F17" s="3249" t="s">
        <v>3260</v>
      </c>
      <c r="G17" s="3231" t="s">
        <v>3300</v>
      </c>
      <c r="H17" s="3231" t="s">
        <v>3313</v>
      </c>
      <c r="I17" s="3249" t="s">
        <v>3263</v>
      </c>
      <c r="J17" s="3231" t="s">
        <v>3314</v>
      </c>
      <c r="K17" s="3231" t="s">
        <v>3315</v>
      </c>
      <c r="L17" s="3231">
        <v>604.5</v>
      </c>
      <c r="M17" s="3231">
        <v>443.02</v>
      </c>
      <c r="N17" s="3249" t="s">
        <v>3266</v>
      </c>
      <c r="O17" s="3231"/>
    </row>
    <row r="18" spans="1:15" ht="48">
      <c r="A18" s="3249">
        <v>17</v>
      </c>
      <c r="B18" s="3249" t="s">
        <v>3267</v>
      </c>
      <c r="C18" s="3231" t="s">
        <v>3205</v>
      </c>
      <c r="D18" s="3231" t="s">
        <v>27</v>
      </c>
      <c r="E18" s="3231" t="s">
        <v>3259</v>
      </c>
      <c r="F18" s="3249" t="s">
        <v>3260</v>
      </c>
      <c r="G18" s="3231" t="s">
        <v>3300</v>
      </c>
      <c r="H18" s="3231" t="s">
        <v>3316</v>
      </c>
      <c r="I18" s="3249" t="s">
        <v>3263</v>
      </c>
      <c r="J18" s="3231" t="s">
        <v>3317</v>
      </c>
      <c r="K18" s="3231" t="s">
        <v>3318</v>
      </c>
      <c r="L18" s="3231">
        <v>1278.0899999999999</v>
      </c>
      <c r="M18" s="3231">
        <v>936.68</v>
      </c>
      <c r="N18" s="3249" t="s">
        <v>3266</v>
      </c>
      <c r="O18" s="3231"/>
    </row>
    <row r="19" spans="1:15" ht="48">
      <c r="A19" s="3249">
        <v>18</v>
      </c>
      <c r="B19" s="3249" t="s">
        <v>3267</v>
      </c>
      <c r="C19" s="3231" t="s">
        <v>3205</v>
      </c>
      <c r="D19" s="3231" t="s">
        <v>27</v>
      </c>
      <c r="E19" s="3231" t="s">
        <v>3259</v>
      </c>
      <c r="F19" s="3249" t="s">
        <v>3260</v>
      </c>
      <c r="G19" s="3231" t="s">
        <v>3300</v>
      </c>
      <c r="H19" s="3231" t="s">
        <v>3319</v>
      </c>
      <c r="I19" s="3249" t="s">
        <v>3263</v>
      </c>
      <c r="J19" s="3231" t="s">
        <v>3320</v>
      </c>
      <c r="K19" s="3231" t="s">
        <v>3321</v>
      </c>
      <c r="L19" s="3231">
        <v>984.64</v>
      </c>
      <c r="M19" s="3231">
        <v>721.62</v>
      </c>
      <c r="N19" s="3249" t="s">
        <v>3266</v>
      </c>
      <c r="O19" s="3231"/>
    </row>
    <row r="20" spans="1:15" ht="48">
      <c r="A20" s="3249">
        <v>19</v>
      </c>
      <c r="B20" s="3249" t="s">
        <v>3267</v>
      </c>
      <c r="C20" s="3231" t="s">
        <v>3205</v>
      </c>
      <c r="D20" s="3231" t="s">
        <v>27</v>
      </c>
      <c r="E20" s="3231" t="s">
        <v>3259</v>
      </c>
      <c r="F20" s="3249" t="s">
        <v>3260</v>
      </c>
      <c r="G20" s="3231" t="s">
        <v>3300</v>
      </c>
      <c r="H20" s="3231" t="s">
        <v>3322</v>
      </c>
      <c r="I20" s="3249" t="s">
        <v>3263</v>
      </c>
      <c r="J20" s="3231" t="s">
        <v>3323</v>
      </c>
      <c r="K20" s="3231" t="s">
        <v>3324</v>
      </c>
      <c r="L20" s="3231">
        <v>784.51</v>
      </c>
      <c r="M20" s="3231">
        <v>574.95000000000005</v>
      </c>
      <c r="N20" s="3249" t="s">
        <v>3266</v>
      </c>
      <c r="O20" s="3231"/>
    </row>
    <row r="21" spans="1:15" ht="48">
      <c r="A21" s="3249">
        <v>20</v>
      </c>
      <c r="B21" s="3249" t="s">
        <v>3267</v>
      </c>
      <c r="C21" s="3231" t="s">
        <v>3205</v>
      </c>
      <c r="D21" s="3231" t="s">
        <v>27</v>
      </c>
      <c r="E21" s="3231" t="s">
        <v>3259</v>
      </c>
      <c r="F21" s="3249" t="s">
        <v>3260</v>
      </c>
      <c r="G21" s="3231" t="s">
        <v>3325</v>
      </c>
      <c r="H21" s="3231" t="s">
        <v>3326</v>
      </c>
      <c r="I21" s="3249" t="s">
        <v>3263</v>
      </c>
      <c r="J21" s="3231" t="s">
        <v>3327</v>
      </c>
      <c r="K21" s="3231" t="s">
        <v>3328</v>
      </c>
      <c r="L21" s="3231">
        <v>838.36</v>
      </c>
      <c r="M21" s="3231">
        <v>614.41</v>
      </c>
      <c r="N21" s="3249" t="s">
        <v>3266</v>
      </c>
      <c r="O21" s="3231"/>
    </row>
    <row r="22" spans="1:15" ht="48">
      <c r="A22" s="3249">
        <v>21</v>
      </c>
      <c r="B22" s="3249" t="s">
        <v>3267</v>
      </c>
      <c r="C22" s="3231" t="s">
        <v>3205</v>
      </c>
      <c r="D22" s="3231" t="s">
        <v>27</v>
      </c>
      <c r="E22" s="3231" t="s">
        <v>3259</v>
      </c>
      <c r="F22" s="3249" t="s">
        <v>3260</v>
      </c>
      <c r="G22" s="3231" t="s">
        <v>3325</v>
      </c>
      <c r="H22" s="3231" t="s">
        <v>3329</v>
      </c>
      <c r="I22" s="3249" t="s">
        <v>3263</v>
      </c>
      <c r="J22" s="3231" t="s">
        <v>3330</v>
      </c>
      <c r="K22" s="3231" t="s">
        <v>3331</v>
      </c>
      <c r="L22" s="3231">
        <v>945.58</v>
      </c>
      <c r="M22" s="3231">
        <v>692.99</v>
      </c>
      <c r="N22" s="3249" t="s">
        <v>3266</v>
      </c>
      <c r="O22" s="3231"/>
    </row>
    <row r="23" spans="1:15" ht="48">
      <c r="A23" s="3249">
        <v>22</v>
      </c>
      <c r="B23" s="3249" t="s">
        <v>3267</v>
      </c>
      <c r="C23" s="3231" t="s">
        <v>3205</v>
      </c>
      <c r="D23" s="3231" t="s">
        <v>27</v>
      </c>
      <c r="E23" s="3231" t="s">
        <v>3259</v>
      </c>
      <c r="F23" s="3249" t="s">
        <v>3260</v>
      </c>
      <c r="G23" s="3231" t="s">
        <v>3325</v>
      </c>
      <c r="H23" s="3231" t="s">
        <v>3332</v>
      </c>
      <c r="I23" s="3249" t="s">
        <v>3263</v>
      </c>
      <c r="J23" s="3231" t="s">
        <v>3333</v>
      </c>
      <c r="K23" s="3231" t="s">
        <v>3334</v>
      </c>
      <c r="L23" s="3231">
        <v>959.17</v>
      </c>
      <c r="M23" s="3231">
        <v>702.95</v>
      </c>
      <c r="N23" s="3249" t="s">
        <v>3266</v>
      </c>
      <c r="O23" s="3231"/>
    </row>
    <row r="24" spans="1:15" ht="48">
      <c r="A24" s="3249">
        <v>23</v>
      </c>
      <c r="B24" s="3249" t="s">
        <v>3267</v>
      </c>
      <c r="C24" s="3231" t="s">
        <v>3205</v>
      </c>
      <c r="D24" s="3231" t="s">
        <v>27</v>
      </c>
      <c r="E24" s="3231" t="s">
        <v>3259</v>
      </c>
      <c r="F24" s="3249" t="s">
        <v>3260</v>
      </c>
      <c r="G24" s="3231" t="s">
        <v>3325</v>
      </c>
      <c r="H24" s="3231" t="s">
        <v>3335</v>
      </c>
      <c r="I24" s="3249" t="s">
        <v>3263</v>
      </c>
      <c r="J24" s="3231" t="s">
        <v>3336</v>
      </c>
      <c r="K24" s="3231" t="s">
        <v>3337</v>
      </c>
      <c r="L24" s="3231">
        <v>1060.8800000000001</v>
      </c>
      <c r="M24" s="3231">
        <v>777.49</v>
      </c>
      <c r="N24" s="3249" t="s">
        <v>3266</v>
      </c>
      <c r="O24" s="3231"/>
    </row>
    <row r="25" spans="1:15" ht="48">
      <c r="A25" s="3249">
        <v>24</v>
      </c>
      <c r="B25" s="3249" t="s">
        <v>3267</v>
      </c>
      <c r="C25" s="3231" t="s">
        <v>3205</v>
      </c>
      <c r="D25" s="3231" t="s">
        <v>27</v>
      </c>
      <c r="E25" s="3231" t="s">
        <v>3259</v>
      </c>
      <c r="F25" s="3249" t="s">
        <v>3260</v>
      </c>
      <c r="G25" s="3231" t="s">
        <v>3325</v>
      </c>
      <c r="H25" s="3231" t="s">
        <v>3338</v>
      </c>
      <c r="I25" s="3249" t="s">
        <v>3263</v>
      </c>
      <c r="J25" s="3231" t="s">
        <v>3339</v>
      </c>
      <c r="K25" s="3231" t="s">
        <v>3340</v>
      </c>
      <c r="L25" s="3231">
        <v>592.73</v>
      </c>
      <c r="M25" s="3231">
        <v>434.4</v>
      </c>
      <c r="N25" s="3249" t="s">
        <v>3266</v>
      </c>
      <c r="O25" s="3231"/>
    </row>
    <row r="26" spans="1:15" ht="48">
      <c r="A26" s="3249">
        <v>25</v>
      </c>
      <c r="B26" s="3249" t="s">
        <v>3267</v>
      </c>
      <c r="C26" s="3231" t="s">
        <v>3205</v>
      </c>
      <c r="D26" s="3231" t="s">
        <v>27</v>
      </c>
      <c r="E26" s="3231" t="s">
        <v>3259</v>
      </c>
      <c r="F26" s="3249" t="s">
        <v>3260</v>
      </c>
      <c r="G26" s="3231" t="s">
        <v>3325</v>
      </c>
      <c r="H26" s="3231" t="s">
        <v>3341</v>
      </c>
      <c r="I26" s="3249" t="s">
        <v>3263</v>
      </c>
      <c r="J26" s="3231" t="s">
        <v>3342</v>
      </c>
      <c r="K26" s="3231" t="s">
        <v>3343</v>
      </c>
      <c r="L26" s="3231">
        <v>532.79</v>
      </c>
      <c r="M26" s="3231">
        <v>390.47</v>
      </c>
      <c r="N26" s="3249" t="s">
        <v>3266</v>
      </c>
      <c r="O26" s="3231"/>
    </row>
    <row r="27" spans="1:15" ht="48">
      <c r="A27" s="3249">
        <v>26</v>
      </c>
      <c r="B27" s="3249" t="s">
        <v>3267</v>
      </c>
      <c r="C27" s="3231" t="s">
        <v>3205</v>
      </c>
      <c r="D27" s="3231" t="s">
        <v>27</v>
      </c>
      <c r="E27" s="3231" t="s">
        <v>3259</v>
      </c>
      <c r="F27" s="3249" t="s">
        <v>3260</v>
      </c>
      <c r="G27" s="3231" t="s">
        <v>3325</v>
      </c>
      <c r="H27" s="3231" t="s">
        <v>3344</v>
      </c>
      <c r="I27" s="3249" t="s">
        <v>3263</v>
      </c>
      <c r="J27" s="3231" t="s">
        <v>3345</v>
      </c>
      <c r="K27" s="3231" t="s">
        <v>3346</v>
      </c>
      <c r="L27" s="3231">
        <v>588.83000000000004</v>
      </c>
      <c r="M27" s="3231">
        <v>431.54</v>
      </c>
      <c r="N27" s="3249" t="s">
        <v>3266</v>
      </c>
      <c r="O27" s="3231"/>
    </row>
    <row r="28" spans="1:15" ht="48">
      <c r="A28" s="3249">
        <v>27</v>
      </c>
      <c r="B28" s="3249" t="s">
        <v>3267</v>
      </c>
      <c r="C28" s="3231" t="s">
        <v>3205</v>
      </c>
      <c r="D28" s="3231" t="s">
        <v>27</v>
      </c>
      <c r="E28" s="3231" t="s">
        <v>3259</v>
      </c>
      <c r="F28" s="3249" t="s">
        <v>3260</v>
      </c>
      <c r="G28" s="3231" t="s">
        <v>3325</v>
      </c>
      <c r="H28" s="3231" t="s">
        <v>3347</v>
      </c>
      <c r="I28" s="3249" t="s">
        <v>3263</v>
      </c>
      <c r="J28" s="3231" t="s">
        <v>3348</v>
      </c>
      <c r="K28" s="3231" t="s">
        <v>3349</v>
      </c>
      <c r="L28" s="3231">
        <v>607.96</v>
      </c>
      <c r="M28" s="3231">
        <v>445.56</v>
      </c>
      <c r="N28" s="3249" t="s">
        <v>3266</v>
      </c>
      <c r="O28" s="3231"/>
    </row>
    <row r="29" spans="1:15" ht="48">
      <c r="A29" s="3249">
        <v>28</v>
      </c>
      <c r="B29" s="3249" t="s">
        <v>3267</v>
      </c>
      <c r="C29" s="3231" t="s">
        <v>3205</v>
      </c>
      <c r="D29" s="3231" t="s">
        <v>1102</v>
      </c>
      <c r="E29" s="3231" t="s">
        <v>3259</v>
      </c>
      <c r="F29" s="3249" t="s">
        <v>3260</v>
      </c>
      <c r="G29" s="3231" t="s">
        <v>3350</v>
      </c>
      <c r="H29" s="3231" t="s">
        <v>3351</v>
      </c>
      <c r="I29" s="3249" t="s">
        <v>3263</v>
      </c>
      <c r="J29" s="3231" t="s">
        <v>3352</v>
      </c>
      <c r="K29" s="3231" t="s">
        <v>3353</v>
      </c>
      <c r="L29" s="3231">
        <v>2033.87</v>
      </c>
      <c r="M29" s="3231">
        <v>1541.17</v>
      </c>
      <c r="N29" s="3249" t="s">
        <v>3266</v>
      </c>
      <c r="O29" s="3231" t="s">
        <v>3354</v>
      </c>
    </row>
    <row r="30" spans="1:15" ht="48">
      <c r="A30" s="3249">
        <v>29</v>
      </c>
      <c r="B30" s="3249" t="s">
        <v>3267</v>
      </c>
      <c r="C30" s="3249" t="s">
        <v>3205</v>
      </c>
      <c r="D30" s="3249" t="s">
        <v>1102</v>
      </c>
      <c r="E30" s="3249" t="s">
        <v>3259</v>
      </c>
      <c r="F30" s="3249" t="s">
        <v>3260</v>
      </c>
      <c r="G30" s="3249" t="s">
        <v>3350</v>
      </c>
      <c r="H30" s="3249" t="s">
        <v>3355</v>
      </c>
      <c r="I30" s="3249" t="s">
        <v>3263</v>
      </c>
      <c r="J30" s="3249" t="s">
        <v>3356</v>
      </c>
      <c r="K30" s="3249" t="s">
        <v>3357</v>
      </c>
      <c r="L30" s="3249">
        <v>1955.8</v>
      </c>
      <c r="M30" s="3250">
        <v>1482.01</v>
      </c>
      <c r="N30" s="3249" t="s">
        <v>3266</v>
      </c>
      <c r="O30" s="3249" t="s">
        <v>3354</v>
      </c>
    </row>
    <row r="31" spans="1:15" ht="48">
      <c r="A31" s="3249">
        <v>30</v>
      </c>
      <c r="B31" s="3249" t="s">
        <v>3267</v>
      </c>
      <c r="C31" s="3231" t="s">
        <v>3205</v>
      </c>
      <c r="D31" s="3231" t="s">
        <v>1102</v>
      </c>
      <c r="E31" s="3231" t="s">
        <v>3259</v>
      </c>
      <c r="F31" s="3249" t="s">
        <v>3260</v>
      </c>
      <c r="G31" s="3231" t="s">
        <v>3350</v>
      </c>
      <c r="H31" s="3231" t="s">
        <v>3358</v>
      </c>
      <c r="I31" s="3249" t="s">
        <v>3263</v>
      </c>
      <c r="J31" s="3231" t="s">
        <v>3359</v>
      </c>
      <c r="K31" s="3231" t="s">
        <v>3360</v>
      </c>
      <c r="L31" s="3231">
        <v>2440.89</v>
      </c>
      <c r="M31" s="3231">
        <v>1849.59</v>
      </c>
      <c r="N31" s="3249" t="s">
        <v>3266</v>
      </c>
      <c r="O31" s="3231" t="s">
        <v>3354</v>
      </c>
    </row>
    <row r="32" spans="1:15" ht="48">
      <c r="A32" s="3249">
        <v>31</v>
      </c>
      <c r="B32" s="3249" t="s">
        <v>3267</v>
      </c>
      <c r="C32" s="3231" t="s">
        <v>3205</v>
      </c>
      <c r="D32" s="3231" t="s">
        <v>1102</v>
      </c>
      <c r="E32" s="3231" t="s">
        <v>3259</v>
      </c>
      <c r="F32" s="3249" t="s">
        <v>3260</v>
      </c>
      <c r="G32" s="3231" t="s">
        <v>3350</v>
      </c>
      <c r="H32" s="3231" t="s">
        <v>3361</v>
      </c>
      <c r="I32" s="3249" t="s">
        <v>3263</v>
      </c>
      <c r="J32" s="3231" t="s">
        <v>3362</v>
      </c>
      <c r="K32" s="3231" t="s">
        <v>3363</v>
      </c>
      <c r="L32" s="3231">
        <v>1990.1</v>
      </c>
      <c r="M32" s="3231">
        <v>1508</v>
      </c>
      <c r="N32" s="3249" t="s">
        <v>3266</v>
      </c>
      <c r="O32" s="3231" t="s">
        <v>3354</v>
      </c>
    </row>
    <row r="33" spans="1:15" ht="48">
      <c r="A33" s="3249">
        <v>32</v>
      </c>
      <c r="B33" s="3249" t="s">
        <v>3267</v>
      </c>
      <c r="C33" s="3231" t="s">
        <v>3205</v>
      </c>
      <c r="D33" s="3231" t="s">
        <v>1102</v>
      </c>
      <c r="E33" s="3231" t="s">
        <v>3259</v>
      </c>
      <c r="F33" s="3249" t="s">
        <v>3260</v>
      </c>
      <c r="G33" s="3231" t="s">
        <v>3350</v>
      </c>
      <c r="H33" s="3231" t="s">
        <v>3364</v>
      </c>
      <c r="I33" s="3249" t="s">
        <v>3263</v>
      </c>
      <c r="J33" s="3231" t="s">
        <v>3365</v>
      </c>
      <c r="K33" s="3231" t="s">
        <v>3366</v>
      </c>
      <c r="L33" s="3231">
        <v>1768.19</v>
      </c>
      <c r="M33" s="3231">
        <v>1339.85</v>
      </c>
      <c r="N33" s="3249" t="s">
        <v>3266</v>
      </c>
      <c r="O33" s="3231" t="s">
        <v>3354</v>
      </c>
    </row>
    <row r="34" spans="1:15" ht="48">
      <c r="A34" s="3249">
        <v>33</v>
      </c>
      <c r="B34" s="3231" t="s">
        <v>3204</v>
      </c>
      <c r="C34" s="3231" t="s">
        <v>3205</v>
      </c>
      <c r="D34" s="3231" t="s">
        <v>3206</v>
      </c>
      <c r="E34" s="3231" t="s">
        <v>48</v>
      </c>
      <c r="F34" s="3231" t="s">
        <v>3207</v>
      </c>
      <c r="G34" s="3231" t="s">
        <v>3208</v>
      </c>
      <c r="H34" s="3231" t="s">
        <v>3209</v>
      </c>
      <c r="I34" s="3231" t="s">
        <v>3210</v>
      </c>
      <c r="J34" s="3231" t="s">
        <v>3249</v>
      </c>
      <c r="K34" s="3231" t="s">
        <v>3248</v>
      </c>
      <c r="L34" s="3231">
        <v>666.13</v>
      </c>
      <c r="M34" s="3231">
        <v>607.67999999999995</v>
      </c>
      <c r="N34" s="3231" t="s">
        <v>3211</v>
      </c>
      <c r="O34" s="3231"/>
    </row>
    <row r="35" spans="1:15" ht="48">
      <c r="A35" s="3249">
        <v>34</v>
      </c>
      <c r="B35" s="3231" t="s">
        <v>3204</v>
      </c>
      <c r="C35" s="3231" t="s">
        <v>3205</v>
      </c>
      <c r="D35" s="3231" t="s">
        <v>3206</v>
      </c>
      <c r="E35" s="3231" t="s">
        <v>48</v>
      </c>
      <c r="F35" s="3231" t="s">
        <v>3207</v>
      </c>
      <c r="G35" s="3231" t="s">
        <v>3212</v>
      </c>
      <c r="H35" s="3231" t="s">
        <v>3213</v>
      </c>
      <c r="I35" s="3231" t="s">
        <v>3210</v>
      </c>
      <c r="J35" s="3231" t="s">
        <v>3214</v>
      </c>
      <c r="K35" s="3231" t="s">
        <v>3215</v>
      </c>
      <c r="L35" s="3231">
        <v>8684.23</v>
      </c>
      <c r="M35" s="3231">
        <v>7922.26</v>
      </c>
      <c r="N35" s="3231" t="s">
        <v>3211</v>
      </c>
      <c r="O35" s="3231"/>
    </row>
    <row r="36" spans="1:15" ht="48">
      <c r="A36" s="3249">
        <v>35</v>
      </c>
      <c r="B36" s="3231" t="s">
        <v>3204</v>
      </c>
      <c r="C36" s="3231" t="s">
        <v>3205</v>
      </c>
      <c r="D36" s="3231" t="s">
        <v>3206</v>
      </c>
      <c r="E36" s="3231" t="s">
        <v>48</v>
      </c>
      <c r="F36" s="3231" t="s">
        <v>3207</v>
      </c>
      <c r="G36" s="3231" t="s">
        <v>3216</v>
      </c>
      <c r="H36" s="3231" t="s">
        <v>3217</v>
      </c>
      <c r="I36" s="3231" t="s">
        <v>3210</v>
      </c>
      <c r="J36" s="3231" t="s">
        <v>3218</v>
      </c>
      <c r="K36" s="3231" t="s">
        <v>3219</v>
      </c>
      <c r="L36" s="3231">
        <v>4884.8100000000004</v>
      </c>
      <c r="M36" s="3231">
        <v>4456.21</v>
      </c>
      <c r="N36" s="3231" t="s">
        <v>3211</v>
      </c>
      <c r="O36" s="3231"/>
    </row>
    <row r="37" spans="1:15">
      <c r="L37">
        <f>SUM(L2:L36)</f>
        <v>40421.869999999995</v>
      </c>
    </row>
    <row r="38" spans="1:15">
      <c r="G38" s="3258" t="s">
        <v>3451</v>
      </c>
      <c r="H38">
        <f>SUM(L2:L28)</f>
        <v>15997.850000000002</v>
      </c>
      <c r="J38" s="3258" t="s">
        <v>3455</v>
      </c>
      <c r="K38">
        <f>SUM(L2:L9)</f>
        <v>785.15000000000009</v>
      </c>
    </row>
    <row r="39" spans="1:15">
      <c r="G39" s="3258" t="s">
        <v>3452</v>
      </c>
      <c r="H39">
        <f>L33+L32+L31+L30+L29</f>
        <v>10188.85</v>
      </c>
      <c r="J39" s="3258" t="s">
        <v>3456</v>
      </c>
      <c r="K39">
        <f>SUM(L10:L12)</f>
        <v>213.74</v>
      </c>
    </row>
    <row r="40" spans="1:15">
      <c r="G40" s="3258" t="s">
        <v>3453</v>
      </c>
      <c r="H40">
        <f>L34+L35+L36</f>
        <v>14235.169999999998</v>
      </c>
      <c r="J40" s="3258" t="s">
        <v>3457</v>
      </c>
      <c r="K40">
        <f>SUM(L13:L20)</f>
        <v>8872.66</v>
      </c>
    </row>
    <row r="41" spans="1:15">
      <c r="H41">
        <f>H38+H39+H40</f>
        <v>40421.870000000003</v>
      </c>
      <c r="J41" s="3258" t="s">
        <v>3458</v>
      </c>
      <c r="K41">
        <f>SUM(L21:L28)</f>
        <v>6126.3</v>
      </c>
    </row>
    <row r="42" spans="1:15">
      <c r="G42" s="3258" t="s">
        <v>3454</v>
      </c>
      <c r="H42">
        <v>18060.05</v>
      </c>
    </row>
    <row r="43" spans="1:15" ht="24">
      <c r="A43" s="3231" t="s">
        <v>3250</v>
      </c>
      <c r="B43" s="3231" t="s">
        <v>3251</v>
      </c>
      <c r="C43" s="3231" t="s">
        <v>3192</v>
      </c>
      <c r="D43" s="3231" t="s">
        <v>3193</v>
      </c>
      <c r="E43" s="3231" t="s">
        <v>3194</v>
      </c>
      <c r="F43" s="3231" t="s">
        <v>3195</v>
      </c>
      <c r="G43" s="3231" t="s">
        <v>3253</v>
      </c>
      <c r="H43" s="3231" t="s">
        <v>3254</v>
      </c>
      <c r="I43" s="3231" t="s">
        <v>3255</v>
      </c>
      <c r="J43" s="3231" t="s">
        <v>3256</v>
      </c>
      <c r="K43" s="3231" t="s">
        <v>3199</v>
      </c>
      <c r="L43" s="3231" t="s">
        <v>3200</v>
      </c>
      <c r="M43" s="3231" t="s">
        <v>3201</v>
      </c>
      <c r="N43" s="3231" t="s">
        <v>3257</v>
      </c>
      <c r="O43" s="3231" t="s">
        <v>3203</v>
      </c>
    </row>
    <row r="44" spans="1:15" ht="48">
      <c r="A44" s="3249">
        <v>1</v>
      </c>
      <c r="B44" s="3249" t="s">
        <v>3267</v>
      </c>
      <c r="C44" s="3231" t="s">
        <v>3220</v>
      </c>
      <c r="D44" s="3231" t="s">
        <v>1102</v>
      </c>
      <c r="E44" s="3231" t="s">
        <v>3259</v>
      </c>
      <c r="F44" s="3231" t="s">
        <v>3367</v>
      </c>
      <c r="G44" s="3231" t="s">
        <v>3261</v>
      </c>
      <c r="H44" s="3231" t="s">
        <v>3368</v>
      </c>
      <c r="I44" s="3249" t="s">
        <v>3369</v>
      </c>
      <c r="J44" s="3231" t="s">
        <v>3370</v>
      </c>
      <c r="K44" s="3231" t="s">
        <v>3371</v>
      </c>
      <c r="L44" s="3231">
        <v>89.94</v>
      </c>
      <c r="M44" s="3231">
        <v>69.45</v>
      </c>
      <c r="N44" s="3249" t="s">
        <v>3266</v>
      </c>
      <c r="O44" s="3231" t="s">
        <v>3372</v>
      </c>
    </row>
    <row r="45" spans="1:15" ht="48">
      <c r="A45" s="3249">
        <v>2</v>
      </c>
      <c r="B45" s="3249" t="s">
        <v>3267</v>
      </c>
      <c r="C45" s="3231" t="s">
        <v>3220</v>
      </c>
      <c r="D45" s="3231" t="s">
        <v>1102</v>
      </c>
      <c r="E45" s="3231" t="s">
        <v>3259</v>
      </c>
      <c r="F45" s="3231" t="s">
        <v>3367</v>
      </c>
      <c r="G45" s="3231" t="s">
        <v>3261</v>
      </c>
      <c r="H45" s="3231" t="s">
        <v>3373</v>
      </c>
      <c r="I45" s="3249" t="s">
        <v>3369</v>
      </c>
      <c r="J45" s="3231" t="s">
        <v>3374</v>
      </c>
      <c r="K45" s="3231" t="s">
        <v>3375</v>
      </c>
      <c r="L45" s="3231">
        <v>95.51</v>
      </c>
      <c r="M45" s="3231">
        <v>73.75</v>
      </c>
      <c r="N45" s="3249" t="s">
        <v>3266</v>
      </c>
      <c r="O45" s="3231" t="s">
        <v>3372</v>
      </c>
    </row>
    <row r="46" spans="1:15" ht="48">
      <c r="A46" s="3249">
        <v>3</v>
      </c>
      <c r="B46" s="3249" t="s">
        <v>3267</v>
      </c>
      <c r="C46" s="3231" t="s">
        <v>3220</v>
      </c>
      <c r="D46" s="3231" t="s">
        <v>1102</v>
      </c>
      <c r="E46" s="3231" t="s">
        <v>3259</v>
      </c>
      <c r="F46" s="3231" t="s">
        <v>3367</v>
      </c>
      <c r="G46" s="3231" t="s">
        <v>3261</v>
      </c>
      <c r="H46" s="3231" t="s">
        <v>3376</v>
      </c>
      <c r="I46" s="3249" t="s">
        <v>3369</v>
      </c>
      <c r="J46" s="3231" t="s">
        <v>3377</v>
      </c>
      <c r="K46" s="3231" t="s">
        <v>3378</v>
      </c>
      <c r="L46" s="3231">
        <v>71.849999999999994</v>
      </c>
      <c r="M46" s="3231">
        <v>55.48</v>
      </c>
      <c r="N46" s="3249" t="s">
        <v>3266</v>
      </c>
      <c r="O46" s="3231"/>
    </row>
    <row r="47" spans="1:15" ht="48">
      <c r="A47" s="3249">
        <v>4</v>
      </c>
      <c r="B47" s="3249" t="s">
        <v>3267</v>
      </c>
      <c r="C47" s="3231" t="s">
        <v>3220</v>
      </c>
      <c r="D47" s="3231" t="s">
        <v>1102</v>
      </c>
      <c r="E47" s="3231" t="s">
        <v>3259</v>
      </c>
      <c r="F47" s="3231" t="s">
        <v>3367</v>
      </c>
      <c r="G47" s="3231" t="s">
        <v>3261</v>
      </c>
      <c r="H47" s="3231" t="s">
        <v>3379</v>
      </c>
      <c r="I47" s="3249" t="s">
        <v>3369</v>
      </c>
      <c r="J47" s="3231" t="s">
        <v>3380</v>
      </c>
      <c r="K47" s="3231" t="s">
        <v>3381</v>
      </c>
      <c r="L47" s="3231">
        <v>152.96</v>
      </c>
      <c r="M47" s="3231">
        <v>118.11</v>
      </c>
      <c r="N47" s="3249" t="s">
        <v>3266</v>
      </c>
      <c r="O47" s="3231"/>
    </row>
    <row r="48" spans="1:15" ht="48">
      <c r="A48" s="3249">
        <v>5</v>
      </c>
      <c r="B48" s="3249" t="s">
        <v>3267</v>
      </c>
      <c r="C48" s="3231" t="s">
        <v>3220</v>
      </c>
      <c r="D48" s="3231" t="s">
        <v>1102</v>
      </c>
      <c r="E48" s="3231" t="s">
        <v>3259</v>
      </c>
      <c r="F48" s="3231" t="s">
        <v>3367</v>
      </c>
      <c r="G48" s="3231" t="s">
        <v>3261</v>
      </c>
      <c r="H48" s="3231" t="s">
        <v>3382</v>
      </c>
      <c r="I48" s="3249" t="s">
        <v>3369</v>
      </c>
      <c r="J48" s="3231" t="s">
        <v>3383</v>
      </c>
      <c r="K48" s="3231" t="s">
        <v>3384</v>
      </c>
      <c r="L48" s="3231">
        <v>1565.97</v>
      </c>
      <c r="M48" s="3231">
        <v>1209.17</v>
      </c>
      <c r="N48" s="3249" t="s">
        <v>3266</v>
      </c>
      <c r="O48" s="3231"/>
    </row>
    <row r="49" spans="1:15" ht="48">
      <c r="A49" s="3249">
        <v>6</v>
      </c>
      <c r="B49" s="3249" t="s">
        <v>3267</v>
      </c>
      <c r="C49" s="3231" t="s">
        <v>3220</v>
      </c>
      <c r="D49" s="3231" t="s">
        <v>1102</v>
      </c>
      <c r="E49" s="3231" t="s">
        <v>3259</v>
      </c>
      <c r="F49" s="3231" t="s">
        <v>3367</v>
      </c>
      <c r="G49" s="3231" t="s">
        <v>3261</v>
      </c>
      <c r="H49" s="3231" t="s">
        <v>3385</v>
      </c>
      <c r="I49" s="3249" t="s">
        <v>3369</v>
      </c>
      <c r="J49" s="3231" t="s">
        <v>3386</v>
      </c>
      <c r="K49" s="3231" t="s">
        <v>3387</v>
      </c>
      <c r="L49" s="3231">
        <v>1443.64</v>
      </c>
      <c r="M49" s="3231">
        <v>1114.71</v>
      </c>
      <c r="N49" s="3249" t="s">
        <v>3266</v>
      </c>
      <c r="O49" s="3231"/>
    </row>
    <row r="50" spans="1:15" ht="48">
      <c r="A50" s="3249">
        <v>7</v>
      </c>
      <c r="B50" s="3249" t="s">
        <v>3267</v>
      </c>
      <c r="C50" s="3231" t="s">
        <v>3220</v>
      </c>
      <c r="D50" s="3231" t="s">
        <v>1102</v>
      </c>
      <c r="E50" s="3231" t="s">
        <v>3259</v>
      </c>
      <c r="F50" s="3231" t="s">
        <v>3367</v>
      </c>
      <c r="G50" s="3231" t="s">
        <v>3290</v>
      </c>
      <c r="H50" s="3231" t="s">
        <v>3388</v>
      </c>
      <c r="I50" s="3249" t="s">
        <v>3369</v>
      </c>
      <c r="J50" s="3231" t="s">
        <v>3389</v>
      </c>
      <c r="K50" s="3231" t="s">
        <v>3390</v>
      </c>
      <c r="L50" s="3231">
        <v>106.34</v>
      </c>
      <c r="M50" s="3231">
        <v>82.11</v>
      </c>
      <c r="N50" s="3249" t="s">
        <v>3266</v>
      </c>
      <c r="O50" s="3231"/>
    </row>
    <row r="51" spans="1:15" ht="48">
      <c r="A51" s="3249">
        <v>8</v>
      </c>
      <c r="B51" s="3249" t="s">
        <v>3267</v>
      </c>
      <c r="C51" s="3231" t="s">
        <v>3220</v>
      </c>
      <c r="D51" s="3231" t="s">
        <v>1102</v>
      </c>
      <c r="E51" s="3231" t="s">
        <v>3259</v>
      </c>
      <c r="F51" s="3231" t="s">
        <v>3367</v>
      </c>
      <c r="G51" s="3231" t="s">
        <v>3290</v>
      </c>
      <c r="H51" s="3231" t="s">
        <v>3391</v>
      </c>
      <c r="I51" s="3249" t="s">
        <v>3369</v>
      </c>
      <c r="J51" s="3231" t="s">
        <v>3392</v>
      </c>
      <c r="K51" s="3231" t="s">
        <v>3393</v>
      </c>
      <c r="L51" s="3231">
        <v>158.84</v>
      </c>
      <c r="M51" s="3231">
        <v>122.65</v>
      </c>
      <c r="N51" s="3249" t="s">
        <v>3266</v>
      </c>
      <c r="O51" s="3231"/>
    </row>
    <row r="52" spans="1:15" ht="48">
      <c r="A52" s="3249">
        <v>9</v>
      </c>
      <c r="B52" s="3249" t="s">
        <v>3267</v>
      </c>
      <c r="C52" s="3231" t="s">
        <v>3220</v>
      </c>
      <c r="D52" s="3231" t="s">
        <v>1102</v>
      </c>
      <c r="E52" s="3231" t="s">
        <v>3259</v>
      </c>
      <c r="F52" s="3231" t="s">
        <v>3367</v>
      </c>
      <c r="G52" s="3231" t="s">
        <v>3290</v>
      </c>
      <c r="H52" s="3231" t="s">
        <v>3394</v>
      </c>
      <c r="I52" s="3249" t="s">
        <v>3369</v>
      </c>
      <c r="J52" s="3231" t="s">
        <v>3395</v>
      </c>
      <c r="K52" s="3231" t="s">
        <v>3396</v>
      </c>
      <c r="L52" s="3231">
        <v>121.71</v>
      </c>
      <c r="M52" s="3231">
        <v>93.98</v>
      </c>
      <c r="N52" s="3249" t="s">
        <v>3266</v>
      </c>
      <c r="O52" s="3231"/>
    </row>
    <row r="53" spans="1:15" ht="48">
      <c r="A53" s="3249">
        <v>10</v>
      </c>
      <c r="B53" s="3249" t="s">
        <v>3267</v>
      </c>
      <c r="C53" s="3231" t="s">
        <v>3220</v>
      </c>
      <c r="D53" s="3231" t="s">
        <v>27</v>
      </c>
      <c r="E53" s="3231" t="s">
        <v>3259</v>
      </c>
      <c r="F53" s="3231" t="s">
        <v>3367</v>
      </c>
      <c r="G53" s="3231" t="s">
        <v>3300</v>
      </c>
      <c r="H53" s="3231" t="s">
        <v>3301</v>
      </c>
      <c r="I53" s="3249" t="s">
        <v>3369</v>
      </c>
      <c r="J53" s="3231" t="s">
        <v>3397</v>
      </c>
      <c r="K53" s="3231" t="s">
        <v>3398</v>
      </c>
      <c r="L53" s="3231">
        <v>913.81</v>
      </c>
      <c r="M53" s="3231">
        <v>705.6</v>
      </c>
      <c r="N53" s="3249" t="s">
        <v>3266</v>
      </c>
      <c r="O53" s="3231"/>
    </row>
    <row r="54" spans="1:15" ht="48">
      <c r="A54" s="3249">
        <v>11</v>
      </c>
      <c r="B54" s="3249" t="s">
        <v>3267</v>
      </c>
      <c r="C54" s="3231" t="s">
        <v>3220</v>
      </c>
      <c r="D54" s="3231" t="s">
        <v>27</v>
      </c>
      <c r="E54" s="3231" t="s">
        <v>3259</v>
      </c>
      <c r="F54" s="3231" t="s">
        <v>3367</v>
      </c>
      <c r="G54" s="3231" t="s">
        <v>3300</v>
      </c>
      <c r="H54" s="3231" t="s">
        <v>3304</v>
      </c>
      <c r="I54" s="3249" t="s">
        <v>3369</v>
      </c>
      <c r="J54" s="3231" t="s">
        <v>3399</v>
      </c>
      <c r="K54" s="3231" t="s">
        <v>3400</v>
      </c>
      <c r="L54" s="3231">
        <v>1457.29</v>
      </c>
      <c r="M54" s="3231">
        <v>1125.25</v>
      </c>
      <c r="N54" s="3249" t="s">
        <v>3266</v>
      </c>
      <c r="O54" s="3231"/>
    </row>
    <row r="55" spans="1:15" ht="48">
      <c r="A55" s="3249">
        <v>12</v>
      </c>
      <c r="B55" s="3249" t="s">
        <v>3267</v>
      </c>
      <c r="C55" s="3231" t="s">
        <v>3220</v>
      </c>
      <c r="D55" s="3231" t="s">
        <v>27</v>
      </c>
      <c r="E55" s="3231" t="s">
        <v>3259</v>
      </c>
      <c r="F55" s="3231" t="s">
        <v>3367</v>
      </c>
      <c r="G55" s="3231" t="s">
        <v>3300</v>
      </c>
      <c r="H55" s="3231" t="s">
        <v>3316</v>
      </c>
      <c r="I55" s="3249" t="s">
        <v>3369</v>
      </c>
      <c r="J55" s="3231" t="s">
        <v>3401</v>
      </c>
      <c r="K55" s="3231" t="s">
        <v>3402</v>
      </c>
      <c r="L55" s="3231">
        <v>1122.6500000000001</v>
      </c>
      <c r="M55" s="3231">
        <v>866.86</v>
      </c>
      <c r="N55" s="3249" t="s">
        <v>3266</v>
      </c>
      <c r="O55" s="3231"/>
    </row>
    <row r="56" spans="1:15" ht="48">
      <c r="A56" s="3249">
        <v>13</v>
      </c>
      <c r="B56" s="3249" t="s">
        <v>3267</v>
      </c>
      <c r="C56" s="3231" t="s">
        <v>3220</v>
      </c>
      <c r="D56" s="3231" t="s">
        <v>27</v>
      </c>
      <c r="E56" s="3231" t="s">
        <v>3259</v>
      </c>
      <c r="F56" s="3231" t="s">
        <v>3367</v>
      </c>
      <c r="G56" s="3231" t="s">
        <v>3300</v>
      </c>
      <c r="H56" s="3231" t="s">
        <v>3403</v>
      </c>
      <c r="I56" s="3249" t="s">
        <v>3369</v>
      </c>
      <c r="J56" s="3231" t="s">
        <v>3404</v>
      </c>
      <c r="K56" s="3231" t="s">
        <v>3405</v>
      </c>
      <c r="L56" s="3231">
        <v>625.16</v>
      </c>
      <c r="M56" s="3231">
        <v>482.72</v>
      </c>
      <c r="N56" s="3249" t="s">
        <v>3266</v>
      </c>
      <c r="O56" s="3231"/>
    </row>
    <row r="57" spans="1:15" ht="48">
      <c r="A57" s="3249">
        <v>14</v>
      </c>
      <c r="B57" s="3249" t="s">
        <v>3267</v>
      </c>
      <c r="C57" s="3231" t="s">
        <v>3220</v>
      </c>
      <c r="D57" s="3231" t="s">
        <v>27</v>
      </c>
      <c r="E57" s="3231" t="s">
        <v>3259</v>
      </c>
      <c r="F57" s="3231" t="s">
        <v>3367</v>
      </c>
      <c r="G57" s="3231" t="s">
        <v>3325</v>
      </c>
      <c r="H57" s="3231" t="s">
        <v>3326</v>
      </c>
      <c r="I57" s="3249" t="s">
        <v>3369</v>
      </c>
      <c r="J57" s="3231" t="s">
        <v>3406</v>
      </c>
      <c r="K57" s="3231" t="s">
        <v>3407</v>
      </c>
      <c r="L57" s="3231">
        <v>937.45</v>
      </c>
      <c r="M57" s="3231">
        <v>723.85</v>
      </c>
      <c r="N57" s="3249" t="s">
        <v>3266</v>
      </c>
      <c r="O57" s="3231"/>
    </row>
    <row r="58" spans="1:15" ht="48">
      <c r="A58" s="3249">
        <v>15</v>
      </c>
      <c r="B58" s="3249" t="s">
        <v>3267</v>
      </c>
      <c r="C58" s="3231" t="s">
        <v>3220</v>
      </c>
      <c r="D58" s="3231" t="s">
        <v>27</v>
      </c>
      <c r="E58" s="3231" t="s">
        <v>3259</v>
      </c>
      <c r="F58" s="3231" t="s">
        <v>3367</v>
      </c>
      <c r="G58" s="3231" t="s">
        <v>3325</v>
      </c>
      <c r="H58" s="3231" t="s">
        <v>3329</v>
      </c>
      <c r="I58" s="3249" t="s">
        <v>3369</v>
      </c>
      <c r="J58" s="3231" t="s">
        <v>3408</v>
      </c>
      <c r="K58" s="3231" t="s">
        <v>3409</v>
      </c>
      <c r="L58" s="3231">
        <v>663.43</v>
      </c>
      <c r="M58" s="3231">
        <v>512.27</v>
      </c>
      <c r="N58" s="3249" t="s">
        <v>3266</v>
      </c>
      <c r="O58" s="3231"/>
    </row>
    <row r="59" spans="1:15" ht="48">
      <c r="A59" s="3249">
        <v>16</v>
      </c>
      <c r="B59" s="3249" t="s">
        <v>3267</v>
      </c>
      <c r="C59" s="3231" t="s">
        <v>3220</v>
      </c>
      <c r="D59" s="3231" t="s">
        <v>27</v>
      </c>
      <c r="E59" s="3231" t="s">
        <v>3259</v>
      </c>
      <c r="F59" s="3231" t="s">
        <v>3367</v>
      </c>
      <c r="G59" s="3231" t="s">
        <v>3325</v>
      </c>
      <c r="H59" s="3231" t="s">
        <v>3332</v>
      </c>
      <c r="I59" s="3249" t="s">
        <v>3369</v>
      </c>
      <c r="J59" s="3231" t="s">
        <v>3410</v>
      </c>
      <c r="K59" s="3231" t="s">
        <v>3411</v>
      </c>
      <c r="L59" s="3231">
        <v>915.78</v>
      </c>
      <c r="M59" s="3231">
        <v>707.12</v>
      </c>
      <c r="N59" s="3249" t="s">
        <v>3266</v>
      </c>
      <c r="O59" s="3231"/>
    </row>
    <row r="60" spans="1:15" ht="48">
      <c r="A60" s="3249">
        <v>17</v>
      </c>
      <c r="B60" s="3249" t="s">
        <v>3267</v>
      </c>
      <c r="C60" s="3231" t="s">
        <v>3220</v>
      </c>
      <c r="D60" s="3231" t="s">
        <v>27</v>
      </c>
      <c r="E60" s="3231" t="s">
        <v>3259</v>
      </c>
      <c r="F60" s="3231" t="s">
        <v>3367</v>
      </c>
      <c r="G60" s="3231" t="s">
        <v>3325</v>
      </c>
      <c r="H60" s="3231" t="s">
        <v>3412</v>
      </c>
      <c r="I60" s="3249" t="s">
        <v>3369</v>
      </c>
      <c r="J60" s="3231" t="s">
        <v>3413</v>
      </c>
      <c r="K60" s="3231" t="s">
        <v>3414</v>
      </c>
      <c r="L60" s="3231">
        <v>720.18</v>
      </c>
      <c r="M60" s="3231">
        <v>556.09</v>
      </c>
      <c r="N60" s="3249" t="s">
        <v>3266</v>
      </c>
      <c r="O60" s="3231"/>
    </row>
    <row r="61" spans="1:15" ht="48">
      <c r="A61" s="3249">
        <v>18</v>
      </c>
      <c r="B61" s="3249" t="s">
        <v>3267</v>
      </c>
      <c r="C61" s="3231" t="s">
        <v>3220</v>
      </c>
      <c r="D61" s="3231" t="s">
        <v>27</v>
      </c>
      <c r="E61" s="3231" t="s">
        <v>3259</v>
      </c>
      <c r="F61" s="3231" t="s">
        <v>3367</v>
      </c>
      <c r="G61" s="3231" t="s">
        <v>3325</v>
      </c>
      <c r="H61" s="3231" t="s">
        <v>3338</v>
      </c>
      <c r="I61" s="3249" t="s">
        <v>3369</v>
      </c>
      <c r="J61" s="3231" t="s">
        <v>3415</v>
      </c>
      <c r="K61" s="3231" t="s">
        <v>3416</v>
      </c>
      <c r="L61" s="3231">
        <v>488.34</v>
      </c>
      <c r="M61" s="3231">
        <v>377.07</v>
      </c>
      <c r="N61" s="3249" t="s">
        <v>3266</v>
      </c>
      <c r="O61" s="3231"/>
    </row>
    <row r="62" spans="1:15" ht="48">
      <c r="A62" s="3249">
        <v>19</v>
      </c>
      <c r="B62" s="3249" t="s">
        <v>3267</v>
      </c>
      <c r="C62" s="3231" t="s">
        <v>3220</v>
      </c>
      <c r="D62" s="3231" t="s">
        <v>27</v>
      </c>
      <c r="E62" s="3231" t="s">
        <v>3259</v>
      </c>
      <c r="F62" s="3231" t="s">
        <v>3367</v>
      </c>
      <c r="G62" s="3231" t="s">
        <v>3325</v>
      </c>
      <c r="H62" s="3231" t="s">
        <v>3341</v>
      </c>
      <c r="I62" s="3249" t="s">
        <v>3369</v>
      </c>
      <c r="J62" s="3231" t="s">
        <v>3417</v>
      </c>
      <c r="K62" s="3231" t="s">
        <v>3418</v>
      </c>
      <c r="L62" s="3231">
        <v>964.43</v>
      </c>
      <c r="M62" s="3231">
        <v>744.69</v>
      </c>
      <c r="N62" s="3249" t="s">
        <v>3266</v>
      </c>
      <c r="O62" s="3231"/>
    </row>
    <row r="63" spans="1:15" ht="48">
      <c r="A63" s="3249">
        <v>20</v>
      </c>
      <c r="B63" s="3249" t="s">
        <v>3267</v>
      </c>
      <c r="C63" s="3231" t="s">
        <v>3220</v>
      </c>
      <c r="D63" s="3231" t="s">
        <v>27</v>
      </c>
      <c r="E63" s="3231" t="s">
        <v>3259</v>
      </c>
      <c r="F63" s="3231" t="s">
        <v>3367</v>
      </c>
      <c r="G63" s="3231" t="s">
        <v>3325</v>
      </c>
      <c r="H63" s="3231" t="s">
        <v>3344</v>
      </c>
      <c r="I63" s="3249" t="s">
        <v>3369</v>
      </c>
      <c r="J63" s="3231" t="s">
        <v>3419</v>
      </c>
      <c r="K63" s="3231" t="s">
        <v>3420</v>
      </c>
      <c r="L63" s="3231">
        <v>732.38</v>
      </c>
      <c r="M63" s="3231">
        <v>565.51</v>
      </c>
      <c r="N63" s="3249" t="s">
        <v>3266</v>
      </c>
      <c r="O63" s="3231"/>
    </row>
    <row r="64" spans="1:15" ht="48">
      <c r="A64" s="3249">
        <v>21</v>
      </c>
      <c r="B64" s="3249" t="s">
        <v>3267</v>
      </c>
      <c r="C64" s="3231" t="s">
        <v>3220</v>
      </c>
      <c r="D64" s="3231" t="s">
        <v>27</v>
      </c>
      <c r="E64" s="3231" t="s">
        <v>3259</v>
      </c>
      <c r="F64" s="3231" t="s">
        <v>3367</v>
      </c>
      <c r="G64" s="3231" t="s">
        <v>3325</v>
      </c>
      <c r="H64" s="3231" t="s">
        <v>3421</v>
      </c>
      <c r="I64" s="3249" t="s">
        <v>3369</v>
      </c>
      <c r="J64" s="3231" t="s">
        <v>3422</v>
      </c>
      <c r="K64" s="3231" t="s">
        <v>3423</v>
      </c>
      <c r="L64" s="3231">
        <v>398.61</v>
      </c>
      <c r="M64" s="3231">
        <v>307.79000000000002</v>
      </c>
      <c r="N64" s="3249" t="s">
        <v>3266</v>
      </c>
      <c r="O64" s="3231"/>
    </row>
    <row r="65" spans="1:15" ht="48">
      <c r="A65" s="3249">
        <v>22</v>
      </c>
      <c r="B65" s="3249" t="s">
        <v>3267</v>
      </c>
      <c r="C65" s="3231" t="s">
        <v>3220</v>
      </c>
      <c r="D65" s="3231" t="s">
        <v>1102</v>
      </c>
      <c r="E65" s="3231" t="s">
        <v>3259</v>
      </c>
      <c r="F65" s="3231" t="s">
        <v>3367</v>
      </c>
      <c r="G65" s="3231" t="s">
        <v>3350</v>
      </c>
      <c r="H65" s="3231" t="s">
        <v>3355</v>
      </c>
      <c r="I65" s="3249" t="s">
        <v>3369</v>
      </c>
      <c r="J65" s="3231" t="s">
        <v>3424</v>
      </c>
      <c r="K65" s="3231" t="s">
        <v>3425</v>
      </c>
      <c r="L65" s="3231">
        <v>1230.2</v>
      </c>
      <c r="M65" s="3231">
        <v>949.9</v>
      </c>
      <c r="N65" s="3249" t="s">
        <v>3266</v>
      </c>
      <c r="O65" s="3231"/>
    </row>
    <row r="66" spans="1:15" ht="48">
      <c r="A66" s="3249">
        <v>23</v>
      </c>
      <c r="B66" s="3249" t="s">
        <v>3267</v>
      </c>
      <c r="C66" s="3231" t="s">
        <v>3220</v>
      </c>
      <c r="D66" s="3231" t="s">
        <v>1102</v>
      </c>
      <c r="E66" s="3231" t="s">
        <v>3259</v>
      </c>
      <c r="F66" s="3231" t="s">
        <v>3367</v>
      </c>
      <c r="G66" s="3231" t="s">
        <v>3350</v>
      </c>
      <c r="H66" s="3231" t="s">
        <v>3358</v>
      </c>
      <c r="I66" s="3249" t="s">
        <v>3369</v>
      </c>
      <c r="J66" s="3231" t="s">
        <v>3426</v>
      </c>
      <c r="K66" s="3231" t="s">
        <v>3427</v>
      </c>
      <c r="L66" s="3231">
        <v>1165.48</v>
      </c>
      <c r="M66" s="3231">
        <v>899.93</v>
      </c>
      <c r="N66" s="3249" t="s">
        <v>3266</v>
      </c>
      <c r="O66" s="3231"/>
    </row>
    <row r="67" spans="1:15" ht="48">
      <c r="A67" s="3249">
        <v>24</v>
      </c>
      <c r="B67" s="3249" t="s">
        <v>3267</v>
      </c>
      <c r="C67" s="3231" t="s">
        <v>3220</v>
      </c>
      <c r="D67" s="3231" t="s">
        <v>1102</v>
      </c>
      <c r="E67" s="3231" t="s">
        <v>3259</v>
      </c>
      <c r="F67" s="3231" t="s">
        <v>3367</v>
      </c>
      <c r="G67" s="3231" t="s">
        <v>3350</v>
      </c>
      <c r="H67" s="3231" t="s">
        <v>3364</v>
      </c>
      <c r="I67" s="3249" t="s">
        <v>3369</v>
      </c>
      <c r="J67" s="3231" t="s">
        <v>3428</v>
      </c>
      <c r="K67" s="3231" t="s">
        <v>3429</v>
      </c>
      <c r="L67" s="3231">
        <v>1531.95</v>
      </c>
      <c r="M67" s="3231">
        <v>1182.9000000000001</v>
      </c>
      <c r="N67" s="3249" t="s">
        <v>3266</v>
      </c>
      <c r="O67" s="3231"/>
    </row>
    <row r="68" spans="1:15" ht="48">
      <c r="A68" s="3249">
        <v>25</v>
      </c>
      <c r="B68" s="3249" t="s">
        <v>3258</v>
      </c>
      <c r="C68" s="3231" t="s">
        <v>3220</v>
      </c>
      <c r="D68" s="3231" t="s">
        <v>1102</v>
      </c>
      <c r="E68" s="3231" t="s">
        <v>3259</v>
      </c>
      <c r="F68" s="3231" t="s">
        <v>3367</v>
      </c>
      <c r="G68" s="3231" t="s">
        <v>3350</v>
      </c>
      <c r="H68" s="3231" t="s">
        <v>3430</v>
      </c>
      <c r="I68" s="3249" t="s">
        <v>3369</v>
      </c>
      <c r="J68" s="3231" t="s">
        <v>3431</v>
      </c>
      <c r="K68" s="3231" t="s">
        <v>3432</v>
      </c>
      <c r="L68" s="3231">
        <v>1945.45</v>
      </c>
      <c r="M68" s="3231">
        <v>1502.18</v>
      </c>
      <c r="N68" s="3249" t="s">
        <v>3266</v>
      </c>
      <c r="O68" s="3231"/>
    </row>
    <row r="69" spans="1:15" ht="48">
      <c r="A69" s="3249">
        <v>61</v>
      </c>
      <c r="B69" s="3231" t="s">
        <v>3204</v>
      </c>
      <c r="C69" s="3231" t="s">
        <v>3220</v>
      </c>
      <c r="D69" s="3231" t="s">
        <v>3206</v>
      </c>
      <c r="E69" s="3231" t="s">
        <v>48</v>
      </c>
      <c r="F69" s="3231" t="s">
        <v>3221</v>
      </c>
      <c r="G69" s="3231" t="s">
        <v>3212</v>
      </c>
      <c r="H69" s="3231" t="s">
        <v>3222</v>
      </c>
      <c r="I69" s="3231" t="s">
        <v>3223</v>
      </c>
      <c r="J69" s="3231" t="s">
        <v>3224</v>
      </c>
      <c r="K69" s="3231" t="s">
        <v>3225</v>
      </c>
      <c r="L69" s="3231">
        <v>11285.76</v>
      </c>
      <c r="M69" s="3231">
        <v>10128.76</v>
      </c>
      <c r="N69" s="3231" t="s">
        <v>3211</v>
      </c>
      <c r="O69" s="3231"/>
    </row>
    <row r="70" spans="1:15">
      <c r="L70">
        <f>SUM(L44:L69)</f>
        <v>30905.11</v>
      </c>
    </row>
    <row r="72" spans="1:15">
      <c r="G72" s="3258" t="s">
        <v>3451</v>
      </c>
      <c r="H72">
        <f>SUM(L44:L64)</f>
        <v>13746.270000000002</v>
      </c>
      <c r="J72" s="3258" t="s">
        <v>3455</v>
      </c>
      <c r="K72">
        <f>SUM(L44:L49)</f>
        <v>3419.87</v>
      </c>
    </row>
    <row r="73" spans="1:15">
      <c r="G73" s="3258" t="s">
        <v>3452</v>
      </c>
      <c r="H73">
        <f>SUM(L65:L68)</f>
        <v>5873.08</v>
      </c>
      <c r="J73" s="3258" t="s">
        <v>3456</v>
      </c>
      <c r="K73">
        <f>SUM(L50:L52)</f>
        <v>386.89</v>
      </c>
    </row>
    <row r="74" spans="1:15">
      <c r="G74" s="3258" t="s">
        <v>3453</v>
      </c>
      <c r="H74">
        <f>L69</f>
        <v>11285.76</v>
      </c>
      <c r="J74" s="3258" t="s">
        <v>3457</v>
      </c>
      <c r="K74">
        <f>SUM(L53:L56)</f>
        <v>4118.91</v>
      </c>
    </row>
    <row r="75" spans="1:15">
      <c r="H75">
        <f>H72+H73+H74</f>
        <v>30905.11</v>
      </c>
      <c r="J75" s="3258" t="s">
        <v>3458</v>
      </c>
      <c r="K75">
        <f>SUM(L57:L64)</f>
        <v>5820.5999999999995</v>
      </c>
    </row>
    <row r="76" spans="1:15">
      <c r="G76" s="3258" t="s">
        <v>3454</v>
      </c>
      <c r="H76">
        <v>17099.09</v>
      </c>
    </row>
    <row r="83" spans="7:10">
      <c r="H83" s="3257"/>
    </row>
    <row r="84" spans="7:10">
      <c r="G84" s="3257" t="s">
        <v>3460</v>
      </c>
      <c r="H84">
        <f>H41</f>
        <v>40421.870000000003</v>
      </c>
      <c r="I84" s="3259">
        <f>ROUND(H84/(H84+H85),4)</f>
        <v>0.56669999999999998</v>
      </c>
      <c r="J84">
        <f>H86*I84</f>
        <v>11334</v>
      </c>
    </row>
    <row r="85" spans="7:10">
      <c r="G85" s="3257" t="s">
        <v>3461</v>
      </c>
      <c r="H85">
        <f>H75</f>
        <v>30905.11</v>
      </c>
      <c r="I85" s="3259">
        <f>1-I84</f>
        <v>0.43330000000000002</v>
      </c>
      <c r="J85">
        <f>H86-J84</f>
        <v>8666</v>
      </c>
    </row>
    <row r="86" spans="7:10">
      <c r="G86" s="3257" t="s">
        <v>3462</v>
      </c>
      <c r="H86">
        <v>20000</v>
      </c>
    </row>
  </sheetData>
  <phoneticPr fontId="140"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69"/>
  <sheetViews>
    <sheetView workbookViewId="0">
      <pane ySplit="2" topLeftCell="A60" activePane="bottomLeft" state="frozen"/>
      <selection pane="bottomLeft" activeCell="L68" sqref="L68"/>
    </sheetView>
  </sheetViews>
  <sheetFormatPr defaultRowHeight="12"/>
  <cols>
    <col min="1" max="1" width="9.625" style="3248" customWidth="1"/>
    <col min="2" max="2" width="15.125" style="3248" customWidth="1"/>
    <col min="3" max="3" width="6.625" style="3248" customWidth="1"/>
    <col min="4" max="4" width="7" style="3248" customWidth="1"/>
    <col min="5" max="6" width="9" style="3248"/>
    <col min="7" max="7" width="7.625" style="3248" customWidth="1"/>
    <col min="8" max="8" width="9.75" style="3248" customWidth="1"/>
    <col min="9" max="9" width="10.875" style="3248" customWidth="1"/>
    <col min="10" max="10" width="15.625" style="3248" customWidth="1"/>
    <col min="11" max="11" width="16.125" style="3248" customWidth="1"/>
    <col min="12" max="12" width="9" style="3248" customWidth="1"/>
    <col min="13" max="13" width="14.375" style="3248" hidden="1" customWidth="1"/>
    <col min="14" max="14" width="8.125" style="3248" customWidth="1"/>
    <col min="15" max="15" width="14.625" style="3248" customWidth="1"/>
    <col min="16" max="16384" width="9" style="3248"/>
  </cols>
  <sheetData>
    <row r="2" spans="1:15" ht="24">
      <c r="A2" s="3231" t="s">
        <v>3250</v>
      </c>
      <c r="B2" s="3231" t="s">
        <v>3251</v>
      </c>
      <c r="C2" s="3231" t="s">
        <v>3192</v>
      </c>
      <c r="D2" s="3231" t="s">
        <v>3193</v>
      </c>
      <c r="E2" s="3231" t="s">
        <v>3194</v>
      </c>
      <c r="F2" s="3231" t="s">
        <v>3252</v>
      </c>
      <c r="G2" s="3231" t="s">
        <v>3253</v>
      </c>
      <c r="H2" s="3231" t="s">
        <v>3254</v>
      </c>
      <c r="I2" s="3231" t="s">
        <v>3255</v>
      </c>
      <c r="J2" s="3231" t="s">
        <v>3256</v>
      </c>
      <c r="K2" s="3231" t="s">
        <v>3199</v>
      </c>
      <c r="L2" s="3231" t="s">
        <v>3200</v>
      </c>
      <c r="M2" s="3231" t="s">
        <v>3201</v>
      </c>
      <c r="N2" s="3231" t="s">
        <v>3257</v>
      </c>
      <c r="O2" s="3231" t="s">
        <v>3203</v>
      </c>
    </row>
    <row r="3" spans="1:15" s="3251" customFormat="1" ht="24">
      <c r="A3" s="3249">
        <v>1</v>
      </c>
      <c r="B3" s="3249" t="s">
        <v>3258</v>
      </c>
      <c r="C3" s="3249" t="s">
        <v>3205</v>
      </c>
      <c r="D3" s="3249" t="s">
        <v>1102</v>
      </c>
      <c r="E3" s="3249" t="s">
        <v>3259</v>
      </c>
      <c r="F3" s="3249" t="s">
        <v>3260</v>
      </c>
      <c r="G3" s="3249" t="s">
        <v>3261</v>
      </c>
      <c r="H3" s="3249" t="s">
        <v>3262</v>
      </c>
      <c r="I3" s="3249" t="s">
        <v>3263</v>
      </c>
      <c r="J3" s="3249" t="s">
        <v>3264</v>
      </c>
      <c r="K3" s="3249" t="s">
        <v>3265</v>
      </c>
      <c r="L3" s="3249">
        <v>97.89</v>
      </c>
      <c r="M3" s="3250">
        <v>74.180000000000007</v>
      </c>
      <c r="N3" s="3249" t="s">
        <v>3266</v>
      </c>
      <c r="O3" s="3249"/>
    </row>
    <row r="4" spans="1:15" ht="24">
      <c r="A4" s="3249">
        <v>2</v>
      </c>
      <c r="B4" s="3249" t="s">
        <v>3267</v>
      </c>
      <c r="C4" s="3231" t="s">
        <v>3205</v>
      </c>
      <c r="D4" s="3231" t="s">
        <v>1102</v>
      </c>
      <c r="E4" s="3231" t="s">
        <v>3259</v>
      </c>
      <c r="F4" s="3249" t="s">
        <v>3260</v>
      </c>
      <c r="G4" s="3231" t="s">
        <v>3261</v>
      </c>
      <c r="H4" s="3231" t="s">
        <v>3268</v>
      </c>
      <c r="I4" s="3249" t="s">
        <v>3263</v>
      </c>
      <c r="J4" s="3231" t="s">
        <v>3269</v>
      </c>
      <c r="K4" s="3231" t="s">
        <v>3270</v>
      </c>
      <c r="L4" s="3231">
        <v>97.72</v>
      </c>
      <c r="M4" s="3231">
        <v>74.05</v>
      </c>
      <c r="N4" s="3249" t="s">
        <v>3266</v>
      </c>
      <c r="O4" s="3231"/>
    </row>
    <row r="5" spans="1:15" ht="24">
      <c r="A5" s="3249">
        <v>3</v>
      </c>
      <c r="B5" s="3249" t="s">
        <v>3267</v>
      </c>
      <c r="C5" s="3231" t="s">
        <v>3205</v>
      </c>
      <c r="D5" s="3231" t="s">
        <v>1102</v>
      </c>
      <c r="E5" s="3231" t="s">
        <v>3259</v>
      </c>
      <c r="F5" s="3249" t="s">
        <v>3260</v>
      </c>
      <c r="G5" s="3231" t="s">
        <v>3261</v>
      </c>
      <c r="H5" s="3231" t="s">
        <v>3271</v>
      </c>
      <c r="I5" s="3249" t="s">
        <v>3263</v>
      </c>
      <c r="J5" s="3231" t="s">
        <v>3272</v>
      </c>
      <c r="K5" s="3231" t="s">
        <v>3273</v>
      </c>
      <c r="L5" s="3231">
        <v>100.23</v>
      </c>
      <c r="M5" s="3231">
        <v>75.95</v>
      </c>
      <c r="N5" s="3249" t="s">
        <v>3266</v>
      </c>
      <c r="O5" s="3231"/>
    </row>
    <row r="6" spans="1:15" ht="24">
      <c r="A6" s="3249">
        <v>4</v>
      </c>
      <c r="B6" s="3249" t="s">
        <v>3267</v>
      </c>
      <c r="C6" s="3231" t="s">
        <v>3205</v>
      </c>
      <c r="D6" s="3231" t="s">
        <v>1102</v>
      </c>
      <c r="E6" s="3231" t="s">
        <v>3259</v>
      </c>
      <c r="F6" s="3249" t="s">
        <v>3260</v>
      </c>
      <c r="G6" s="3231" t="s">
        <v>3261</v>
      </c>
      <c r="H6" s="3231" t="s">
        <v>3274</v>
      </c>
      <c r="I6" s="3249" t="s">
        <v>3263</v>
      </c>
      <c r="J6" s="3231" t="s">
        <v>3275</v>
      </c>
      <c r="K6" s="3231" t="s">
        <v>3276</v>
      </c>
      <c r="L6" s="3231">
        <v>55.85</v>
      </c>
      <c r="M6" s="3231">
        <v>42.32</v>
      </c>
      <c r="N6" s="3249" t="s">
        <v>3266</v>
      </c>
      <c r="O6" s="3231" t="s">
        <v>3277</v>
      </c>
    </row>
    <row r="7" spans="1:15" ht="24">
      <c r="A7" s="3249">
        <v>5</v>
      </c>
      <c r="B7" s="3249" t="s">
        <v>3267</v>
      </c>
      <c r="C7" s="3231" t="s">
        <v>3205</v>
      </c>
      <c r="D7" s="3231" t="s">
        <v>1102</v>
      </c>
      <c r="E7" s="3231" t="s">
        <v>3259</v>
      </c>
      <c r="F7" s="3249" t="s">
        <v>3260</v>
      </c>
      <c r="G7" s="3231" t="s">
        <v>3261</v>
      </c>
      <c r="H7" s="3231" t="s">
        <v>3278</v>
      </c>
      <c r="I7" s="3249" t="s">
        <v>3263</v>
      </c>
      <c r="J7" s="3231" t="s">
        <v>3279</v>
      </c>
      <c r="K7" s="3231" t="s">
        <v>3280</v>
      </c>
      <c r="L7" s="3231">
        <v>118.69</v>
      </c>
      <c r="M7" s="3231">
        <v>89.94</v>
      </c>
      <c r="N7" s="3249" t="s">
        <v>3266</v>
      </c>
      <c r="O7" s="3231" t="s">
        <v>3277</v>
      </c>
    </row>
    <row r="8" spans="1:15" ht="24">
      <c r="A8" s="3249">
        <v>6</v>
      </c>
      <c r="B8" s="3249" t="s">
        <v>3267</v>
      </c>
      <c r="C8" s="3231" t="s">
        <v>3205</v>
      </c>
      <c r="D8" s="3231" t="s">
        <v>1102</v>
      </c>
      <c r="E8" s="3231" t="s">
        <v>3259</v>
      </c>
      <c r="F8" s="3249" t="s">
        <v>3260</v>
      </c>
      <c r="G8" s="3231" t="s">
        <v>3261</v>
      </c>
      <c r="H8" s="3231" t="s">
        <v>3281</v>
      </c>
      <c r="I8" s="3249" t="s">
        <v>3263</v>
      </c>
      <c r="J8" s="3231" t="s">
        <v>3282</v>
      </c>
      <c r="K8" s="3231" t="s">
        <v>3283</v>
      </c>
      <c r="L8" s="3231">
        <v>84.8</v>
      </c>
      <c r="M8" s="3231">
        <v>64.260000000000005</v>
      </c>
      <c r="N8" s="3249" t="s">
        <v>3266</v>
      </c>
      <c r="O8" s="3231" t="s">
        <v>3277</v>
      </c>
    </row>
    <row r="9" spans="1:15" ht="24">
      <c r="A9" s="3249">
        <v>7</v>
      </c>
      <c r="B9" s="3249" t="s">
        <v>3267</v>
      </c>
      <c r="C9" s="3231" t="s">
        <v>3205</v>
      </c>
      <c r="D9" s="3231" t="s">
        <v>1102</v>
      </c>
      <c r="E9" s="3231" t="s">
        <v>3259</v>
      </c>
      <c r="F9" s="3249" t="s">
        <v>3260</v>
      </c>
      <c r="G9" s="3231" t="s">
        <v>3261</v>
      </c>
      <c r="H9" s="3231" t="s">
        <v>3284</v>
      </c>
      <c r="I9" s="3249" t="s">
        <v>3263</v>
      </c>
      <c r="J9" s="3231" t="s">
        <v>3285</v>
      </c>
      <c r="K9" s="3231" t="s">
        <v>3286</v>
      </c>
      <c r="L9" s="3231">
        <v>119.01</v>
      </c>
      <c r="M9" s="3231">
        <v>90.18</v>
      </c>
      <c r="N9" s="3249" t="s">
        <v>3266</v>
      </c>
      <c r="O9" s="3231" t="s">
        <v>3277</v>
      </c>
    </row>
    <row r="10" spans="1:15" ht="24">
      <c r="A10" s="3249">
        <v>8</v>
      </c>
      <c r="B10" s="3249" t="s">
        <v>3267</v>
      </c>
      <c r="C10" s="3231" t="s">
        <v>3205</v>
      </c>
      <c r="D10" s="3231" t="s">
        <v>1102</v>
      </c>
      <c r="E10" s="3231" t="s">
        <v>3259</v>
      </c>
      <c r="F10" s="3249" t="s">
        <v>3260</v>
      </c>
      <c r="G10" s="3231" t="s">
        <v>3261</v>
      </c>
      <c r="H10" s="3231" t="s">
        <v>3287</v>
      </c>
      <c r="I10" s="3249" t="s">
        <v>3263</v>
      </c>
      <c r="J10" s="3231" t="s">
        <v>3288</v>
      </c>
      <c r="K10" s="3231" t="s">
        <v>3289</v>
      </c>
      <c r="L10" s="3231">
        <v>110.96</v>
      </c>
      <c r="M10" s="3231">
        <v>84.08</v>
      </c>
      <c r="N10" s="3249" t="s">
        <v>3266</v>
      </c>
      <c r="O10" s="3231" t="s">
        <v>3277</v>
      </c>
    </row>
    <row r="11" spans="1:15" ht="24">
      <c r="A11" s="3249">
        <v>9</v>
      </c>
      <c r="B11" s="3249" t="s">
        <v>3267</v>
      </c>
      <c r="C11" s="3231" t="s">
        <v>3205</v>
      </c>
      <c r="D11" s="3231" t="s">
        <v>1102</v>
      </c>
      <c r="E11" s="3231" t="s">
        <v>3259</v>
      </c>
      <c r="F11" s="3249" t="s">
        <v>3260</v>
      </c>
      <c r="G11" s="3231" t="s">
        <v>3290</v>
      </c>
      <c r="H11" s="3231" t="s">
        <v>3291</v>
      </c>
      <c r="I11" s="3249" t="s">
        <v>3263</v>
      </c>
      <c r="J11" s="3231" t="s">
        <v>3292</v>
      </c>
      <c r="K11" s="3231" t="s">
        <v>3293</v>
      </c>
      <c r="L11" s="3231">
        <v>62.58</v>
      </c>
      <c r="M11" s="3231">
        <v>47.42</v>
      </c>
      <c r="N11" s="3249" t="s">
        <v>3266</v>
      </c>
      <c r="O11" s="3231"/>
    </row>
    <row r="12" spans="1:15" ht="24">
      <c r="A12" s="3249">
        <v>10</v>
      </c>
      <c r="B12" s="3249" t="s">
        <v>3267</v>
      </c>
      <c r="C12" s="3231" t="s">
        <v>3205</v>
      </c>
      <c r="D12" s="3231" t="s">
        <v>1102</v>
      </c>
      <c r="E12" s="3231" t="s">
        <v>3259</v>
      </c>
      <c r="F12" s="3249" t="s">
        <v>3260</v>
      </c>
      <c r="G12" s="3231" t="s">
        <v>3290</v>
      </c>
      <c r="H12" s="3231" t="s">
        <v>3294</v>
      </c>
      <c r="I12" s="3249" t="s">
        <v>3263</v>
      </c>
      <c r="J12" s="3231" t="s">
        <v>3295</v>
      </c>
      <c r="K12" s="3231" t="s">
        <v>3296</v>
      </c>
      <c r="L12" s="3231">
        <v>79.260000000000005</v>
      </c>
      <c r="M12" s="3231">
        <v>60.06</v>
      </c>
      <c r="N12" s="3249" t="s">
        <v>3266</v>
      </c>
      <c r="O12" s="3231"/>
    </row>
    <row r="13" spans="1:15" ht="24">
      <c r="A13" s="3249">
        <v>11</v>
      </c>
      <c r="B13" s="3249" t="s">
        <v>3267</v>
      </c>
      <c r="C13" s="3231" t="s">
        <v>3205</v>
      </c>
      <c r="D13" s="3231" t="s">
        <v>1102</v>
      </c>
      <c r="E13" s="3231" t="s">
        <v>3259</v>
      </c>
      <c r="F13" s="3249" t="s">
        <v>3260</v>
      </c>
      <c r="G13" s="3231" t="s">
        <v>3290</v>
      </c>
      <c r="H13" s="3231" t="s">
        <v>3297</v>
      </c>
      <c r="I13" s="3249" t="s">
        <v>3263</v>
      </c>
      <c r="J13" s="3231" t="s">
        <v>3298</v>
      </c>
      <c r="K13" s="3231" t="s">
        <v>3299</v>
      </c>
      <c r="L13" s="3231">
        <v>71.900000000000006</v>
      </c>
      <c r="M13" s="3231">
        <v>54.48</v>
      </c>
      <c r="N13" s="3249" t="s">
        <v>3266</v>
      </c>
      <c r="O13" s="3231"/>
    </row>
    <row r="14" spans="1:15" ht="24">
      <c r="A14" s="3249">
        <v>12</v>
      </c>
      <c r="B14" s="3249" t="s">
        <v>3267</v>
      </c>
      <c r="C14" s="3231" t="s">
        <v>3205</v>
      </c>
      <c r="D14" s="3231" t="s">
        <v>27</v>
      </c>
      <c r="E14" s="3231" t="s">
        <v>3259</v>
      </c>
      <c r="F14" s="3249" t="s">
        <v>3260</v>
      </c>
      <c r="G14" s="3231" t="s">
        <v>3300</v>
      </c>
      <c r="H14" s="3231" t="s">
        <v>3301</v>
      </c>
      <c r="I14" s="3249" t="s">
        <v>3263</v>
      </c>
      <c r="J14" s="3231" t="s">
        <v>3302</v>
      </c>
      <c r="K14" s="3231" t="s">
        <v>3303</v>
      </c>
      <c r="L14" s="3231">
        <v>1209.7</v>
      </c>
      <c r="M14" s="3231">
        <v>886.56</v>
      </c>
      <c r="N14" s="3249" t="s">
        <v>3266</v>
      </c>
      <c r="O14" s="3231"/>
    </row>
    <row r="15" spans="1:15" ht="24">
      <c r="A15" s="3249">
        <v>13</v>
      </c>
      <c r="B15" s="3249" t="s">
        <v>3267</v>
      </c>
      <c r="C15" s="3231" t="s">
        <v>3205</v>
      </c>
      <c r="D15" s="3231" t="s">
        <v>27</v>
      </c>
      <c r="E15" s="3231" t="s">
        <v>3259</v>
      </c>
      <c r="F15" s="3249" t="s">
        <v>3260</v>
      </c>
      <c r="G15" s="3231" t="s">
        <v>3300</v>
      </c>
      <c r="H15" s="3231" t="s">
        <v>3304</v>
      </c>
      <c r="I15" s="3249" t="s">
        <v>3263</v>
      </c>
      <c r="J15" s="3231" t="s">
        <v>3305</v>
      </c>
      <c r="K15" s="3231" t="s">
        <v>3306</v>
      </c>
      <c r="L15" s="3231">
        <v>1282.24</v>
      </c>
      <c r="M15" s="3231">
        <v>939.72</v>
      </c>
      <c r="N15" s="3249" t="s">
        <v>3266</v>
      </c>
      <c r="O15" s="3231"/>
    </row>
    <row r="16" spans="1:15" ht="24">
      <c r="A16" s="3249">
        <v>14</v>
      </c>
      <c r="B16" s="3249" t="s">
        <v>3267</v>
      </c>
      <c r="C16" s="3231" t="s">
        <v>3205</v>
      </c>
      <c r="D16" s="3231" t="s">
        <v>27</v>
      </c>
      <c r="E16" s="3231" t="s">
        <v>3259</v>
      </c>
      <c r="F16" s="3249" t="s">
        <v>3260</v>
      </c>
      <c r="G16" s="3231" t="s">
        <v>3300</v>
      </c>
      <c r="H16" s="3231" t="s">
        <v>3307</v>
      </c>
      <c r="I16" s="3249" t="s">
        <v>3263</v>
      </c>
      <c r="J16" s="3231" t="s">
        <v>3308</v>
      </c>
      <c r="K16" s="3231" t="s">
        <v>3309</v>
      </c>
      <c r="L16" s="3231">
        <v>1438.79</v>
      </c>
      <c r="M16" s="3231">
        <v>1054.45</v>
      </c>
      <c r="N16" s="3249" t="s">
        <v>3266</v>
      </c>
      <c r="O16" s="3231"/>
    </row>
    <row r="17" spans="1:15" ht="24">
      <c r="A17" s="3249">
        <v>15</v>
      </c>
      <c r="B17" s="3249" t="s">
        <v>3267</v>
      </c>
      <c r="C17" s="3231" t="s">
        <v>3205</v>
      </c>
      <c r="D17" s="3231" t="s">
        <v>27</v>
      </c>
      <c r="E17" s="3231" t="s">
        <v>3259</v>
      </c>
      <c r="F17" s="3249" t="s">
        <v>3260</v>
      </c>
      <c r="G17" s="3231" t="s">
        <v>3300</v>
      </c>
      <c r="H17" s="3231" t="s">
        <v>3310</v>
      </c>
      <c r="I17" s="3249" t="s">
        <v>3263</v>
      </c>
      <c r="J17" s="3231" t="s">
        <v>3311</v>
      </c>
      <c r="K17" s="3231" t="s">
        <v>3312</v>
      </c>
      <c r="L17" s="3231">
        <v>1290.19</v>
      </c>
      <c r="M17" s="3231">
        <v>945.55</v>
      </c>
      <c r="N17" s="3249" t="s">
        <v>3266</v>
      </c>
      <c r="O17" s="3231"/>
    </row>
    <row r="18" spans="1:15" ht="24">
      <c r="A18" s="3249">
        <v>16</v>
      </c>
      <c r="B18" s="3249" t="s">
        <v>3267</v>
      </c>
      <c r="C18" s="3231" t="s">
        <v>3205</v>
      </c>
      <c r="D18" s="3231" t="s">
        <v>27</v>
      </c>
      <c r="E18" s="3231" t="s">
        <v>3259</v>
      </c>
      <c r="F18" s="3249" t="s">
        <v>3260</v>
      </c>
      <c r="G18" s="3231" t="s">
        <v>3300</v>
      </c>
      <c r="H18" s="3231" t="s">
        <v>3313</v>
      </c>
      <c r="I18" s="3249" t="s">
        <v>3263</v>
      </c>
      <c r="J18" s="3231" t="s">
        <v>3314</v>
      </c>
      <c r="K18" s="3231" t="s">
        <v>3315</v>
      </c>
      <c r="L18" s="3231">
        <v>604.5</v>
      </c>
      <c r="M18" s="3231">
        <v>443.02</v>
      </c>
      <c r="N18" s="3249" t="s">
        <v>3266</v>
      </c>
      <c r="O18" s="3231"/>
    </row>
    <row r="19" spans="1:15" ht="24">
      <c r="A19" s="3249">
        <v>17</v>
      </c>
      <c r="B19" s="3249" t="s">
        <v>3267</v>
      </c>
      <c r="C19" s="3231" t="s">
        <v>3205</v>
      </c>
      <c r="D19" s="3231" t="s">
        <v>27</v>
      </c>
      <c r="E19" s="3231" t="s">
        <v>3259</v>
      </c>
      <c r="F19" s="3249" t="s">
        <v>3260</v>
      </c>
      <c r="G19" s="3231" t="s">
        <v>3300</v>
      </c>
      <c r="H19" s="3231" t="s">
        <v>3316</v>
      </c>
      <c r="I19" s="3249" t="s">
        <v>3263</v>
      </c>
      <c r="J19" s="3231" t="s">
        <v>3317</v>
      </c>
      <c r="K19" s="3231" t="s">
        <v>3318</v>
      </c>
      <c r="L19" s="3231">
        <v>1278.0899999999999</v>
      </c>
      <c r="M19" s="3231">
        <v>936.68</v>
      </c>
      <c r="N19" s="3249" t="s">
        <v>3266</v>
      </c>
      <c r="O19" s="3231"/>
    </row>
    <row r="20" spans="1:15" ht="24">
      <c r="A20" s="3249">
        <v>18</v>
      </c>
      <c r="B20" s="3249" t="s">
        <v>3267</v>
      </c>
      <c r="C20" s="3231" t="s">
        <v>3205</v>
      </c>
      <c r="D20" s="3231" t="s">
        <v>27</v>
      </c>
      <c r="E20" s="3231" t="s">
        <v>3259</v>
      </c>
      <c r="F20" s="3249" t="s">
        <v>3260</v>
      </c>
      <c r="G20" s="3231" t="s">
        <v>3300</v>
      </c>
      <c r="H20" s="3231" t="s">
        <v>3319</v>
      </c>
      <c r="I20" s="3249" t="s">
        <v>3263</v>
      </c>
      <c r="J20" s="3231" t="s">
        <v>3320</v>
      </c>
      <c r="K20" s="3231" t="s">
        <v>3321</v>
      </c>
      <c r="L20" s="3231">
        <v>984.64</v>
      </c>
      <c r="M20" s="3231">
        <v>721.62</v>
      </c>
      <c r="N20" s="3249" t="s">
        <v>3266</v>
      </c>
      <c r="O20" s="3231"/>
    </row>
    <row r="21" spans="1:15" ht="24">
      <c r="A21" s="3249">
        <v>19</v>
      </c>
      <c r="B21" s="3249" t="s">
        <v>3267</v>
      </c>
      <c r="C21" s="3231" t="s">
        <v>3205</v>
      </c>
      <c r="D21" s="3231" t="s">
        <v>27</v>
      </c>
      <c r="E21" s="3231" t="s">
        <v>3259</v>
      </c>
      <c r="F21" s="3249" t="s">
        <v>3260</v>
      </c>
      <c r="G21" s="3231" t="s">
        <v>3300</v>
      </c>
      <c r="H21" s="3231" t="s">
        <v>3322</v>
      </c>
      <c r="I21" s="3249" t="s">
        <v>3263</v>
      </c>
      <c r="J21" s="3231" t="s">
        <v>3323</v>
      </c>
      <c r="K21" s="3231" t="s">
        <v>3324</v>
      </c>
      <c r="L21" s="3231">
        <v>784.51</v>
      </c>
      <c r="M21" s="3231">
        <v>574.95000000000005</v>
      </c>
      <c r="N21" s="3249" t="s">
        <v>3266</v>
      </c>
      <c r="O21" s="3231"/>
    </row>
    <row r="22" spans="1:15" ht="24">
      <c r="A22" s="3249">
        <v>20</v>
      </c>
      <c r="B22" s="3249" t="s">
        <v>3267</v>
      </c>
      <c r="C22" s="3231" t="s">
        <v>3205</v>
      </c>
      <c r="D22" s="3231" t="s">
        <v>27</v>
      </c>
      <c r="E22" s="3231" t="s">
        <v>3259</v>
      </c>
      <c r="F22" s="3249" t="s">
        <v>3260</v>
      </c>
      <c r="G22" s="3231" t="s">
        <v>3325</v>
      </c>
      <c r="H22" s="3231" t="s">
        <v>3326</v>
      </c>
      <c r="I22" s="3249" t="s">
        <v>3263</v>
      </c>
      <c r="J22" s="3231" t="s">
        <v>3327</v>
      </c>
      <c r="K22" s="3231" t="s">
        <v>3328</v>
      </c>
      <c r="L22" s="3231">
        <v>838.36</v>
      </c>
      <c r="M22" s="3231">
        <v>614.41</v>
      </c>
      <c r="N22" s="3249" t="s">
        <v>3266</v>
      </c>
      <c r="O22" s="3231"/>
    </row>
    <row r="23" spans="1:15" ht="24">
      <c r="A23" s="3249">
        <v>21</v>
      </c>
      <c r="B23" s="3249" t="s">
        <v>3267</v>
      </c>
      <c r="C23" s="3231" t="s">
        <v>3205</v>
      </c>
      <c r="D23" s="3231" t="s">
        <v>27</v>
      </c>
      <c r="E23" s="3231" t="s">
        <v>3259</v>
      </c>
      <c r="F23" s="3249" t="s">
        <v>3260</v>
      </c>
      <c r="G23" s="3231" t="s">
        <v>3325</v>
      </c>
      <c r="H23" s="3231" t="s">
        <v>3329</v>
      </c>
      <c r="I23" s="3249" t="s">
        <v>3263</v>
      </c>
      <c r="J23" s="3231" t="s">
        <v>3330</v>
      </c>
      <c r="K23" s="3231" t="s">
        <v>3331</v>
      </c>
      <c r="L23" s="3231">
        <v>945.58</v>
      </c>
      <c r="M23" s="3231">
        <v>692.99</v>
      </c>
      <c r="N23" s="3249" t="s">
        <v>3266</v>
      </c>
      <c r="O23" s="3231"/>
    </row>
    <row r="24" spans="1:15" ht="24">
      <c r="A24" s="3249">
        <v>22</v>
      </c>
      <c r="B24" s="3249" t="s">
        <v>3267</v>
      </c>
      <c r="C24" s="3231" t="s">
        <v>3205</v>
      </c>
      <c r="D24" s="3231" t="s">
        <v>27</v>
      </c>
      <c r="E24" s="3231" t="s">
        <v>3259</v>
      </c>
      <c r="F24" s="3249" t="s">
        <v>3260</v>
      </c>
      <c r="G24" s="3231" t="s">
        <v>3325</v>
      </c>
      <c r="H24" s="3231" t="s">
        <v>3332</v>
      </c>
      <c r="I24" s="3249" t="s">
        <v>3263</v>
      </c>
      <c r="J24" s="3231" t="s">
        <v>3333</v>
      </c>
      <c r="K24" s="3231" t="s">
        <v>3334</v>
      </c>
      <c r="L24" s="3231">
        <v>959.17</v>
      </c>
      <c r="M24" s="3231">
        <v>702.95</v>
      </c>
      <c r="N24" s="3249" t="s">
        <v>3266</v>
      </c>
      <c r="O24" s="3231"/>
    </row>
    <row r="25" spans="1:15" ht="24">
      <c r="A25" s="3249">
        <v>23</v>
      </c>
      <c r="B25" s="3249" t="s">
        <v>3267</v>
      </c>
      <c r="C25" s="3231" t="s">
        <v>3205</v>
      </c>
      <c r="D25" s="3231" t="s">
        <v>27</v>
      </c>
      <c r="E25" s="3231" t="s">
        <v>3259</v>
      </c>
      <c r="F25" s="3249" t="s">
        <v>3260</v>
      </c>
      <c r="G25" s="3231" t="s">
        <v>3325</v>
      </c>
      <c r="H25" s="3231" t="s">
        <v>3335</v>
      </c>
      <c r="I25" s="3249" t="s">
        <v>3263</v>
      </c>
      <c r="J25" s="3231" t="s">
        <v>3336</v>
      </c>
      <c r="K25" s="3231" t="s">
        <v>3337</v>
      </c>
      <c r="L25" s="3231">
        <v>1060.8800000000001</v>
      </c>
      <c r="M25" s="3231">
        <v>777.49</v>
      </c>
      <c r="N25" s="3249" t="s">
        <v>3266</v>
      </c>
      <c r="O25" s="3231"/>
    </row>
    <row r="26" spans="1:15" ht="24">
      <c r="A26" s="3249">
        <v>24</v>
      </c>
      <c r="B26" s="3249" t="s">
        <v>3267</v>
      </c>
      <c r="C26" s="3231" t="s">
        <v>3205</v>
      </c>
      <c r="D26" s="3231" t="s">
        <v>27</v>
      </c>
      <c r="E26" s="3231" t="s">
        <v>3259</v>
      </c>
      <c r="F26" s="3249" t="s">
        <v>3260</v>
      </c>
      <c r="G26" s="3231" t="s">
        <v>3325</v>
      </c>
      <c r="H26" s="3231" t="s">
        <v>3338</v>
      </c>
      <c r="I26" s="3249" t="s">
        <v>3263</v>
      </c>
      <c r="J26" s="3231" t="s">
        <v>3339</v>
      </c>
      <c r="K26" s="3231" t="s">
        <v>3340</v>
      </c>
      <c r="L26" s="3231">
        <v>592.73</v>
      </c>
      <c r="M26" s="3231">
        <v>434.4</v>
      </c>
      <c r="N26" s="3249" t="s">
        <v>3266</v>
      </c>
      <c r="O26" s="3231"/>
    </row>
    <row r="27" spans="1:15" ht="24">
      <c r="A27" s="3249">
        <v>25</v>
      </c>
      <c r="B27" s="3249" t="s">
        <v>3267</v>
      </c>
      <c r="C27" s="3231" t="s">
        <v>3205</v>
      </c>
      <c r="D27" s="3231" t="s">
        <v>27</v>
      </c>
      <c r="E27" s="3231" t="s">
        <v>3259</v>
      </c>
      <c r="F27" s="3249" t="s">
        <v>3260</v>
      </c>
      <c r="G27" s="3231" t="s">
        <v>3325</v>
      </c>
      <c r="H27" s="3231" t="s">
        <v>3341</v>
      </c>
      <c r="I27" s="3249" t="s">
        <v>3263</v>
      </c>
      <c r="J27" s="3231" t="s">
        <v>3342</v>
      </c>
      <c r="K27" s="3231" t="s">
        <v>3343</v>
      </c>
      <c r="L27" s="3231">
        <v>532.79</v>
      </c>
      <c r="M27" s="3231">
        <v>390.47</v>
      </c>
      <c r="N27" s="3249" t="s">
        <v>3266</v>
      </c>
      <c r="O27" s="3231"/>
    </row>
    <row r="28" spans="1:15" ht="24">
      <c r="A28" s="3249">
        <v>26</v>
      </c>
      <c r="B28" s="3249" t="s">
        <v>3267</v>
      </c>
      <c r="C28" s="3231" t="s">
        <v>3205</v>
      </c>
      <c r="D28" s="3231" t="s">
        <v>27</v>
      </c>
      <c r="E28" s="3231" t="s">
        <v>3259</v>
      </c>
      <c r="F28" s="3249" t="s">
        <v>3260</v>
      </c>
      <c r="G28" s="3231" t="s">
        <v>3325</v>
      </c>
      <c r="H28" s="3231" t="s">
        <v>3344</v>
      </c>
      <c r="I28" s="3249" t="s">
        <v>3263</v>
      </c>
      <c r="J28" s="3231" t="s">
        <v>3345</v>
      </c>
      <c r="K28" s="3231" t="s">
        <v>3346</v>
      </c>
      <c r="L28" s="3231">
        <v>588.83000000000004</v>
      </c>
      <c r="M28" s="3231">
        <v>431.54</v>
      </c>
      <c r="N28" s="3249" t="s">
        <v>3266</v>
      </c>
      <c r="O28" s="3231"/>
    </row>
    <row r="29" spans="1:15" ht="24">
      <c r="A29" s="3249">
        <v>27</v>
      </c>
      <c r="B29" s="3249" t="s">
        <v>3267</v>
      </c>
      <c r="C29" s="3231" t="s">
        <v>3205</v>
      </c>
      <c r="D29" s="3231" t="s">
        <v>27</v>
      </c>
      <c r="E29" s="3231" t="s">
        <v>3259</v>
      </c>
      <c r="F29" s="3249" t="s">
        <v>3260</v>
      </c>
      <c r="G29" s="3231" t="s">
        <v>3325</v>
      </c>
      <c r="H29" s="3231" t="s">
        <v>3347</v>
      </c>
      <c r="I29" s="3249" t="s">
        <v>3263</v>
      </c>
      <c r="J29" s="3231" t="s">
        <v>3348</v>
      </c>
      <c r="K29" s="3231" t="s">
        <v>3349</v>
      </c>
      <c r="L29" s="3231">
        <v>607.96</v>
      </c>
      <c r="M29" s="3231">
        <v>445.56</v>
      </c>
      <c r="N29" s="3249" t="s">
        <v>3266</v>
      </c>
      <c r="O29" s="3231"/>
    </row>
    <row r="30" spans="1:15" ht="24">
      <c r="A30" s="3249">
        <v>28</v>
      </c>
      <c r="B30" s="3249" t="s">
        <v>3267</v>
      </c>
      <c r="C30" s="3231" t="s">
        <v>3205</v>
      </c>
      <c r="D30" s="3231" t="s">
        <v>1102</v>
      </c>
      <c r="E30" s="3231" t="s">
        <v>3259</v>
      </c>
      <c r="F30" s="3249" t="s">
        <v>3260</v>
      </c>
      <c r="G30" s="3231" t="s">
        <v>3350</v>
      </c>
      <c r="H30" s="3231" t="s">
        <v>3351</v>
      </c>
      <c r="I30" s="3249" t="s">
        <v>3263</v>
      </c>
      <c r="J30" s="3231" t="s">
        <v>3352</v>
      </c>
      <c r="K30" s="3231" t="s">
        <v>3353</v>
      </c>
      <c r="L30" s="3231">
        <v>2033.87</v>
      </c>
      <c r="M30" s="3231">
        <v>1541.17</v>
      </c>
      <c r="N30" s="3249" t="s">
        <v>3266</v>
      </c>
      <c r="O30" s="3231" t="s">
        <v>3354</v>
      </c>
    </row>
    <row r="31" spans="1:15" s="3251" customFormat="1" ht="24">
      <c r="A31" s="3249">
        <v>29</v>
      </c>
      <c r="B31" s="3249" t="s">
        <v>3267</v>
      </c>
      <c r="C31" s="3249" t="s">
        <v>3205</v>
      </c>
      <c r="D31" s="3249" t="s">
        <v>1102</v>
      </c>
      <c r="E31" s="3249" t="s">
        <v>3259</v>
      </c>
      <c r="F31" s="3249" t="s">
        <v>3260</v>
      </c>
      <c r="G31" s="3249" t="s">
        <v>3350</v>
      </c>
      <c r="H31" s="3249" t="s">
        <v>3355</v>
      </c>
      <c r="I31" s="3249" t="s">
        <v>3263</v>
      </c>
      <c r="J31" s="3249" t="s">
        <v>3356</v>
      </c>
      <c r="K31" s="3249" t="s">
        <v>3357</v>
      </c>
      <c r="L31" s="3249">
        <v>1955.8</v>
      </c>
      <c r="M31" s="3250">
        <v>1482.01</v>
      </c>
      <c r="N31" s="3249" t="s">
        <v>3266</v>
      </c>
      <c r="O31" s="3249" t="s">
        <v>3354</v>
      </c>
    </row>
    <row r="32" spans="1:15" ht="24">
      <c r="A32" s="3249">
        <v>30</v>
      </c>
      <c r="B32" s="3249" t="s">
        <v>3267</v>
      </c>
      <c r="C32" s="3231" t="s">
        <v>3205</v>
      </c>
      <c r="D32" s="3231" t="s">
        <v>1102</v>
      </c>
      <c r="E32" s="3231" t="s">
        <v>3259</v>
      </c>
      <c r="F32" s="3249" t="s">
        <v>3260</v>
      </c>
      <c r="G32" s="3231" t="s">
        <v>3350</v>
      </c>
      <c r="H32" s="3231" t="s">
        <v>3358</v>
      </c>
      <c r="I32" s="3249" t="s">
        <v>3263</v>
      </c>
      <c r="J32" s="3231" t="s">
        <v>3359</v>
      </c>
      <c r="K32" s="3231" t="s">
        <v>3360</v>
      </c>
      <c r="L32" s="3231">
        <v>2440.89</v>
      </c>
      <c r="M32" s="3231">
        <v>1849.59</v>
      </c>
      <c r="N32" s="3249" t="s">
        <v>3266</v>
      </c>
      <c r="O32" s="3231" t="s">
        <v>3354</v>
      </c>
    </row>
    <row r="33" spans="1:15" ht="24">
      <c r="A33" s="3249">
        <v>31</v>
      </c>
      <c r="B33" s="3249" t="s">
        <v>3267</v>
      </c>
      <c r="C33" s="3231" t="s">
        <v>3205</v>
      </c>
      <c r="D33" s="3231" t="s">
        <v>1102</v>
      </c>
      <c r="E33" s="3231" t="s">
        <v>3259</v>
      </c>
      <c r="F33" s="3249" t="s">
        <v>3260</v>
      </c>
      <c r="G33" s="3231" t="s">
        <v>3350</v>
      </c>
      <c r="H33" s="3231" t="s">
        <v>3361</v>
      </c>
      <c r="I33" s="3249" t="s">
        <v>3263</v>
      </c>
      <c r="J33" s="3231" t="s">
        <v>3362</v>
      </c>
      <c r="K33" s="3231" t="s">
        <v>3363</v>
      </c>
      <c r="L33" s="3231">
        <v>1990.1</v>
      </c>
      <c r="M33" s="3231">
        <v>1508</v>
      </c>
      <c r="N33" s="3249" t="s">
        <v>3266</v>
      </c>
      <c r="O33" s="3231" t="s">
        <v>3354</v>
      </c>
    </row>
    <row r="34" spans="1:15" ht="24">
      <c r="A34" s="3249">
        <v>32</v>
      </c>
      <c r="B34" s="3249" t="s">
        <v>3267</v>
      </c>
      <c r="C34" s="3231" t="s">
        <v>3205</v>
      </c>
      <c r="D34" s="3231" t="s">
        <v>1102</v>
      </c>
      <c r="E34" s="3231" t="s">
        <v>3259</v>
      </c>
      <c r="F34" s="3249" t="s">
        <v>3260</v>
      </c>
      <c r="G34" s="3231" t="s">
        <v>3350</v>
      </c>
      <c r="H34" s="3231" t="s">
        <v>3364</v>
      </c>
      <c r="I34" s="3249" t="s">
        <v>3263</v>
      </c>
      <c r="J34" s="3231" t="s">
        <v>3365</v>
      </c>
      <c r="K34" s="3231" t="s">
        <v>3366</v>
      </c>
      <c r="L34" s="3231">
        <v>1768.19</v>
      </c>
      <c r="M34" s="3231">
        <v>1339.85</v>
      </c>
      <c r="N34" s="3249" t="s">
        <v>3266</v>
      </c>
      <c r="O34" s="3231" t="s">
        <v>3354</v>
      </c>
    </row>
    <row r="35" spans="1:15" ht="24">
      <c r="A35" s="3249">
        <v>33</v>
      </c>
      <c r="B35" s="3249" t="s">
        <v>3267</v>
      </c>
      <c r="C35" s="3231" t="s">
        <v>3220</v>
      </c>
      <c r="D35" s="3231" t="s">
        <v>1102</v>
      </c>
      <c r="E35" s="3231" t="s">
        <v>3259</v>
      </c>
      <c r="F35" s="3231" t="s">
        <v>3367</v>
      </c>
      <c r="G35" s="3231" t="s">
        <v>3261</v>
      </c>
      <c r="H35" s="3231" t="s">
        <v>3368</v>
      </c>
      <c r="I35" s="3249" t="s">
        <v>3369</v>
      </c>
      <c r="J35" s="3231" t="s">
        <v>3370</v>
      </c>
      <c r="K35" s="3231" t="s">
        <v>3371</v>
      </c>
      <c r="L35" s="3231">
        <v>89.94</v>
      </c>
      <c r="M35" s="3231">
        <v>69.45</v>
      </c>
      <c r="N35" s="3249" t="s">
        <v>3266</v>
      </c>
      <c r="O35" s="3231" t="s">
        <v>3372</v>
      </c>
    </row>
    <row r="36" spans="1:15" ht="24">
      <c r="A36" s="3249">
        <v>34</v>
      </c>
      <c r="B36" s="3249" t="s">
        <v>3267</v>
      </c>
      <c r="C36" s="3231" t="s">
        <v>3220</v>
      </c>
      <c r="D36" s="3231" t="s">
        <v>1102</v>
      </c>
      <c r="E36" s="3231" t="s">
        <v>3259</v>
      </c>
      <c r="F36" s="3231" t="s">
        <v>3367</v>
      </c>
      <c r="G36" s="3231" t="s">
        <v>3261</v>
      </c>
      <c r="H36" s="3231" t="s">
        <v>3373</v>
      </c>
      <c r="I36" s="3249" t="s">
        <v>3369</v>
      </c>
      <c r="J36" s="3231" t="s">
        <v>3374</v>
      </c>
      <c r="K36" s="3231" t="s">
        <v>3375</v>
      </c>
      <c r="L36" s="3231">
        <v>95.51</v>
      </c>
      <c r="M36" s="3231">
        <v>73.75</v>
      </c>
      <c r="N36" s="3249" t="s">
        <v>3266</v>
      </c>
      <c r="O36" s="3231" t="s">
        <v>3372</v>
      </c>
    </row>
    <row r="37" spans="1:15" ht="24">
      <c r="A37" s="3249">
        <v>35</v>
      </c>
      <c r="B37" s="3249" t="s">
        <v>3267</v>
      </c>
      <c r="C37" s="3231" t="s">
        <v>3220</v>
      </c>
      <c r="D37" s="3231" t="s">
        <v>1102</v>
      </c>
      <c r="E37" s="3231" t="s">
        <v>3259</v>
      </c>
      <c r="F37" s="3231" t="s">
        <v>3367</v>
      </c>
      <c r="G37" s="3231" t="s">
        <v>3261</v>
      </c>
      <c r="H37" s="3231" t="s">
        <v>3376</v>
      </c>
      <c r="I37" s="3249" t="s">
        <v>3369</v>
      </c>
      <c r="J37" s="3231" t="s">
        <v>3377</v>
      </c>
      <c r="K37" s="3231" t="s">
        <v>3378</v>
      </c>
      <c r="L37" s="3231">
        <v>71.849999999999994</v>
      </c>
      <c r="M37" s="3231">
        <v>55.48</v>
      </c>
      <c r="N37" s="3249" t="s">
        <v>3266</v>
      </c>
      <c r="O37" s="3231"/>
    </row>
    <row r="38" spans="1:15" ht="24">
      <c r="A38" s="3249">
        <v>36</v>
      </c>
      <c r="B38" s="3249" t="s">
        <v>3267</v>
      </c>
      <c r="C38" s="3231" t="s">
        <v>3220</v>
      </c>
      <c r="D38" s="3231" t="s">
        <v>1102</v>
      </c>
      <c r="E38" s="3231" t="s">
        <v>3259</v>
      </c>
      <c r="F38" s="3231" t="s">
        <v>3367</v>
      </c>
      <c r="G38" s="3231" t="s">
        <v>3261</v>
      </c>
      <c r="H38" s="3231" t="s">
        <v>3379</v>
      </c>
      <c r="I38" s="3249" t="s">
        <v>3369</v>
      </c>
      <c r="J38" s="3231" t="s">
        <v>3380</v>
      </c>
      <c r="K38" s="3231" t="s">
        <v>3381</v>
      </c>
      <c r="L38" s="3231">
        <v>152.96</v>
      </c>
      <c r="M38" s="3231">
        <v>118.11</v>
      </c>
      <c r="N38" s="3249" t="s">
        <v>3266</v>
      </c>
      <c r="O38" s="3231"/>
    </row>
    <row r="39" spans="1:15" ht="24">
      <c r="A39" s="3249">
        <v>37</v>
      </c>
      <c r="B39" s="3249" t="s">
        <v>3267</v>
      </c>
      <c r="C39" s="3231" t="s">
        <v>3220</v>
      </c>
      <c r="D39" s="3231" t="s">
        <v>1102</v>
      </c>
      <c r="E39" s="3231" t="s">
        <v>3259</v>
      </c>
      <c r="F39" s="3231" t="s">
        <v>3367</v>
      </c>
      <c r="G39" s="3231" t="s">
        <v>3261</v>
      </c>
      <c r="H39" s="3231" t="s">
        <v>3382</v>
      </c>
      <c r="I39" s="3249" t="s">
        <v>3369</v>
      </c>
      <c r="J39" s="3231" t="s">
        <v>3383</v>
      </c>
      <c r="K39" s="3231" t="s">
        <v>3384</v>
      </c>
      <c r="L39" s="3231">
        <v>1565.97</v>
      </c>
      <c r="M39" s="3231">
        <v>1209.17</v>
      </c>
      <c r="N39" s="3249" t="s">
        <v>3266</v>
      </c>
      <c r="O39" s="3231"/>
    </row>
    <row r="40" spans="1:15" ht="24">
      <c r="A40" s="3249">
        <v>38</v>
      </c>
      <c r="B40" s="3249" t="s">
        <v>3267</v>
      </c>
      <c r="C40" s="3231" t="s">
        <v>3220</v>
      </c>
      <c r="D40" s="3231" t="s">
        <v>1102</v>
      </c>
      <c r="E40" s="3231" t="s">
        <v>3259</v>
      </c>
      <c r="F40" s="3231" t="s">
        <v>3367</v>
      </c>
      <c r="G40" s="3231" t="s">
        <v>3261</v>
      </c>
      <c r="H40" s="3231" t="s">
        <v>3385</v>
      </c>
      <c r="I40" s="3249" t="s">
        <v>3369</v>
      </c>
      <c r="J40" s="3231" t="s">
        <v>3386</v>
      </c>
      <c r="K40" s="3231" t="s">
        <v>3387</v>
      </c>
      <c r="L40" s="3231">
        <v>1443.64</v>
      </c>
      <c r="M40" s="3231">
        <v>1114.71</v>
      </c>
      <c r="N40" s="3249" t="s">
        <v>3266</v>
      </c>
      <c r="O40" s="3231"/>
    </row>
    <row r="41" spans="1:15" ht="24">
      <c r="A41" s="3249">
        <v>39</v>
      </c>
      <c r="B41" s="3249" t="s">
        <v>3267</v>
      </c>
      <c r="C41" s="3231" t="s">
        <v>3220</v>
      </c>
      <c r="D41" s="3231" t="s">
        <v>1102</v>
      </c>
      <c r="E41" s="3231" t="s">
        <v>3259</v>
      </c>
      <c r="F41" s="3231" t="s">
        <v>3367</v>
      </c>
      <c r="G41" s="3231" t="s">
        <v>3290</v>
      </c>
      <c r="H41" s="3231" t="s">
        <v>3388</v>
      </c>
      <c r="I41" s="3249" t="s">
        <v>3369</v>
      </c>
      <c r="J41" s="3231" t="s">
        <v>3389</v>
      </c>
      <c r="K41" s="3231" t="s">
        <v>3390</v>
      </c>
      <c r="L41" s="3231">
        <v>106.34</v>
      </c>
      <c r="M41" s="3231">
        <v>82.11</v>
      </c>
      <c r="N41" s="3249" t="s">
        <v>3266</v>
      </c>
      <c r="O41" s="3231"/>
    </row>
    <row r="42" spans="1:15" ht="24">
      <c r="A42" s="3249">
        <v>40</v>
      </c>
      <c r="B42" s="3249" t="s">
        <v>3267</v>
      </c>
      <c r="C42" s="3231" t="s">
        <v>3220</v>
      </c>
      <c r="D42" s="3231" t="s">
        <v>1102</v>
      </c>
      <c r="E42" s="3231" t="s">
        <v>3259</v>
      </c>
      <c r="F42" s="3231" t="s">
        <v>3367</v>
      </c>
      <c r="G42" s="3231" t="s">
        <v>3290</v>
      </c>
      <c r="H42" s="3231" t="s">
        <v>3391</v>
      </c>
      <c r="I42" s="3249" t="s">
        <v>3369</v>
      </c>
      <c r="J42" s="3231" t="s">
        <v>3392</v>
      </c>
      <c r="K42" s="3231" t="s">
        <v>3393</v>
      </c>
      <c r="L42" s="3231">
        <v>158.84</v>
      </c>
      <c r="M42" s="3231">
        <v>122.65</v>
      </c>
      <c r="N42" s="3249" t="s">
        <v>3266</v>
      </c>
      <c r="O42" s="3231"/>
    </row>
    <row r="43" spans="1:15" ht="24">
      <c r="A43" s="3249">
        <v>41</v>
      </c>
      <c r="B43" s="3249" t="s">
        <v>3267</v>
      </c>
      <c r="C43" s="3231" t="s">
        <v>3220</v>
      </c>
      <c r="D43" s="3231" t="s">
        <v>1102</v>
      </c>
      <c r="E43" s="3231" t="s">
        <v>3259</v>
      </c>
      <c r="F43" s="3231" t="s">
        <v>3367</v>
      </c>
      <c r="G43" s="3231" t="s">
        <v>3290</v>
      </c>
      <c r="H43" s="3231" t="s">
        <v>3394</v>
      </c>
      <c r="I43" s="3249" t="s">
        <v>3369</v>
      </c>
      <c r="J43" s="3231" t="s">
        <v>3395</v>
      </c>
      <c r="K43" s="3231" t="s">
        <v>3396</v>
      </c>
      <c r="L43" s="3231">
        <v>121.71</v>
      </c>
      <c r="M43" s="3231">
        <v>93.98</v>
      </c>
      <c r="N43" s="3249" t="s">
        <v>3266</v>
      </c>
      <c r="O43" s="3231"/>
    </row>
    <row r="44" spans="1:15" ht="24">
      <c r="A44" s="3249">
        <v>42</v>
      </c>
      <c r="B44" s="3249" t="s">
        <v>3267</v>
      </c>
      <c r="C44" s="3231" t="s">
        <v>3220</v>
      </c>
      <c r="D44" s="3231" t="s">
        <v>27</v>
      </c>
      <c r="E44" s="3231" t="s">
        <v>3259</v>
      </c>
      <c r="F44" s="3231" t="s">
        <v>3367</v>
      </c>
      <c r="G44" s="3231" t="s">
        <v>3300</v>
      </c>
      <c r="H44" s="3231" t="s">
        <v>3301</v>
      </c>
      <c r="I44" s="3249" t="s">
        <v>3369</v>
      </c>
      <c r="J44" s="3231" t="s">
        <v>3397</v>
      </c>
      <c r="K44" s="3231" t="s">
        <v>3398</v>
      </c>
      <c r="L44" s="3231">
        <v>913.81</v>
      </c>
      <c r="M44" s="3231">
        <v>705.6</v>
      </c>
      <c r="N44" s="3249" t="s">
        <v>3266</v>
      </c>
      <c r="O44" s="3231"/>
    </row>
    <row r="45" spans="1:15" ht="24">
      <c r="A45" s="3249">
        <v>43</v>
      </c>
      <c r="B45" s="3249" t="s">
        <v>3267</v>
      </c>
      <c r="C45" s="3231" t="s">
        <v>3220</v>
      </c>
      <c r="D45" s="3231" t="s">
        <v>27</v>
      </c>
      <c r="E45" s="3231" t="s">
        <v>3259</v>
      </c>
      <c r="F45" s="3231" t="s">
        <v>3367</v>
      </c>
      <c r="G45" s="3231" t="s">
        <v>3300</v>
      </c>
      <c r="H45" s="3231" t="s">
        <v>3304</v>
      </c>
      <c r="I45" s="3249" t="s">
        <v>3369</v>
      </c>
      <c r="J45" s="3231" t="s">
        <v>3399</v>
      </c>
      <c r="K45" s="3231" t="s">
        <v>3400</v>
      </c>
      <c r="L45" s="3231">
        <v>1457.29</v>
      </c>
      <c r="M45" s="3231">
        <v>1125.25</v>
      </c>
      <c r="N45" s="3249" t="s">
        <v>3266</v>
      </c>
      <c r="O45" s="3231"/>
    </row>
    <row r="46" spans="1:15" ht="24">
      <c r="A46" s="3249">
        <v>44</v>
      </c>
      <c r="B46" s="3249" t="s">
        <v>3267</v>
      </c>
      <c r="C46" s="3231" t="s">
        <v>3220</v>
      </c>
      <c r="D46" s="3231" t="s">
        <v>27</v>
      </c>
      <c r="E46" s="3231" t="s">
        <v>3259</v>
      </c>
      <c r="F46" s="3231" t="s">
        <v>3367</v>
      </c>
      <c r="G46" s="3231" t="s">
        <v>3300</v>
      </c>
      <c r="H46" s="3231" t="s">
        <v>3316</v>
      </c>
      <c r="I46" s="3249" t="s">
        <v>3369</v>
      </c>
      <c r="J46" s="3231" t="s">
        <v>3401</v>
      </c>
      <c r="K46" s="3231" t="s">
        <v>3402</v>
      </c>
      <c r="L46" s="3231">
        <v>1122.6500000000001</v>
      </c>
      <c r="M46" s="3231">
        <v>866.86</v>
      </c>
      <c r="N46" s="3249" t="s">
        <v>3266</v>
      </c>
      <c r="O46" s="3231"/>
    </row>
    <row r="47" spans="1:15" ht="24">
      <c r="A47" s="3249">
        <v>45</v>
      </c>
      <c r="B47" s="3249" t="s">
        <v>3267</v>
      </c>
      <c r="C47" s="3231" t="s">
        <v>3220</v>
      </c>
      <c r="D47" s="3231" t="s">
        <v>27</v>
      </c>
      <c r="E47" s="3231" t="s">
        <v>3259</v>
      </c>
      <c r="F47" s="3231" t="s">
        <v>3367</v>
      </c>
      <c r="G47" s="3231" t="s">
        <v>3300</v>
      </c>
      <c r="H47" s="3231" t="s">
        <v>3403</v>
      </c>
      <c r="I47" s="3249" t="s">
        <v>3369</v>
      </c>
      <c r="J47" s="3231" t="s">
        <v>3404</v>
      </c>
      <c r="K47" s="3231" t="s">
        <v>3405</v>
      </c>
      <c r="L47" s="3231">
        <v>625.16</v>
      </c>
      <c r="M47" s="3231">
        <v>482.72</v>
      </c>
      <c r="N47" s="3249" t="s">
        <v>3266</v>
      </c>
      <c r="O47" s="3231"/>
    </row>
    <row r="48" spans="1:15" ht="24">
      <c r="A48" s="3249">
        <v>46</v>
      </c>
      <c r="B48" s="3249" t="s">
        <v>3267</v>
      </c>
      <c r="C48" s="3231" t="s">
        <v>3220</v>
      </c>
      <c r="D48" s="3231" t="s">
        <v>27</v>
      </c>
      <c r="E48" s="3231" t="s">
        <v>3259</v>
      </c>
      <c r="F48" s="3231" t="s">
        <v>3367</v>
      </c>
      <c r="G48" s="3231" t="s">
        <v>3325</v>
      </c>
      <c r="H48" s="3231" t="s">
        <v>3326</v>
      </c>
      <c r="I48" s="3249" t="s">
        <v>3369</v>
      </c>
      <c r="J48" s="3231" t="s">
        <v>3406</v>
      </c>
      <c r="K48" s="3231" t="s">
        <v>3407</v>
      </c>
      <c r="L48" s="3231">
        <v>937.45</v>
      </c>
      <c r="M48" s="3231">
        <v>723.85</v>
      </c>
      <c r="N48" s="3249" t="s">
        <v>3266</v>
      </c>
      <c r="O48" s="3231"/>
    </row>
    <row r="49" spans="1:15" ht="24">
      <c r="A49" s="3249">
        <v>47</v>
      </c>
      <c r="B49" s="3249" t="s">
        <v>3267</v>
      </c>
      <c r="C49" s="3231" t="s">
        <v>3220</v>
      </c>
      <c r="D49" s="3231" t="s">
        <v>27</v>
      </c>
      <c r="E49" s="3231" t="s">
        <v>3259</v>
      </c>
      <c r="F49" s="3231" t="s">
        <v>3367</v>
      </c>
      <c r="G49" s="3231" t="s">
        <v>3325</v>
      </c>
      <c r="H49" s="3231" t="s">
        <v>3329</v>
      </c>
      <c r="I49" s="3249" t="s">
        <v>3369</v>
      </c>
      <c r="J49" s="3231" t="s">
        <v>3408</v>
      </c>
      <c r="K49" s="3231" t="s">
        <v>3409</v>
      </c>
      <c r="L49" s="3231">
        <v>663.43</v>
      </c>
      <c r="M49" s="3231">
        <v>512.27</v>
      </c>
      <c r="N49" s="3249" t="s">
        <v>3266</v>
      </c>
      <c r="O49" s="3231"/>
    </row>
    <row r="50" spans="1:15" ht="24">
      <c r="A50" s="3249">
        <v>48</v>
      </c>
      <c r="B50" s="3249" t="s">
        <v>3267</v>
      </c>
      <c r="C50" s="3231" t="s">
        <v>3220</v>
      </c>
      <c r="D50" s="3231" t="s">
        <v>27</v>
      </c>
      <c r="E50" s="3231" t="s">
        <v>3259</v>
      </c>
      <c r="F50" s="3231" t="s">
        <v>3367</v>
      </c>
      <c r="G50" s="3231" t="s">
        <v>3325</v>
      </c>
      <c r="H50" s="3231" t="s">
        <v>3332</v>
      </c>
      <c r="I50" s="3249" t="s">
        <v>3369</v>
      </c>
      <c r="J50" s="3231" t="s">
        <v>3410</v>
      </c>
      <c r="K50" s="3231" t="s">
        <v>3411</v>
      </c>
      <c r="L50" s="3231">
        <v>915.78</v>
      </c>
      <c r="M50" s="3231">
        <v>707.12</v>
      </c>
      <c r="N50" s="3249" t="s">
        <v>3266</v>
      </c>
      <c r="O50" s="3231"/>
    </row>
    <row r="51" spans="1:15" ht="24">
      <c r="A51" s="3249">
        <v>49</v>
      </c>
      <c r="B51" s="3249" t="s">
        <v>3267</v>
      </c>
      <c r="C51" s="3231" t="s">
        <v>3220</v>
      </c>
      <c r="D51" s="3231" t="s">
        <v>27</v>
      </c>
      <c r="E51" s="3231" t="s">
        <v>3259</v>
      </c>
      <c r="F51" s="3231" t="s">
        <v>3367</v>
      </c>
      <c r="G51" s="3231" t="s">
        <v>3325</v>
      </c>
      <c r="H51" s="3231" t="s">
        <v>3412</v>
      </c>
      <c r="I51" s="3249" t="s">
        <v>3369</v>
      </c>
      <c r="J51" s="3231" t="s">
        <v>3413</v>
      </c>
      <c r="K51" s="3231" t="s">
        <v>3414</v>
      </c>
      <c r="L51" s="3231">
        <v>720.18</v>
      </c>
      <c r="M51" s="3231">
        <v>556.09</v>
      </c>
      <c r="N51" s="3249" t="s">
        <v>3266</v>
      </c>
      <c r="O51" s="3231"/>
    </row>
    <row r="52" spans="1:15" ht="24">
      <c r="A52" s="3249">
        <v>50</v>
      </c>
      <c r="B52" s="3249" t="s">
        <v>3267</v>
      </c>
      <c r="C52" s="3231" t="s">
        <v>3220</v>
      </c>
      <c r="D52" s="3231" t="s">
        <v>27</v>
      </c>
      <c r="E52" s="3231" t="s">
        <v>3259</v>
      </c>
      <c r="F52" s="3231" t="s">
        <v>3367</v>
      </c>
      <c r="G52" s="3231" t="s">
        <v>3325</v>
      </c>
      <c r="H52" s="3231" t="s">
        <v>3338</v>
      </c>
      <c r="I52" s="3249" t="s">
        <v>3369</v>
      </c>
      <c r="J52" s="3231" t="s">
        <v>3415</v>
      </c>
      <c r="K52" s="3231" t="s">
        <v>3416</v>
      </c>
      <c r="L52" s="3231">
        <v>488.34</v>
      </c>
      <c r="M52" s="3231">
        <v>377.07</v>
      </c>
      <c r="N52" s="3249" t="s">
        <v>3266</v>
      </c>
      <c r="O52" s="3231"/>
    </row>
    <row r="53" spans="1:15" ht="24">
      <c r="A53" s="3249">
        <v>51</v>
      </c>
      <c r="B53" s="3249" t="s">
        <v>3267</v>
      </c>
      <c r="C53" s="3231" t="s">
        <v>3220</v>
      </c>
      <c r="D53" s="3231" t="s">
        <v>27</v>
      </c>
      <c r="E53" s="3231" t="s">
        <v>3259</v>
      </c>
      <c r="F53" s="3231" t="s">
        <v>3367</v>
      </c>
      <c r="G53" s="3231" t="s">
        <v>3325</v>
      </c>
      <c r="H53" s="3231" t="s">
        <v>3341</v>
      </c>
      <c r="I53" s="3249" t="s">
        <v>3369</v>
      </c>
      <c r="J53" s="3231" t="s">
        <v>3417</v>
      </c>
      <c r="K53" s="3231" t="s">
        <v>3418</v>
      </c>
      <c r="L53" s="3231">
        <v>964.43</v>
      </c>
      <c r="M53" s="3231">
        <v>744.69</v>
      </c>
      <c r="N53" s="3249" t="s">
        <v>3266</v>
      </c>
      <c r="O53" s="3231"/>
    </row>
    <row r="54" spans="1:15" ht="24">
      <c r="A54" s="3249">
        <v>52</v>
      </c>
      <c r="B54" s="3249" t="s">
        <v>3267</v>
      </c>
      <c r="C54" s="3231" t="s">
        <v>3220</v>
      </c>
      <c r="D54" s="3231" t="s">
        <v>27</v>
      </c>
      <c r="E54" s="3231" t="s">
        <v>3259</v>
      </c>
      <c r="F54" s="3231" t="s">
        <v>3367</v>
      </c>
      <c r="G54" s="3231" t="s">
        <v>3325</v>
      </c>
      <c r="H54" s="3231" t="s">
        <v>3344</v>
      </c>
      <c r="I54" s="3249" t="s">
        <v>3369</v>
      </c>
      <c r="J54" s="3231" t="s">
        <v>3419</v>
      </c>
      <c r="K54" s="3231" t="s">
        <v>3420</v>
      </c>
      <c r="L54" s="3231">
        <v>732.38</v>
      </c>
      <c r="M54" s="3231">
        <v>565.51</v>
      </c>
      <c r="N54" s="3249" t="s">
        <v>3266</v>
      </c>
      <c r="O54" s="3231"/>
    </row>
    <row r="55" spans="1:15" ht="24">
      <c r="A55" s="3249">
        <v>53</v>
      </c>
      <c r="B55" s="3249" t="s">
        <v>3267</v>
      </c>
      <c r="C55" s="3231" t="s">
        <v>3220</v>
      </c>
      <c r="D55" s="3231" t="s">
        <v>27</v>
      </c>
      <c r="E55" s="3231" t="s">
        <v>3259</v>
      </c>
      <c r="F55" s="3231" t="s">
        <v>3367</v>
      </c>
      <c r="G55" s="3231" t="s">
        <v>3325</v>
      </c>
      <c r="H55" s="3231" t="s">
        <v>3421</v>
      </c>
      <c r="I55" s="3249" t="s">
        <v>3369</v>
      </c>
      <c r="J55" s="3231" t="s">
        <v>3422</v>
      </c>
      <c r="K55" s="3231" t="s">
        <v>3423</v>
      </c>
      <c r="L55" s="3231">
        <v>398.61</v>
      </c>
      <c r="M55" s="3231">
        <v>307.79000000000002</v>
      </c>
      <c r="N55" s="3249" t="s">
        <v>3266</v>
      </c>
      <c r="O55" s="3231"/>
    </row>
    <row r="56" spans="1:15" ht="24">
      <c r="A56" s="3249">
        <v>54</v>
      </c>
      <c r="B56" s="3249" t="s">
        <v>3267</v>
      </c>
      <c r="C56" s="3231" t="s">
        <v>3220</v>
      </c>
      <c r="D56" s="3231" t="s">
        <v>1102</v>
      </c>
      <c r="E56" s="3231" t="s">
        <v>3259</v>
      </c>
      <c r="F56" s="3231" t="s">
        <v>3367</v>
      </c>
      <c r="G56" s="3231" t="s">
        <v>3350</v>
      </c>
      <c r="H56" s="3231" t="s">
        <v>3355</v>
      </c>
      <c r="I56" s="3249" t="s">
        <v>3369</v>
      </c>
      <c r="J56" s="3231" t="s">
        <v>3424</v>
      </c>
      <c r="K56" s="3231" t="s">
        <v>3425</v>
      </c>
      <c r="L56" s="3231">
        <v>1230.2</v>
      </c>
      <c r="M56" s="3231">
        <v>949.9</v>
      </c>
      <c r="N56" s="3249" t="s">
        <v>3266</v>
      </c>
      <c r="O56" s="3231"/>
    </row>
    <row r="57" spans="1:15" ht="24">
      <c r="A57" s="3249">
        <v>55</v>
      </c>
      <c r="B57" s="3249" t="s">
        <v>3267</v>
      </c>
      <c r="C57" s="3231" t="s">
        <v>3220</v>
      </c>
      <c r="D57" s="3231" t="s">
        <v>1102</v>
      </c>
      <c r="E57" s="3231" t="s">
        <v>3259</v>
      </c>
      <c r="F57" s="3231" t="s">
        <v>3367</v>
      </c>
      <c r="G57" s="3231" t="s">
        <v>3350</v>
      </c>
      <c r="H57" s="3231" t="s">
        <v>3358</v>
      </c>
      <c r="I57" s="3249" t="s">
        <v>3369</v>
      </c>
      <c r="J57" s="3231" t="s">
        <v>3426</v>
      </c>
      <c r="K57" s="3231" t="s">
        <v>3427</v>
      </c>
      <c r="L57" s="3231">
        <v>1165.48</v>
      </c>
      <c r="M57" s="3231">
        <v>899.93</v>
      </c>
      <c r="N57" s="3249" t="s">
        <v>3266</v>
      </c>
      <c r="O57" s="3231"/>
    </row>
    <row r="58" spans="1:15" ht="24">
      <c r="A58" s="3249">
        <v>56</v>
      </c>
      <c r="B58" s="3249" t="s">
        <v>3267</v>
      </c>
      <c r="C58" s="3231" t="s">
        <v>3220</v>
      </c>
      <c r="D58" s="3231" t="s">
        <v>1102</v>
      </c>
      <c r="E58" s="3231" t="s">
        <v>3259</v>
      </c>
      <c r="F58" s="3231" t="s">
        <v>3367</v>
      </c>
      <c r="G58" s="3231" t="s">
        <v>3350</v>
      </c>
      <c r="H58" s="3231" t="s">
        <v>3364</v>
      </c>
      <c r="I58" s="3249" t="s">
        <v>3369</v>
      </c>
      <c r="J58" s="3231" t="s">
        <v>3428</v>
      </c>
      <c r="K58" s="3231" t="s">
        <v>3429</v>
      </c>
      <c r="L58" s="3231">
        <v>1531.95</v>
      </c>
      <c r="M58" s="3231">
        <v>1182.9000000000001</v>
      </c>
      <c r="N58" s="3249" t="s">
        <v>3266</v>
      </c>
      <c r="O58" s="3231"/>
    </row>
    <row r="59" spans="1:15" ht="24">
      <c r="A59" s="3249">
        <v>57</v>
      </c>
      <c r="B59" s="3249" t="s">
        <v>3258</v>
      </c>
      <c r="C59" s="3231" t="s">
        <v>3220</v>
      </c>
      <c r="D59" s="3231" t="s">
        <v>1102</v>
      </c>
      <c r="E59" s="3231" t="s">
        <v>3259</v>
      </c>
      <c r="F59" s="3231" t="s">
        <v>3367</v>
      </c>
      <c r="G59" s="3231" t="s">
        <v>3350</v>
      </c>
      <c r="H59" s="3231" t="s">
        <v>3430</v>
      </c>
      <c r="I59" s="3249" t="s">
        <v>3369</v>
      </c>
      <c r="J59" s="3231" t="s">
        <v>3431</v>
      </c>
      <c r="K59" s="3231" t="s">
        <v>3432</v>
      </c>
      <c r="L59" s="3231">
        <v>1945.45</v>
      </c>
      <c r="M59" s="3231">
        <v>1502.18</v>
      </c>
      <c r="N59" s="3249" t="s">
        <v>3266</v>
      </c>
      <c r="O59" s="3231"/>
    </row>
    <row r="60" spans="1:15" s="3230" customFormat="1" ht="33.75" customHeight="1">
      <c r="A60" s="3249">
        <v>58</v>
      </c>
      <c r="B60" s="3231" t="s">
        <v>3204</v>
      </c>
      <c r="C60" s="3231" t="s">
        <v>3205</v>
      </c>
      <c r="D60" s="3231" t="s">
        <v>3206</v>
      </c>
      <c r="E60" s="3231" t="s">
        <v>48</v>
      </c>
      <c r="F60" s="3231" t="s">
        <v>3207</v>
      </c>
      <c r="G60" s="3231" t="s">
        <v>3208</v>
      </c>
      <c r="H60" s="3231" t="s">
        <v>3209</v>
      </c>
      <c r="I60" s="3231" t="s">
        <v>3210</v>
      </c>
      <c r="J60" s="3231" t="s">
        <v>3249</v>
      </c>
      <c r="K60" s="3231" t="s">
        <v>3248</v>
      </c>
      <c r="L60" s="3231">
        <v>666.13</v>
      </c>
      <c r="M60" s="3231">
        <v>607.67999999999995</v>
      </c>
      <c r="N60" s="3231" t="s">
        <v>3211</v>
      </c>
      <c r="O60" s="3231"/>
    </row>
    <row r="61" spans="1:15" s="3230" customFormat="1" ht="30" customHeight="1">
      <c r="A61" s="3249">
        <v>59</v>
      </c>
      <c r="B61" s="3231" t="s">
        <v>3204</v>
      </c>
      <c r="C61" s="3231" t="s">
        <v>3205</v>
      </c>
      <c r="D61" s="3231" t="s">
        <v>3206</v>
      </c>
      <c r="E61" s="3231" t="s">
        <v>48</v>
      </c>
      <c r="F61" s="3231" t="s">
        <v>3207</v>
      </c>
      <c r="G61" s="3231" t="s">
        <v>3212</v>
      </c>
      <c r="H61" s="3231" t="s">
        <v>3213</v>
      </c>
      <c r="I61" s="3231" t="s">
        <v>3210</v>
      </c>
      <c r="J61" s="3231" t="s">
        <v>3214</v>
      </c>
      <c r="K61" s="3231" t="s">
        <v>3215</v>
      </c>
      <c r="L61" s="3231">
        <v>8684.23</v>
      </c>
      <c r="M61" s="3231">
        <v>7922.26</v>
      </c>
      <c r="N61" s="3231" t="s">
        <v>3211</v>
      </c>
      <c r="O61" s="3231"/>
    </row>
    <row r="62" spans="1:15" s="3230" customFormat="1" ht="33.75" customHeight="1">
      <c r="A62" s="3249">
        <v>60</v>
      </c>
      <c r="B62" s="3231" t="s">
        <v>3204</v>
      </c>
      <c r="C62" s="3231" t="s">
        <v>3205</v>
      </c>
      <c r="D62" s="3231" t="s">
        <v>3206</v>
      </c>
      <c r="E62" s="3231" t="s">
        <v>48</v>
      </c>
      <c r="F62" s="3231" t="s">
        <v>3207</v>
      </c>
      <c r="G62" s="3231" t="s">
        <v>3216</v>
      </c>
      <c r="H62" s="3231" t="s">
        <v>3217</v>
      </c>
      <c r="I62" s="3231" t="s">
        <v>3210</v>
      </c>
      <c r="J62" s="3231" t="s">
        <v>3218</v>
      </c>
      <c r="K62" s="3231" t="s">
        <v>3219</v>
      </c>
      <c r="L62" s="3231">
        <v>4884.8100000000004</v>
      </c>
      <c r="M62" s="3231">
        <v>4456.21</v>
      </c>
      <c r="N62" s="3231" t="s">
        <v>3211</v>
      </c>
      <c r="O62" s="3231"/>
    </row>
    <row r="63" spans="1:15" s="3230" customFormat="1" ht="33.75" customHeight="1">
      <c r="A63" s="3249">
        <v>61</v>
      </c>
      <c r="B63" s="3231" t="s">
        <v>3204</v>
      </c>
      <c r="C63" s="3231" t="s">
        <v>3220</v>
      </c>
      <c r="D63" s="3231" t="s">
        <v>3206</v>
      </c>
      <c r="E63" s="3231" t="s">
        <v>48</v>
      </c>
      <c r="F63" s="3231" t="s">
        <v>3221</v>
      </c>
      <c r="G63" s="3231" t="s">
        <v>3212</v>
      </c>
      <c r="H63" s="3231" t="s">
        <v>3222</v>
      </c>
      <c r="I63" s="3231" t="s">
        <v>3223</v>
      </c>
      <c r="J63" s="3231" t="s">
        <v>3224</v>
      </c>
      <c r="K63" s="3231" t="s">
        <v>3225</v>
      </c>
      <c r="L63" s="3231">
        <v>11285.76</v>
      </c>
      <c r="M63" s="3231">
        <v>10128.76</v>
      </c>
      <c r="N63" s="3231" t="s">
        <v>3211</v>
      </c>
      <c r="O63" s="3231"/>
    </row>
    <row r="64" spans="1:15" ht="21.75" customHeight="1">
      <c r="A64" s="3249" t="s">
        <v>3434</v>
      </c>
      <c r="B64" s="3249"/>
      <c r="C64" s="3231"/>
      <c r="D64" s="3231"/>
      <c r="E64" s="3231"/>
      <c r="F64" s="3231"/>
      <c r="G64" s="3231"/>
      <c r="H64" s="3231"/>
      <c r="I64" s="3249"/>
      <c r="J64" s="3231"/>
      <c r="K64" s="3231"/>
      <c r="L64" s="3231">
        <f>SUM(L3:L59)</f>
        <v>45806.049999999981</v>
      </c>
      <c r="M64" s="3231"/>
      <c r="N64" s="3249"/>
      <c r="O64" s="3231"/>
    </row>
    <row r="65" spans="1:15" ht="24">
      <c r="A65" s="3249" t="s">
        <v>3435</v>
      </c>
      <c r="B65" s="3249"/>
      <c r="C65" s="3231"/>
      <c r="D65" s="3231"/>
      <c r="E65" s="3231"/>
      <c r="F65" s="3231"/>
      <c r="G65" s="3231"/>
      <c r="H65" s="3231"/>
      <c r="I65" s="3249"/>
      <c r="J65" s="3231"/>
      <c r="K65" s="3231"/>
      <c r="L65" s="3231">
        <f>SUM(L60:L63)</f>
        <v>25520.93</v>
      </c>
      <c r="M65" s="3231"/>
      <c r="N65" s="3249"/>
      <c r="O65" s="3231"/>
    </row>
    <row r="66" spans="1:15" ht="20.25" customHeight="1">
      <c r="A66" s="3232" t="s">
        <v>3433</v>
      </c>
      <c r="B66" s="3232"/>
      <c r="C66" s="3232"/>
      <c r="D66" s="3232"/>
      <c r="E66" s="3232"/>
      <c r="F66" s="3232"/>
      <c r="G66" s="3232"/>
      <c r="H66" s="3232"/>
      <c r="I66" s="3232"/>
      <c r="J66" s="3232"/>
      <c r="K66" s="3232"/>
      <c r="L66" s="3232">
        <f>SUM(L3:L63)</f>
        <v>71326.979999999967</v>
      </c>
      <c r="M66" s="3232">
        <v>57733.950000000004</v>
      </c>
      <c r="N66" s="3232"/>
      <c r="O66" s="3232"/>
    </row>
    <row r="68" spans="1:15">
      <c r="A68" s="3248" t="s">
        <v>3463</v>
      </c>
      <c r="L68" s="3248">
        <f>SUM(L3:L34)+L60+L61+L62</f>
        <v>40421.869999999995</v>
      </c>
    </row>
    <row r="69" spans="1:15">
      <c r="A69" s="3248" t="s">
        <v>3464</v>
      </c>
      <c r="L69" s="3248">
        <f>SUM(L35:L59)+L63</f>
        <v>30905.11</v>
      </c>
    </row>
  </sheetData>
  <phoneticPr fontId="140" type="noConversion"/>
  <pageMargins left="0.7" right="0.7" top="0.75" bottom="0.75" header="0.3" footer="0.3"/>
  <ignoredErrors>
    <ignoredError sqref="L64:L6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85" zoomScaleNormal="85" zoomScaleSheetLayoutView="90" workbookViewId="0">
      <selection activeCell="G19" sqref="G19"/>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5"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45" t="s">
        <v>1576</v>
      </c>
      <c r="B2" s="3345"/>
      <c r="C2" s="3345"/>
      <c r="D2" s="885" t="s">
        <v>1552</v>
      </c>
      <c r="E2" s="1775" t="s">
        <v>1553</v>
      </c>
      <c r="F2" s="2835"/>
      <c r="G2" s="2826"/>
      <c r="H2" s="2827"/>
      <c r="I2" s="2499" t="s">
        <v>1577</v>
      </c>
      <c r="J2" s="2835"/>
      <c r="K2" s="2835"/>
      <c r="L2" s="2835"/>
      <c r="M2" s="2835"/>
      <c r="N2" s="2837"/>
      <c r="O2" s="2835"/>
      <c r="P2" s="2835"/>
    </row>
    <row r="3" spans="1:16" ht="15.75" thickBot="1">
      <c r="A3" s="3346" t="s">
        <v>1550</v>
      </c>
      <c r="B3" s="3346"/>
      <c r="C3" s="3346"/>
      <c r="D3" s="46">
        <f>'数据-基础表'!AY6</f>
        <v>18060.05</v>
      </c>
      <c r="E3" s="46">
        <f>'数据-基础表'!AZ5</f>
        <v>40421.870000000003</v>
      </c>
      <c r="F3" s="2835"/>
      <c r="G3" s="1260"/>
      <c r="H3" s="1138" t="s">
        <v>1551</v>
      </c>
      <c r="I3" s="945">
        <f>ROUND('数据-基础表'!B3/'数据-基础表'!A3,2)</f>
        <v>2.2400000000000002</v>
      </c>
      <c r="J3" s="2835"/>
      <c r="K3" s="2835"/>
      <c r="L3" s="2835"/>
      <c r="M3" s="2835"/>
      <c r="N3" s="2837"/>
      <c r="O3" s="2835"/>
      <c r="P3" s="2835"/>
    </row>
    <row r="4" spans="1:16" ht="15">
      <c r="A4" s="3347"/>
      <c r="B4" s="3348"/>
      <c r="C4" s="3349"/>
      <c r="D4" s="1777" t="s">
        <v>1552</v>
      </c>
      <c r="E4" s="1778" t="s">
        <v>1553</v>
      </c>
      <c r="F4" s="2835"/>
      <c r="G4" s="2828" t="s">
        <v>1578</v>
      </c>
      <c r="H4" s="1138" t="s">
        <v>1558</v>
      </c>
      <c r="I4" s="945">
        <f>ROUND(SUMIF('数据-基础表'!I9:AS9,"地上",'数据-基础表'!I5:AS5)/'数据-基础表'!A3,2)</f>
        <v>0.89</v>
      </c>
      <c r="J4" s="2835"/>
      <c r="K4" s="2835"/>
      <c r="L4" s="2835"/>
      <c r="M4" s="2835"/>
      <c r="N4" s="2837"/>
      <c r="O4" s="2835"/>
      <c r="P4" s="2835"/>
    </row>
    <row r="5" spans="1:16">
      <c r="A5" s="47" t="s">
        <v>1554</v>
      </c>
      <c r="B5" s="3350" t="s">
        <v>1555</v>
      </c>
      <c r="C5" s="3350"/>
      <c r="D5" s="48">
        <f>ROUND($D$3*E5/$E$3,2)</f>
        <v>0</v>
      </c>
      <c r="E5" s="49">
        <f>SUMIF('数据-基础表'!$11:$11,"住宅",'数据-基础表'!$5:$5)</f>
        <v>0</v>
      </c>
      <c r="F5" s="2835"/>
      <c r="G5" s="1260"/>
      <c r="H5" s="1138" t="s">
        <v>1551</v>
      </c>
      <c r="I5" s="945">
        <f>ROUND(E31/D31,2)</f>
        <v>2.2400000000000002</v>
      </c>
      <c r="J5" s="2835"/>
      <c r="K5" s="2835"/>
      <c r="L5" s="2835"/>
      <c r="M5" s="2835"/>
      <c r="N5" s="2835"/>
      <c r="O5" s="2835"/>
      <c r="P5" s="2835"/>
    </row>
    <row r="6" spans="1:16" ht="15" thickBot="1">
      <c r="A6" s="1780"/>
      <c r="B6" s="3350" t="s">
        <v>1556</v>
      </c>
      <c r="C6" s="3350"/>
      <c r="D6" s="48">
        <f>ROUND($D$3*E6/$E$3,2)</f>
        <v>18060.05</v>
      </c>
      <c r="E6" s="49">
        <f>E3-E5</f>
        <v>40421.870000000003</v>
      </c>
      <c r="F6" s="2835"/>
      <c r="G6" s="2829" t="s">
        <v>1557</v>
      </c>
      <c r="H6" s="1261" t="s">
        <v>1558</v>
      </c>
      <c r="I6" s="2830">
        <f>ROUND(F31/D31,2)</f>
        <v>0.89</v>
      </c>
      <c r="J6" s="2835"/>
      <c r="K6" s="2835"/>
      <c r="L6" s="2835"/>
      <c r="M6" s="2835"/>
      <c r="N6" s="2835"/>
      <c r="O6" s="2835"/>
      <c r="P6" s="2835"/>
    </row>
    <row r="7" spans="1:16" ht="15.75" thickBot="1">
      <c r="A7" s="3342"/>
      <c r="B7" s="3343"/>
      <c r="C7" s="3344"/>
      <c r="D7" s="1777" t="s">
        <v>1552</v>
      </c>
      <c r="E7" s="1781" t="s">
        <v>1559</v>
      </c>
      <c r="F7" s="2835"/>
      <c r="G7" s="2831" t="s">
        <v>1560</v>
      </c>
      <c r="H7" s="2832"/>
      <c r="I7" s="2833">
        <v>1.5</v>
      </c>
      <c r="J7" s="2835"/>
      <c r="K7" s="2835"/>
      <c r="L7" s="2835"/>
      <c r="M7" s="2835"/>
      <c r="N7" s="2835"/>
      <c r="O7" s="2835"/>
      <c r="P7" s="2835"/>
    </row>
    <row r="8" spans="1:16">
      <c r="A8" s="47" t="s">
        <v>1561</v>
      </c>
      <c r="B8" s="50" t="s">
        <v>1562</v>
      </c>
      <c r="C8" s="48" t="s">
        <v>1563</v>
      </c>
      <c r="D8" s="48">
        <f t="shared" ref="D8:D15" si="0">ROUND($D$3*E8/$E$3,2)</f>
        <v>7147.66</v>
      </c>
      <c r="E8" s="51">
        <f>SUMIF('数据-基础表'!BB10:BK10,"地上",'数据-基础表'!BB5:BK5)</f>
        <v>15997.850000000002</v>
      </c>
      <c r="F8" s="2835"/>
      <c r="G8" s="2836"/>
      <c r="H8" s="2836"/>
      <c r="I8" s="2835"/>
      <c r="J8" s="2835"/>
      <c r="K8" s="2835"/>
      <c r="L8" s="2835"/>
      <c r="M8" s="2835"/>
      <c r="N8" s="2835"/>
      <c r="O8" s="2835"/>
      <c r="P8" s="2835"/>
    </row>
    <row r="9" spans="1:16">
      <c r="A9" s="1782"/>
      <c r="B9" s="1783"/>
      <c r="C9" s="48" t="s">
        <v>1564</v>
      </c>
      <c r="D9" s="48">
        <f t="shared" si="0"/>
        <v>0</v>
      </c>
      <c r="E9" s="52">
        <v>0</v>
      </c>
      <c r="F9" s="2835"/>
      <c r="G9" s="2836"/>
      <c r="H9" s="2836"/>
      <c r="I9" s="2835"/>
      <c r="J9" s="2835"/>
      <c r="K9" s="2835"/>
      <c r="L9" s="2835"/>
      <c r="M9" s="2835"/>
      <c r="N9" s="2835"/>
      <c r="O9" s="2835"/>
      <c r="P9" s="2835"/>
    </row>
    <row r="10" spans="1:16">
      <c r="A10" s="1782"/>
      <c r="B10" s="1783"/>
      <c r="C10" s="48" t="s">
        <v>1573</v>
      </c>
      <c r="D10" s="48">
        <f t="shared" si="0"/>
        <v>4552.2700000000004</v>
      </c>
      <c r="E10" s="51">
        <f>SUMPRODUCT(('数据-基础表'!BB10:BK10="地下")*('数据-基础表'!BB11:BK11="商业")*('数据-基础表'!BB5:BK5))</f>
        <v>10188.85</v>
      </c>
      <c r="F10" s="2835"/>
      <c r="G10" s="2836"/>
      <c r="H10" s="2836"/>
      <c r="I10" s="2835"/>
      <c r="J10" s="2835"/>
      <c r="K10" s="2835"/>
      <c r="L10" s="2835"/>
      <c r="M10" s="2835"/>
      <c r="N10" s="2835"/>
      <c r="O10" s="2835"/>
      <c r="P10" s="2835"/>
    </row>
    <row r="11" spans="1:16">
      <c r="A11" s="1782"/>
      <c r="B11" s="1783"/>
      <c r="C11" s="48" t="s">
        <v>1565</v>
      </c>
      <c r="D11" s="48">
        <f t="shared" si="0"/>
        <v>0</v>
      </c>
      <c r="E11" s="51">
        <f>SUMPRODUCT(('数据-基础表'!BB10:BK10="地下")*('数据-基础表'!BB11:BK11="办公")*('数据-基础表'!BB5:BK5))+'数据-基础表'!BP5</f>
        <v>0</v>
      </c>
      <c r="F11" s="2835"/>
      <c r="G11" s="2836"/>
      <c r="H11" s="2836"/>
      <c r="I11" s="2835"/>
      <c r="J11" s="2835"/>
      <c r="K11" s="2835"/>
      <c r="L11" s="2835"/>
      <c r="M11" s="2835"/>
      <c r="N11" s="2835"/>
      <c r="O11" s="2835"/>
      <c r="P11" s="2835"/>
    </row>
    <row r="12" spans="1:16">
      <c r="A12" s="1782"/>
      <c r="B12" s="1783"/>
      <c r="C12" s="48" t="s">
        <v>1566</v>
      </c>
      <c r="D12" s="48">
        <f t="shared" si="0"/>
        <v>0</v>
      </c>
      <c r="E12" s="51">
        <f>SUMPRODUCT(('数据-基础表'!BB10:BK10="地下")*('数据-基础表'!BB11:BK11="仓储")*('数据-基础表'!BB5:BK5))</f>
        <v>0</v>
      </c>
      <c r="F12" s="2835"/>
      <c r="G12" s="2836"/>
      <c r="H12" s="2836"/>
      <c r="I12" s="2835"/>
      <c r="J12" s="2835"/>
      <c r="K12" s="2835"/>
      <c r="L12" s="2835"/>
      <c r="M12" s="2835"/>
      <c r="N12" s="2835"/>
      <c r="O12" s="2835"/>
      <c r="P12" s="2835"/>
    </row>
    <row r="13" spans="1:16">
      <c r="A13" s="1782"/>
      <c r="B13" s="1783"/>
      <c r="C13" s="48" t="s">
        <v>1567</v>
      </c>
      <c r="D13" s="48">
        <f t="shared" si="0"/>
        <v>0</v>
      </c>
      <c r="E13" s="51">
        <f>SUMPRODUCT(('数据-基础表'!BB10:BK10="地下")*('数据-基础表'!BB11:BK11="车库")*('数据-基础表'!BB5:BK5))</f>
        <v>0</v>
      </c>
      <c r="F13" s="2835"/>
      <c r="G13" s="2836"/>
      <c r="H13" s="2836"/>
      <c r="I13" s="2835"/>
      <c r="J13" s="2835"/>
      <c r="K13" s="2835"/>
      <c r="L13" s="2835"/>
      <c r="M13" s="2835"/>
      <c r="N13" s="2835"/>
      <c r="O13" s="2835"/>
      <c r="P13" s="2835"/>
    </row>
    <row r="14" spans="1:16">
      <c r="A14" s="1782"/>
      <c r="B14" s="1783"/>
      <c r="C14" s="48" t="s">
        <v>1579</v>
      </c>
      <c r="D14" s="48">
        <f t="shared" si="0"/>
        <v>6360.12</v>
      </c>
      <c r="E14" s="51">
        <f>SUMPRODUCT(('数据-基础表'!BB10:BK10="地下")*('数据-基础表'!BB11:BK11="车库—商业")*('数据-基础表'!BB5:BK5))</f>
        <v>14235.169999999998</v>
      </c>
      <c r="F14" s="2835"/>
      <c r="G14" s="2836"/>
      <c r="H14" s="2836"/>
      <c r="I14" s="2835"/>
      <c r="J14" s="2835"/>
      <c r="K14" s="2835"/>
      <c r="L14" s="2835"/>
      <c r="M14" s="2835"/>
      <c r="N14" s="2835"/>
      <c r="O14" s="2835"/>
      <c r="P14" s="2835"/>
    </row>
    <row r="15" spans="1:16" ht="15" thickBot="1">
      <c r="A15" s="1782"/>
      <c r="B15" s="1783"/>
      <c r="C15" s="48" t="s">
        <v>1574</v>
      </c>
      <c r="D15" s="48">
        <f t="shared" si="0"/>
        <v>0</v>
      </c>
      <c r="E15" s="51">
        <f>SUMPRODUCT(('数据-基础表'!BB10:BK10="地下")*('数据-基础表'!BB11:BK11="车库—办公")*('数据-基础表'!BB5:BK5))</f>
        <v>0</v>
      </c>
      <c r="F15" s="2835"/>
      <c r="G15" s="2836"/>
      <c r="H15" s="2836"/>
      <c r="I15" s="2835"/>
      <c r="J15" s="2835"/>
      <c r="K15" s="2835"/>
      <c r="L15" s="2835"/>
      <c r="M15" s="2835"/>
      <c r="N15" s="2835"/>
      <c r="O15" s="2835"/>
      <c r="P15" s="2835"/>
    </row>
    <row r="16" spans="1:16" ht="15.75" thickBot="1">
      <c r="A16" s="1780"/>
      <c r="B16" s="1783"/>
      <c r="C16" s="50" t="s">
        <v>1568</v>
      </c>
      <c r="D16" s="50">
        <f>SUM(D8:D15)</f>
        <v>18060.05</v>
      </c>
      <c r="E16" s="53">
        <f>SUM(E8:E15)</f>
        <v>40421.870000000003</v>
      </c>
      <c r="F16" s="2835"/>
      <c r="G16" s="2836"/>
      <c r="H16" s="1784" t="s">
        <v>1580</v>
      </c>
      <c r="I16" s="1785"/>
      <c r="J16" s="1254"/>
      <c r="K16" s="3339" t="s">
        <v>1580</v>
      </c>
      <c r="L16" s="3340"/>
      <c r="M16" s="3340"/>
      <c r="N16" s="3340"/>
      <c r="O16" s="3340"/>
      <c r="P16" s="3341"/>
    </row>
    <row r="17" spans="1:19" ht="15">
      <c r="A17" s="1786" t="s">
        <v>1581</v>
      </c>
      <c r="B17" s="1787" t="s">
        <v>1582</v>
      </c>
      <c r="C17" s="1788" t="s">
        <v>1583</v>
      </c>
      <c r="D17" s="1789" t="s">
        <v>1571</v>
      </c>
      <c r="E17" s="1790" t="s">
        <v>1572</v>
      </c>
      <c r="F17" s="1791"/>
      <c r="G17" s="1792"/>
      <c r="H17" s="1793" t="s">
        <v>1584</v>
      </c>
      <c r="I17" s="1794" t="s">
        <v>1569</v>
      </c>
      <c r="J17" s="1254"/>
      <c r="K17" s="3336" t="s">
        <v>1585</v>
      </c>
      <c r="L17" s="3337"/>
      <c r="M17" s="3338"/>
      <c r="N17" s="3336" t="s">
        <v>1586</v>
      </c>
      <c r="O17" s="3337"/>
      <c r="P17" s="3338"/>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4" t="s">
        <v>3444</v>
      </c>
      <c r="D19" s="48">
        <f>ROUND($D$3*E19/$E$3,2)</f>
        <v>11699.93</v>
      </c>
      <c r="E19" s="56">
        <f t="shared" ref="E19:E26" si="1">SUM(F19:G19)</f>
        <v>26186.700000000004</v>
      </c>
      <c r="F19" s="2975">
        <f>'数据-基础表'!I13</f>
        <v>15997.850000000002</v>
      </c>
      <c r="G19" s="2976">
        <f>'数据-基础表'!M13</f>
        <v>10188.85</v>
      </c>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11699.93</v>
      </c>
      <c r="S19" s="1139">
        <f t="shared" si="5"/>
        <v>26186.700000000004</v>
      </c>
    </row>
    <row r="20" spans="1:19">
      <c r="A20" s="1807"/>
      <c r="B20" s="50" t="s">
        <v>1598</v>
      </c>
      <c r="C20" s="3234" t="s">
        <v>3445</v>
      </c>
      <c r="D20" s="48">
        <f t="shared" ref="D20:D26" si="6">ROUND($D$3*E20/$E$3,2)</f>
        <v>6360.12</v>
      </c>
      <c r="E20" s="56">
        <f t="shared" si="1"/>
        <v>14235.169999999998</v>
      </c>
      <c r="F20" s="2975"/>
      <c r="G20" s="2976">
        <f>'数据-基础表'!K13</f>
        <v>14235.169999999998</v>
      </c>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6360.12</v>
      </c>
      <c r="S20" s="1139">
        <f t="shared" si="5"/>
        <v>14235.169999999998</v>
      </c>
    </row>
    <row r="21" spans="1:19">
      <c r="A21" s="1807"/>
      <c r="B21" s="50" t="s">
        <v>1598</v>
      </c>
      <c r="C21" s="1804"/>
      <c r="D21" s="48">
        <f t="shared" si="6"/>
        <v>0</v>
      </c>
      <c r="E21" s="56">
        <f t="shared" si="1"/>
        <v>0</v>
      </c>
      <c r="F21" s="2975"/>
      <c r="G21" s="297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18060.05</v>
      </c>
      <c r="E27" s="1256">
        <f>IF(SUM(E19:E26)='数据-基础表'!BA5,SUM(E19:E26),IF(F27="地上面积有误","面积有误","地下面积有误"))</f>
        <v>40421.870000000003</v>
      </c>
      <c r="F27" s="1255">
        <f>IF(SUM(F19:F26)=E8,SUM(F19:F26),"地上面积有误")</f>
        <v>15997.850000000002</v>
      </c>
      <c r="G27" s="1257">
        <f>SUM(G19:G26)</f>
        <v>24424.019999999997</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18060.05</v>
      </c>
      <c r="S27" s="1138">
        <f>IF(SUM(S19:S26)=$E$3,SUM(S19:S26),SUM(S19:S26)&amp;"误差"&amp;ROUND(SUM(S19:S26)-E3,2))</f>
        <v>40421.870000000003</v>
      </c>
    </row>
    <row r="28" spans="1:19">
      <c r="A28" s="1807"/>
      <c r="B28" s="50" t="s">
        <v>1600</v>
      </c>
      <c r="C28" s="1150" t="s">
        <v>1601</v>
      </c>
      <c r="D28" s="48">
        <f>ROUND($D$3*E28/$E$3,2)</f>
        <v>0</v>
      </c>
      <c r="E28" s="56">
        <f>SUM(F28:G28)</f>
        <v>0</v>
      </c>
      <c r="F28" s="60">
        <f>'数据-基础表'!BQ5+'数据-基础表'!BS5</f>
        <v>0</v>
      </c>
      <c r="G28" s="61">
        <f>'数据-基础表'!BR5+'数据-基础表'!BT5</f>
        <v>0</v>
      </c>
      <c r="H28" s="2835"/>
      <c r="I28" s="2835"/>
      <c r="J28" s="2835"/>
      <c r="K28" s="2835"/>
      <c r="L28" s="2835"/>
      <c r="M28" s="2835"/>
      <c r="N28" s="2835"/>
      <c r="O28" s="2835"/>
      <c r="P28" s="2835"/>
    </row>
    <row r="29" spans="1:19">
      <c r="A29" s="1807"/>
      <c r="B29" s="50" t="s">
        <v>1600</v>
      </c>
      <c r="C29" s="1811" t="s">
        <v>1602</v>
      </c>
      <c r="D29" s="48">
        <f>ROUND($D$3*E29/$E$3,2)</f>
        <v>0</v>
      </c>
      <c r="E29" s="56">
        <f>SUM(F29:G29)</f>
        <v>0</v>
      </c>
      <c r="F29" s="62">
        <f>'数据-基础表'!BM5+'数据-基础表'!BO5</f>
        <v>0</v>
      </c>
      <c r="G29" s="63">
        <f>'数据-基础表'!BN5+'数据-基础表'!BP5</f>
        <v>0</v>
      </c>
      <c r="H29" s="2835"/>
      <c r="I29" s="2835"/>
      <c r="J29" s="2835"/>
      <c r="K29" s="2835"/>
      <c r="L29" s="2835"/>
      <c r="M29" s="2835"/>
      <c r="N29" s="2835"/>
      <c r="O29" s="2835"/>
      <c r="P29" s="2835"/>
    </row>
    <row r="30" spans="1:19" ht="15">
      <c r="A30" s="1807"/>
      <c r="B30" s="50"/>
      <c r="C30" s="1812" t="s">
        <v>1599</v>
      </c>
      <c r="D30" s="1255">
        <f>SUM(D28:D29)</f>
        <v>0</v>
      </c>
      <c r="E30" s="1255">
        <f>SUM(E28:E29)</f>
        <v>0</v>
      </c>
      <c r="F30" s="1255">
        <f>SUM(F28:F29)</f>
        <v>0</v>
      </c>
      <c r="G30" s="1257">
        <f>SUM(G28:G29)</f>
        <v>0</v>
      </c>
      <c r="H30" s="2835"/>
      <c r="I30" s="2835"/>
      <c r="J30" s="2835"/>
      <c r="K30" s="2835"/>
      <c r="L30" s="2835"/>
      <c r="M30" s="2835"/>
      <c r="N30" s="2835"/>
      <c r="O30" s="2835"/>
      <c r="P30" s="2835"/>
    </row>
    <row r="31" spans="1:19" ht="15.75" thickBot="1">
      <c r="A31" s="1813"/>
      <c r="B31" s="1814"/>
      <c r="C31" s="925" t="s">
        <v>1603</v>
      </c>
      <c r="D31" s="685">
        <f>D27+D30</f>
        <v>18060.05</v>
      </c>
      <c r="E31" s="685">
        <f>E27+E30</f>
        <v>40421.870000000003</v>
      </c>
      <c r="F31" s="686">
        <f>F27+F30</f>
        <v>15997.850000000002</v>
      </c>
      <c r="G31" s="687">
        <f>G27+G30</f>
        <v>24424.019999999997</v>
      </c>
      <c r="H31" s="2835"/>
      <c r="I31" s="2835"/>
      <c r="J31" s="2835"/>
      <c r="K31" s="2835"/>
      <c r="L31" s="2835"/>
      <c r="M31" s="2835"/>
      <c r="N31" s="2835"/>
      <c r="O31" s="2835"/>
      <c r="P31" s="2835"/>
    </row>
    <row r="32" spans="1:19">
      <c r="A32" s="1779"/>
      <c r="B32" s="1779" t="s">
        <v>1604</v>
      </c>
      <c r="C32" s="1779"/>
      <c r="D32" s="1779"/>
      <c r="E32" s="1165">
        <f>SUMIF(C19:C26,"*住宅*",E19:E26)</f>
        <v>0</v>
      </c>
      <c r="F32" s="1779"/>
      <c r="G32" s="1779"/>
      <c r="H32" s="2835"/>
      <c r="I32" s="2835"/>
      <c r="J32" s="2835"/>
      <c r="K32" s="2835"/>
      <c r="L32" s="2835"/>
      <c r="M32" s="2835"/>
      <c r="N32" s="2835"/>
      <c r="O32" s="2835"/>
      <c r="P32" s="2835"/>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6.37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9"/>
      <c r="AO1" s="2849"/>
      <c r="AP1" s="2849"/>
      <c r="AQ1" s="2849"/>
      <c r="AR1" s="2849"/>
    </row>
    <row r="2" spans="1:67" s="1695" customFormat="1" ht="15.75" thickBot="1">
      <c r="A2" s="1820" t="s">
        <v>1606</v>
      </c>
      <c r="B2" s="1157">
        <f>项目基本情况!D3</f>
        <v>44799</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1"/>
      <c r="AO2" s="2851"/>
      <c r="AP2" s="2851"/>
      <c r="AQ2" s="2851"/>
      <c r="AR2" s="285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1"/>
      <c r="AO3" s="2851"/>
      <c r="AP3" s="2851"/>
      <c r="AQ3" s="2851"/>
      <c r="AR3" s="285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4"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1"/>
      <c r="AO4" s="2851"/>
      <c r="AP4" s="2851"/>
      <c r="AQ4" s="2851"/>
      <c r="AR4" s="285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3230</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商业-独栋</v>
      </c>
      <c r="B6" s="1850" t="str">
        <f>IF(A6=0,"","经营性")</f>
        <v>经营性</v>
      </c>
      <c r="C6" s="1851" t="s">
        <v>1102</v>
      </c>
      <c r="D6" s="948">
        <f>SUMIF(项目基本情况!D$12:I$12,C6,项目基本情况!D$14:I$14)</f>
        <v>40</v>
      </c>
      <c r="E6" s="947">
        <f>IF(B6="","",SUMIF(项目基本情况!D$12:I$12,C6,项目基本情况!D$13:I$13))</f>
        <v>52611</v>
      </c>
      <c r="F6" s="68">
        <f>SUMIF(项目基本情况!D$12:I$12,C6,项目基本情况!D$15:I$15)</f>
        <v>21.4</v>
      </c>
      <c r="G6" s="69">
        <f>IF(ISERROR(ROUND(POWER(1+H6,D6-F6)*(POWER(1+H6,F6)-1)/(POWER(1+H6,D6)-1),3)),0,ROUND(POWER(1+H6,D6-F6)*(POWER(1+H6,F6)-1)/(POWER(1+H6,D6)-1),3))</f>
        <v>0.755</v>
      </c>
      <c r="H6" s="741">
        <v>0.05</v>
      </c>
      <c r="I6" s="741">
        <v>5.5E-2</v>
      </c>
      <c r="J6" s="70">
        <v>7.0000000000000007E-2</v>
      </c>
      <c r="K6" s="1142">
        <f>SUMIF('数据-汇总表'!C$19:C$33,A6,'数据-汇总表'!E$19:E$33)</f>
        <v>26186.700000000004</v>
      </c>
      <c r="L6" s="742">
        <v>5000</v>
      </c>
      <c r="M6" s="71">
        <f t="shared" ref="M6:M14" si="0">ROUND(K6*L6/10000,0)</f>
        <v>13093</v>
      </c>
      <c r="N6" s="740">
        <f>N20</f>
        <v>0.83</v>
      </c>
      <c r="O6" s="71" t="str">
        <f>IF($N$5="成新度","——",ROUND(M6*N6,0))</f>
        <v>——</v>
      </c>
      <c r="P6" s="72" t="str">
        <f>IF($N$5="成新度","——",M6-O6)</f>
        <v>——</v>
      </c>
      <c r="Q6" s="743">
        <v>0.2</v>
      </c>
      <c r="R6" s="73">
        <f ca="1">SUMIF('数据-汇总表'!C$19:C$33,A6,'数据-汇总表'!R$19:R$27)</f>
        <v>11699.93</v>
      </c>
      <c r="S6" s="54">
        <f>IF('数据-汇总表'!$I$17="按面积比例",SUMIF('数据-汇总表'!C$19:C$33,A6,'数据-汇总表'!K$19:K$33),SUMIF('数据-汇总表'!C$19:C$33,A6,'数据-汇总表'!N$19:N$33))</f>
        <v>0</v>
      </c>
      <c r="T6" s="1287">
        <f>ROUND($L$14*S6/10000,0)</f>
        <v>0</v>
      </c>
      <c r="U6" s="74">
        <f>V25</f>
        <v>5.83</v>
      </c>
      <c r="V6" s="75">
        <v>2.5000000000000001E-2</v>
      </c>
      <c r="W6" s="75">
        <v>0.1</v>
      </c>
      <c r="X6" s="1152"/>
      <c r="Y6" s="76">
        <f>N6</f>
        <v>0.83</v>
      </c>
      <c r="Z6" s="77"/>
      <c r="AA6" s="70"/>
      <c r="AB6" s="70"/>
      <c r="AC6" s="1152"/>
      <c r="AD6" s="78"/>
      <c r="AE6" s="1153">
        <f ca="1">IF(AN6="",0,SUMIF(INDIRECT("'"&amp;AN6&amp;"'"&amp;"!E:E"),$AE$5,INDIRECT("'"&amp;AN6&amp;"'"&amp;"!F:F")))</f>
        <v>21.4</v>
      </c>
      <c r="AF6" s="1483"/>
      <c r="AG6" s="143">
        <f>IF(AF6="",0,AE6-AF6)</f>
        <v>0</v>
      </c>
      <c r="AH6" s="79"/>
      <c r="AI6" s="81">
        <v>365</v>
      </c>
      <c r="AJ6" s="82"/>
      <c r="AK6" s="83">
        <v>1.4999999999999999E-2</v>
      </c>
      <c r="AL6" s="84">
        <v>1.5E-3</v>
      </c>
      <c r="AM6" s="85">
        <v>0.01</v>
      </c>
      <c r="AN6" s="1852" t="s">
        <v>3439</v>
      </c>
      <c r="AO6" s="55">
        <f ca="1">SUMIF(INDIRECT("'"&amp;AN6&amp;"'"&amp;"!A:A"),"总价",INDIRECT("'"&amp;AN6&amp;"'"&amp;"!B:B"))</f>
        <v>58377</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t="str">
        <f>'数据-汇总表'!C20</f>
        <v>地下车库</v>
      </c>
      <c r="B7" s="1850" t="str">
        <f t="shared" ref="B7:B13" si="1">IF(A7=0,"","经营性")</f>
        <v>经营性</v>
      </c>
      <c r="C7" s="1851" t="s">
        <v>3206</v>
      </c>
      <c r="D7" s="948">
        <f>SUMIF(项目基本情况!D$12:I$12,C7,项目基本情况!D$14:I$14)</f>
        <v>50</v>
      </c>
      <c r="E7" s="947">
        <f>IF(B7="","",SUMIF(项目基本情况!D$12:I$12,C7,项目基本情况!D$13:I$13))</f>
        <v>56264</v>
      </c>
      <c r="F7" s="68">
        <f>SUMIF(项目基本情况!D$12:I$12,C7,项目基本情况!D$15:I$15)</f>
        <v>31.41</v>
      </c>
      <c r="G7" s="69">
        <f t="shared" ref="G7:G11" si="2">IF(ISERROR(ROUND(POWER(1+H7,D7-F7)*(POWER(1+H7,F7)-1)/(POWER(1+H7,D7)-1),3)),0,ROUND(POWER(1+H7,D7-F7)*(POWER(1+H7,F7)-1)/(POWER(1+H7,D7)-1),3))</f>
        <v>0.84199999999999997</v>
      </c>
      <c r="H7" s="741">
        <v>4.4999999999999998E-2</v>
      </c>
      <c r="I7" s="741">
        <v>0.05</v>
      </c>
      <c r="J7" s="70">
        <v>7.0000000000000007E-2</v>
      </c>
      <c r="K7" s="1142">
        <f>SUMIF('数据-汇总表'!C$19:C$33,A7,'数据-汇总表'!E$19:E$33)</f>
        <v>14235.169999999998</v>
      </c>
      <c r="L7" s="742">
        <v>4500</v>
      </c>
      <c r="M7" s="71">
        <f t="shared" si="0"/>
        <v>6406</v>
      </c>
      <c r="N7" s="740">
        <f>N20</f>
        <v>0.83</v>
      </c>
      <c r="O7" s="71" t="str">
        <f t="shared" ref="O7:O14" si="3">IF($N$5="成新度","——",ROUND(M7*N7,0))</f>
        <v>——</v>
      </c>
      <c r="P7" s="72" t="str">
        <f t="shared" ref="P7:P14" si="4">IF($N$5="成新度","——",M7-O7)</f>
        <v>——</v>
      </c>
      <c r="Q7" s="743">
        <v>0.05</v>
      </c>
      <c r="R7" s="73">
        <f ca="1">SUMIF('数据-汇总表'!C$19:C$33,A7,'数据-汇总表'!R$19:R$27)</f>
        <v>6360.12</v>
      </c>
      <c r="S7" s="54">
        <f>IF('数据-汇总表'!$I$17="按面积比例",SUMIF('数据-汇总表'!C$19:C$33,A7,'数据-汇总表'!K$19:K$33),SUMIF('数据-汇总表'!C$19:C$33,A7,'数据-汇总表'!N$19:N$33))</f>
        <v>0</v>
      </c>
      <c r="T7" s="1287">
        <f t="shared" ref="T7:T13" si="5">ROUND($L$14*S7/10000,0)</f>
        <v>0</v>
      </c>
      <c r="U7" s="74">
        <v>0.8</v>
      </c>
      <c r="V7" s="75">
        <v>2.5000000000000001E-2</v>
      </c>
      <c r="W7" s="75">
        <v>0.1</v>
      </c>
      <c r="X7" s="1152"/>
      <c r="Y7" s="76">
        <f>N7</f>
        <v>0.83</v>
      </c>
      <c r="Z7" s="77"/>
      <c r="AA7" s="70"/>
      <c r="AB7" s="70"/>
      <c r="AC7" s="1152"/>
      <c r="AD7" s="78"/>
      <c r="AE7" s="1153">
        <f t="shared" ref="AE7:AE13" ca="1" si="6">IF(AN7="",0,SUMIF(INDIRECT("'"&amp;AN7&amp;"'"&amp;"!E:E"),$AE$5,INDIRECT("'"&amp;AN7&amp;"'"&amp;"!F:F")))</f>
        <v>31.41</v>
      </c>
      <c r="AF7" s="1483"/>
      <c r="AG7" s="143">
        <f t="shared" ref="AG7:AG13" si="7">IF(AF7="",0,AE7-AF7)</f>
        <v>0</v>
      </c>
      <c r="AH7" s="79"/>
      <c r="AI7" s="81">
        <v>365</v>
      </c>
      <c r="AJ7" s="82"/>
      <c r="AK7" s="83">
        <v>0.01</v>
      </c>
      <c r="AL7" s="84">
        <v>1E-3</v>
      </c>
      <c r="AM7" s="85">
        <v>0.01</v>
      </c>
      <c r="AN7" s="1852" t="s">
        <v>3235</v>
      </c>
      <c r="AO7" s="55">
        <f t="shared" ref="AO7:AO13" ca="1" si="8">SUMIF(INDIRECT("'"&amp;AN7&amp;"'"&amp;"!A:A"),"总价",INDIRECT("'"&amp;AN7&amp;"'"&amp;"!B:B"))</f>
        <v>4417</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hidden="1">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hidden="1">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hidden="1">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hidden="1">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hidden="1">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hidden="1">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9"/>
      <c r="AO14" s="2851"/>
      <c r="AP14" s="2851"/>
      <c r="AQ14" s="2851"/>
      <c r="AR14" s="285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9"/>
      <c r="AO15" s="2851"/>
      <c r="AP15" s="2851"/>
      <c r="AQ15" s="2851"/>
      <c r="AR15" s="285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0.78600000000000003</v>
      </c>
      <c r="H16" s="95">
        <f>ROUND(SUMPRODUCT(H6:H13,K6:K13)/SUMPRODUCT((H6:H13&gt;0)*(K6:K13)),3)</f>
        <v>4.8000000000000001E-2</v>
      </c>
      <c r="I16" s="96"/>
      <c r="J16" s="96"/>
      <c r="K16" s="97">
        <f>SUM(K6:K15)</f>
        <v>40421.870000000003</v>
      </c>
      <c r="L16" s="98">
        <f>ROUND(M16*10000/SUM(K6:K14),0)</f>
        <v>4824</v>
      </c>
      <c r="M16" s="98">
        <f>SUM(M6:M14)</f>
        <v>19499</v>
      </c>
      <c r="N16" s="99">
        <f>ROUND(SUMPRODUCT(M6:M14,N6:N14)/M16,3)</f>
        <v>0.83</v>
      </c>
      <c r="O16" s="98">
        <f>SUM(O6:O14)</f>
        <v>0</v>
      </c>
      <c r="P16" s="98">
        <f>SUM(P6:P14)</f>
        <v>0</v>
      </c>
      <c r="Q16" s="100">
        <f>ROUND(SUMPRODUCT(Q6:Q13,K6:K13)/SUMPRODUCT((Q6:Q13&gt;0)*(K6:K13)),2)</f>
        <v>0.15</v>
      </c>
      <c r="R16" s="1146">
        <f ca="1">SUM(R6:R13)</f>
        <v>18060.05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2849"/>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3252" t="s">
        <v>3436</v>
      </c>
      <c r="N18" s="2849">
        <f>ROUND((1-0%)-(2022-收益法!J49)/60,2)</f>
        <v>0.75</v>
      </c>
      <c r="O18" s="2849"/>
      <c r="P18" s="2849"/>
      <c r="Q18" s="2849"/>
      <c r="R18" s="2849"/>
      <c r="S18" s="2849"/>
      <c r="T18" s="2849"/>
      <c r="U18" s="2849"/>
      <c r="V18" s="2849"/>
      <c r="W18" s="2849"/>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9" t="s">
        <v>1656</v>
      </c>
      <c r="B19" s="108">
        <v>0</v>
      </c>
      <c r="C19" s="2979" t="s">
        <v>2806</v>
      </c>
      <c r="D19" s="2854"/>
      <c r="E19" s="2851"/>
      <c r="F19" s="2851"/>
      <c r="G19" s="2851"/>
      <c r="H19" s="2851"/>
      <c r="I19" s="2851"/>
      <c r="J19" s="2851"/>
      <c r="K19" s="2850"/>
      <c r="L19" s="2850"/>
      <c r="M19" s="3252" t="s">
        <v>3437</v>
      </c>
      <c r="N19" s="2849">
        <f>'[2]数据-取费表'!$G$21</f>
        <v>0.9</v>
      </c>
      <c r="O19" s="2849"/>
      <c r="P19" s="2849"/>
      <c r="Q19" s="2849"/>
      <c r="R19" s="2849"/>
      <c r="S19" s="2849"/>
      <c r="T19" s="3253" t="s">
        <v>3447</v>
      </c>
      <c r="U19" s="3253" t="s">
        <v>3448</v>
      </c>
      <c r="V19" s="3253" t="s">
        <v>3449</v>
      </c>
      <c r="W19" s="3252" t="s">
        <v>3459</v>
      </c>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60" t="s">
        <v>1657</v>
      </c>
      <c r="B20" s="109">
        <v>2</v>
      </c>
      <c r="C20" s="2980" t="s">
        <v>2804</v>
      </c>
      <c r="D20" s="2854"/>
      <c r="E20" s="2851"/>
      <c r="F20" s="2851"/>
      <c r="G20" s="2851"/>
      <c r="H20" s="2851"/>
      <c r="I20" s="2851"/>
      <c r="J20" s="2851"/>
      <c r="K20" s="2850"/>
      <c r="L20" s="2850"/>
      <c r="M20" s="3252" t="s">
        <v>3438</v>
      </c>
      <c r="N20" s="2849">
        <f>ROUND((N18+N19)/2,2)</f>
        <v>0.83</v>
      </c>
      <c r="O20" s="2849"/>
      <c r="P20" s="2849"/>
      <c r="Q20" s="2849"/>
      <c r="R20" s="2849"/>
      <c r="S20" s="2849"/>
      <c r="T20" s="3254">
        <v>1</v>
      </c>
      <c r="U20" s="3254">
        <v>1</v>
      </c>
      <c r="V20" s="3254">
        <v>10</v>
      </c>
      <c r="W20" s="2849">
        <f>面积!K38</f>
        <v>785.15000000000009</v>
      </c>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1" t="s">
        <v>1658</v>
      </c>
      <c r="B21" s="109">
        <v>2</v>
      </c>
      <c r="C21" s="2851"/>
      <c r="D21" s="2854"/>
      <c r="E21" s="2851"/>
      <c r="F21" s="2851"/>
      <c r="G21" s="2851"/>
      <c r="H21" s="2851"/>
      <c r="I21" s="2851"/>
      <c r="J21" s="2851"/>
      <c r="K21" s="2850"/>
      <c r="L21" s="2850"/>
      <c r="M21" s="2849"/>
      <c r="N21" s="2849"/>
      <c r="O21" s="2849"/>
      <c r="P21" s="2849"/>
      <c r="Q21" s="2849"/>
      <c r="R21" s="2849"/>
      <c r="S21" s="2849"/>
      <c r="T21" s="3254">
        <v>2</v>
      </c>
      <c r="U21" s="3254">
        <v>0.75</v>
      </c>
      <c r="V21" s="3254">
        <f>V20*U21</f>
        <v>7.5</v>
      </c>
      <c r="W21" s="2849">
        <f>面积!K39</f>
        <v>213.74</v>
      </c>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60" t="s">
        <v>1659</v>
      </c>
      <c r="B22" s="110">
        <f>B19+B20</f>
        <v>2</v>
      </c>
      <c r="C22" s="2851"/>
      <c r="D22" s="2854"/>
      <c r="E22" s="2851"/>
      <c r="F22" s="2851"/>
      <c r="G22" s="2851"/>
      <c r="H22" s="2851"/>
      <c r="I22" s="2851"/>
      <c r="J22" s="2851"/>
      <c r="K22" s="2850"/>
      <c r="L22" s="2850"/>
      <c r="M22" s="2849"/>
      <c r="N22" s="2849"/>
      <c r="O22" s="2849"/>
      <c r="P22" s="2849"/>
      <c r="Q22" s="2849"/>
      <c r="R22" s="2849"/>
      <c r="S22" s="2849"/>
      <c r="T22" s="3254">
        <v>3</v>
      </c>
      <c r="U22" s="3254">
        <v>0.65</v>
      </c>
      <c r="V22" s="3254">
        <f>V20*U22</f>
        <v>6.5</v>
      </c>
      <c r="W22" s="2849">
        <f>面积!K40</f>
        <v>8872.66</v>
      </c>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1" t="s">
        <v>1660</v>
      </c>
      <c r="B23" s="110">
        <f>B19+B21</f>
        <v>2</v>
      </c>
      <c r="C23" s="2851"/>
      <c r="D23" s="2854"/>
      <c r="E23" s="2851"/>
      <c r="F23" s="2851"/>
      <c r="G23" s="2851"/>
      <c r="H23" s="2851"/>
      <c r="I23" s="2851"/>
      <c r="J23" s="2851"/>
      <c r="K23" s="2850"/>
      <c r="L23" s="2850"/>
      <c r="M23" s="2849"/>
      <c r="N23" s="2849"/>
      <c r="O23" s="2849"/>
      <c r="P23" s="2849"/>
      <c r="Q23" s="2849"/>
      <c r="R23" s="2849"/>
      <c r="S23" s="2849"/>
      <c r="T23" s="3254">
        <v>4</v>
      </c>
      <c r="U23" s="3254">
        <v>0.65</v>
      </c>
      <c r="V23" s="3254">
        <f>V20*U23</f>
        <v>6.5</v>
      </c>
      <c r="W23" s="2849">
        <f>面积!K41</f>
        <v>6126.3</v>
      </c>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2" t="s">
        <v>1661</v>
      </c>
      <c r="B24" s="111">
        <f>B20-B21</f>
        <v>0</v>
      </c>
      <c r="C24" s="2851"/>
      <c r="D24" s="2854"/>
      <c r="E24" s="2851"/>
      <c r="F24" s="2851"/>
      <c r="G24" s="2851"/>
      <c r="H24" s="2851"/>
      <c r="I24" s="2851"/>
      <c r="J24" s="2851"/>
      <c r="K24" s="2850"/>
      <c r="L24" s="2850"/>
      <c r="M24" s="2849"/>
      <c r="N24" s="2849"/>
      <c r="O24" s="2849"/>
      <c r="P24" s="2849"/>
      <c r="Q24" s="2849"/>
      <c r="R24" s="2849"/>
      <c r="S24" s="2849"/>
      <c r="T24" s="3254">
        <v>-1</v>
      </c>
      <c r="U24" s="3254">
        <v>0.45</v>
      </c>
      <c r="V24" s="3254">
        <f>V20*U24</f>
        <v>4.5</v>
      </c>
      <c r="W24" s="2849">
        <f>面积!H39</f>
        <v>10188.85</v>
      </c>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3"/>
      <c r="B25" s="1824"/>
      <c r="C25" s="2851"/>
      <c r="D25" s="2854"/>
      <c r="E25" s="2851"/>
      <c r="F25" s="2851"/>
      <c r="G25" s="2851"/>
      <c r="H25" s="2851"/>
      <c r="I25" s="2851"/>
      <c r="J25" s="2851"/>
      <c r="K25" s="2850"/>
      <c r="L25" s="2850"/>
      <c r="M25" s="2849"/>
      <c r="N25" s="2849"/>
      <c r="O25" s="2849"/>
      <c r="P25" s="2849"/>
      <c r="Q25" s="2849"/>
      <c r="R25" s="2849"/>
      <c r="S25" s="2849"/>
      <c r="T25" s="3255"/>
      <c r="U25" s="3256"/>
      <c r="V25" s="3256">
        <f>ROUND((V20*W20+V21*W21+V22*W22+V23*W23+V24*W24)/W25,2)</f>
        <v>5.83</v>
      </c>
      <c r="W25" s="2849">
        <f>SUM(W20:W24)</f>
        <v>26186.699999999997</v>
      </c>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20" t="s">
        <v>1662</v>
      </c>
      <c r="B26" s="1863"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5" customFormat="1" ht="27.75">
      <c r="A27" s="1864" t="s">
        <v>1665</v>
      </c>
      <c r="B27" s="112">
        <v>160</v>
      </c>
      <c r="C27" s="2981" t="s">
        <v>2808</v>
      </c>
      <c r="D27" s="2857"/>
      <c r="E27" s="2837"/>
      <c r="F27" s="2837"/>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200</v>
      </c>
      <c r="C28" s="2858"/>
      <c r="D28" s="2857"/>
      <c r="E28" s="2837"/>
      <c r="F28" s="2837"/>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808</v>
      </c>
      <c r="C29" s="2982" t="s">
        <v>2795</v>
      </c>
      <c r="D29" s="2857"/>
      <c r="E29" s="2837"/>
      <c r="F29" s="2837"/>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8"/>
      <c r="D30" s="2857"/>
      <c r="E30" s="2837"/>
      <c r="F30" s="2837"/>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6"/>
      <c r="D31" s="2857"/>
      <c r="E31" s="2837"/>
      <c r="F31" s="2837"/>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3" t="s">
        <v>2796</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3" t="s">
        <v>2797</v>
      </c>
      <c r="D34" s="2862" t="s">
        <v>2805</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3" t="s">
        <v>2798</v>
      </c>
      <c r="D35" s="2857"/>
      <c r="E35" s="2837"/>
      <c r="F35" s="2837"/>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3" t="s">
        <v>2799</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8" t="s">
        <v>1675</v>
      </c>
      <c r="B37" s="120">
        <v>2.5000000000000001E-2</v>
      </c>
      <c r="C37" s="2983" t="s">
        <v>2800</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6" t="s">
        <v>1676</v>
      </c>
      <c r="B38" s="118">
        <v>2.5000000000000001E-2</v>
      </c>
      <c r="C38" s="2983" t="s">
        <v>2800</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9"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3236</v>
      </c>
      <c r="B40" s="1191">
        <f ca="1">IF(A40="利息：取LPR",存贷款利率!G1,存贷款利率!G1+C40)</f>
        <v>4.1499999999999995E-2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4" t="s">
        <v>1678</v>
      </c>
      <c r="B41" s="121">
        <f>B42+B43</f>
        <v>5.6000000000000001E-2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70"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70" t="s">
        <v>1680</v>
      </c>
      <c r="B43" s="123">
        <f>B42*(B44+B45+B46)+B47</f>
        <v>6.000000000000001E-3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1" t="s">
        <v>1681</v>
      </c>
      <c r="B44" s="124">
        <v>7.0000000000000007E-2</v>
      </c>
      <c r="C44" s="2983" t="s">
        <v>2809</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1" t="s">
        <v>1682</v>
      </c>
      <c r="B45" s="122">
        <v>0.03</v>
      </c>
      <c r="C45" s="2982" t="s">
        <v>2801</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1" t="s">
        <v>1683</v>
      </c>
      <c r="B46" s="122">
        <v>0.02</v>
      </c>
      <c r="C46" s="2982" t="s">
        <v>2802</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2" t="s">
        <v>1684</v>
      </c>
      <c r="B47" s="125"/>
      <c r="C47" s="2985" t="s">
        <v>2810</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3" t="s">
        <v>1685</v>
      </c>
      <c r="B48" s="126">
        <v>0.03</v>
      </c>
      <c r="C48" s="2982" t="s">
        <v>2801</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9" t="s">
        <v>1686</v>
      </c>
      <c r="B49" s="122">
        <v>5.0000000000000001E-4</v>
      </c>
      <c r="C49" s="2982" t="s">
        <v>2803</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4" t="s">
        <v>1687</v>
      </c>
      <c r="B50" s="127">
        <v>1.2E-2</v>
      </c>
      <c r="C50" s="2837"/>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7" t="s">
        <v>1688</v>
      </c>
      <c r="B51" s="128">
        <v>0.12</v>
      </c>
      <c r="C51" s="2837"/>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4" t="s">
        <v>1689</v>
      </c>
      <c r="B52" s="129">
        <f>SUMIF(A54:A63,B53,B54:B63)</f>
        <v>12</v>
      </c>
      <c r="C52" s="2837"/>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6" t="s">
        <v>1690</v>
      </c>
      <c r="B53" s="1875" t="s">
        <v>137</v>
      </c>
      <c r="C53" s="2837" t="s">
        <v>1691</v>
      </c>
      <c r="D53" s="2984" t="s">
        <v>2807</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6" t="s">
        <v>1692</v>
      </c>
      <c r="B54" s="80">
        <v>30</v>
      </c>
      <c r="C54" s="2837">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6" t="s">
        <v>1693</v>
      </c>
      <c r="B55" s="80">
        <v>24</v>
      </c>
      <c r="C55" s="2837">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6" t="s">
        <v>1694</v>
      </c>
      <c r="B56" s="80">
        <v>18</v>
      </c>
      <c r="C56" s="2837">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6" t="s">
        <v>1695</v>
      </c>
      <c r="B57" s="80">
        <v>12</v>
      </c>
      <c r="C57" s="2837">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6" t="s">
        <v>1696</v>
      </c>
      <c r="B58" s="80">
        <v>3</v>
      </c>
      <c r="C58" s="2837">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6" t="s">
        <v>1697</v>
      </c>
      <c r="B59" s="80">
        <v>1.5</v>
      </c>
      <c r="C59" s="2837">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6"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6"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6"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7"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0"/>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0"/>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0"/>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0"/>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0"/>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5" customWidth="1"/>
    <col min="4" max="4" width="2.625" style="2685" customWidth="1"/>
    <col min="5" max="5" width="5.875" style="2685" customWidth="1"/>
    <col min="6" max="6" width="27" style="1708" customWidth="1"/>
    <col min="7" max="7" width="27" style="2686"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888"/>
    <col min="30" max="16384" width="9" style="1823"/>
  </cols>
  <sheetData>
    <row r="1" spans="1:29" s="2632" customFormat="1" ht="18.75" thickBot="1">
      <c r="A1" s="3351" t="s">
        <v>2787</v>
      </c>
      <c r="B1" s="3352"/>
      <c r="C1" s="3352"/>
      <c r="D1" s="3352"/>
      <c r="E1" s="3352"/>
      <c r="F1" s="3352"/>
      <c r="G1" s="3352"/>
      <c r="H1" s="2627"/>
      <c r="I1" s="2628"/>
      <c r="J1" s="2627"/>
      <c r="K1" s="2627"/>
      <c r="L1" s="2628"/>
      <c r="M1" s="2627"/>
      <c r="N1" s="2627"/>
      <c r="O1" s="2628"/>
      <c r="P1" s="2627"/>
      <c r="Q1" s="2629"/>
      <c r="R1" s="2630"/>
      <c r="S1" s="2631"/>
      <c r="T1" s="2631"/>
      <c r="U1" s="2631"/>
      <c r="V1" s="2631"/>
      <c r="W1" s="2631"/>
      <c r="X1" s="2631"/>
      <c r="Y1" s="2631"/>
      <c r="Z1" s="2631"/>
      <c r="AA1" s="2631"/>
      <c r="AB1" s="2631"/>
      <c r="AC1" s="2631"/>
    </row>
    <row r="2" spans="1:29" ht="15" thickBot="1">
      <c r="A2" s="2633"/>
      <c r="B2" s="2634"/>
      <c r="C2" s="2635" t="s">
        <v>2782</v>
      </c>
      <c r="D2" s="2636"/>
      <c r="E2" s="2633"/>
      <c r="F2" s="2637"/>
      <c r="G2" s="2635" t="s">
        <v>2783</v>
      </c>
      <c r="H2" s="888"/>
      <c r="I2" s="888"/>
      <c r="J2" s="888"/>
      <c r="K2" s="888"/>
      <c r="L2" s="888"/>
      <c r="M2" s="888"/>
      <c r="N2" s="888"/>
      <c r="O2" s="888"/>
      <c r="P2" s="888"/>
      <c r="Q2" s="888"/>
      <c r="R2" s="888"/>
    </row>
    <row r="3" spans="1:29" ht="48">
      <c r="A3" s="2616" t="s">
        <v>2784</v>
      </c>
      <c r="B3" s="2638" t="s">
        <v>2753</v>
      </c>
      <c r="C3" s="2639" t="s">
        <v>2785</v>
      </c>
      <c r="D3" s="2640"/>
      <c r="E3" s="2617" t="s">
        <v>2784</v>
      </c>
      <c r="F3" s="2641" t="s">
        <v>2754</v>
      </c>
      <c r="G3" s="2642" t="s">
        <v>2786</v>
      </c>
      <c r="H3" s="888"/>
      <c r="I3" s="888"/>
      <c r="J3" s="888"/>
      <c r="K3" s="888"/>
      <c r="L3" s="888"/>
      <c r="M3" s="888"/>
      <c r="N3" s="888"/>
      <c r="O3" s="888"/>
      <c r="P3" s="888"/>
      <c r="Q3" s="888"/>
      <c r="R3" s="888"/>
    </row>
    <row r="4" spans="1:29" ht="36.75">
      <c r="A4" s="2617"/>
      <c r="B4" s="329" t="s">
        <v>2755</v>
      </c>
      <c r="C4" s="2643" t="s">
        <v>2756</v>
      </c>
      <c r="D4" s="2640"/>
      <c r="E4" s="2644"/>
      <c r="F4" s="1508" t="s">
        <v>2757</v>
      </c>
      <c r="G4" s="2645" t="s">
        <v>2758</v>
      </c>
      <c r="H4" s="888"/>
      <c r="I4" s="888"/>
      <c r="J4" s="888"/>
      <c r="K4" s="888"/>
      <c r="L4" s="888"/>
      <c r="M4" s="888"/>
      <c r="N4" s="888"/>
      <c r="O4" s="888"/>
      <c r="P4" s="888"/>
      <c r="Q4" s="888"/>
      <c r="R4" s="888"/>
    </row>
    <row r="5" spans="1:29" ht="36.75">
      <c r="A5" s="2617"/>
      <c r="B5" s="329" t="s">
        <v>2759</v>
      </c>
      <c r="C5" s="2643" t="s">
        <v>2760</v>
      </c>
      <c r="D5" s="2640"/>
      <c r="E5" s="2644"/>
      <c r="F5" s="329" t="s">
        <v>2761</v>
      </c>
      <c r="G5" s="2645" t="s">
        <v>2762</v>
      </c>
      <c r="H5" s="888"/>
      <c r="I5" s="888"/>
      <c r="J5" s="888"/>
      <c r="K5" s="888"/>
      <c r="L5" s="888"/>
      <c r="M5" s="888"/>
      <c r="N5" s="888"/>
      <c r="O5" s="888"/>
      <c r="P5" s="888"/>
      <c r="Q5" s="888"/>
      <c r="R5" s="888"/>
    </row>
    <row r="6" spans="1:29" ht="36">
      <c r="A6" s="2617"/>
      <c r="B6" s="329" t="s">
        <v>2763</v>
      </c>
      <c r="C6" s="2645" t="s">
        <v>2758</v>
      </c>
      <c r="D6" s="2640"/>
      <c r="E6" s="2644"/>
      <c r="F6" s="329" t="s">
        <v>2764</v>
      </c>
      <c r="G6" s="2645" t="s">
        <v>2765</v>
      </c>
      <c r="H6" s="888"/>
      <c r="I6" s="888"/>
      <c r="J6" s="888"/>
      <c r="K6" s="888"/>
      <c r="L6" s="888"/>
      <c r="M6" s="888"/>
      <c r="N6" s="888"/>
      <c r="O6" s="888"/>
      <c r="P6" s="888"/>
      <c r="Q6" s="888"/>
      <c r="R6" s="888"/>
    </row>
    <row r="7" spans="1:29" ht="24.75" thickBot="1">
      <c r="A7" s="2617"/>
      <c r="B7" s="329" t="s">
        <v>2761</v>
      </c>
      <c r="C7" s="2645" t="s">
        <v>2762</v>
      </c>
      <c r="D7" s="2646"/>
      <c r="E7" s="2647"/>
      <c r="F7" s="2648" t="s">
        <v>2766</v>
      </c>
      <c r="G7" s="2649" t="s">
        <v>2767</v>
      </c>
      <c r="H7" s="888"/>
      <c r="I7" s="888"/>
      <c r="J7" s="888"/>
      <c r="K7" s="888"/>
      <c r="L7" s="888"/>
      <c r="M7" s="888"/>
      <c r="N7" s="888"/>
      <c r="O7" s="888"/>
      <c r="P7" s="888"/>
      <c r="Q7" s="888"/>
      <c r="R7" s="888"/>
    </row>
    <row r="8" spans="1:29">
      <c r="A8" s="2617"/>
      <c r="B8" s="329" t="s">
        <v>2764</v>
      </c>
      <c r="C8" s="2645" t="s">
        <v>2765</v>
      </c>
      <c r="D8" s="2646"/>
      <c r="E8" s="2646"/>
      <c r="F8" s="2650"/>
      <c r="G8" s="2650"/>
      <c r="H8" s="888"/>
      <c r="I8" s="888"/>
      <c r="J8" s="888"/>
      <c r="K8" s="888"/>
      <c r="L8" s="888"/>
      <c r="M8" s="888"/>
      <c r="N8" s="888"/>
      <c r="O8" s="888"/>
      <c r="P8" s="888"/>
      <c r="Q8" s="888"/>
      <c r="R8" s="888"/>
    </row>
    <row r="9" spans="1:29" ht="24">
      <c r="A9" s="2617"/>
      <c r="B9" s="329" t="s">
        <v>2768</v>
      </c>
      <c r="C9" s="2643" t="s">
        <v>2769</v>
      </c>
      <c r="D9" s="2640"/>
      <c r="E9" s="2646"/>
      <c r="F9" s="2650"/>
      <c r="G9" s="2650"/>
      <c r="H9" s="888"/>
      <c r="I9" s="888"/>
      <c r="J9" s="888"/>
      <c r="K9" s="888"/>
      <c r="L9" s="888"/>
      <c r="M9" s="888"/>
      <c r="N9" s="888"/>
      <c r="O9" s="888"/>
      <c r="P9" s="888"/>
      <c r="Q9" s="888"/>
      <c r="R9" s="888"/>
    </row>
    <row r="10" spans="1:29" s="2656" customFormat="1" ht="15" thickBot="1">
      <c r="A10" s="2618"/>
      <c r="B10" s="2651" t="s">
        <v>2770</v>
      </c>
      <c r="C10" s="2652"/>
      <c r="D10" s="2640"/>
      <c r="E10" s="2640"/>
      <c r="F10" s="2650"/>
      <c r="G10" s="2650"/>
      <c r="H10" s="2653"/>
      <c r="I10" s="2654"/>
      <c r="J10" s="2655"/>
      <c r="K10" s="2653"/>
      <c r="L10" s="2654"/>
      <c r="M10" s="2655"/>
      <c r="N10" s="2653"/>
      <c r="O10" s="2654"/>
      <c r="P10" s="2655"/>
      <c r="Q10" s="2653"/>
      <c r="R10" s="2654"/>
      <c r="S10" s="888"/>
      <c r="T10" s="888"/>
      <c r="U10" s="888"/>
      <c r="V10" s="888"/>
      <c r="W10" s="888"/>
      <c r="X10" s="888"/>
      <c r="Y10" s="888"/>
      <c r="Z10" s="888"/>
      <c r="AA10" s="888"/>
      <c r="AB10" s="888"/>
      <c r="AC10" s="888"/>
    </row>
    <row r="11" spans="1:29" s="2656" customFormat="1">
      <c r="A11" s="2657"/>
      <c r="B11" s="2646"/>
      <c r="C11" s="2640"/>
      <c r="D11" s="2640"/>
      <c r="E11" s="2640"/>
      <c r="F11" s="2646"/>
      <c r="G11" s="2658"/>
      <c r="H11" s="2653"/>
      <c r="I11" s="2654"/>
      <c r="J11" s="2655"/>
      <c r="K11" s="2653"/>
      <c r="L11" s="2654"/>
      <c r="M11" s="2655"/>
      <c r="N11" s="2653"/>
      <c r="O11" s="2654"/>
      <c r="P11" s="2655"/>
      <c r="Q11" s="2653"/>
      <c r="R11" s="2654"/>
      <c r="S11" s="888"/>
      <c r="T11" s="888"/>
      <c r="U11" s="888"/>
      <c r="V11" s="888"/>
      <c r="W11" s="888"/>
      <c r="X11" s="888"/>
      <c r="Y11" s="888"/>
      <c r="Z11" s="888"/>
      <c r="AA11" s="888"/>
      <c r="AB11" s="888"/>
      <c r="AC11" s="888"/>
    </row>
    <row r="12" spans="1:29" s="2632" customFormat="1" ht="18">
      <c r="A12" s="2657"/>
      <c r="B12" s="2646"/>
      <c r="C12" s="2640"/>
      <c r="D12" s="2659"/>
      <c r="E12" s="2640"/>
      <c r="F12" s="2646"/>
      <c r="G12" s="2658"/>
      <c r="H12" s="2660"/>
      <c r="I12" s="2661"/>
      <c r="J12" s="2660"/>
      <c r="K12" s="2660"/>
      <c r="L12" s="2662"/>
      <c r="M12" s="2660"/>
      <c r="N12" s="2663"/>
      <c r="O12" s="2664"/>
      <c r="P12" s="2663"/>
      <c r="Q12" s="2663"/>
      <c r="R12" s="2630"/>
      <c r="S12" s="2631"/>
      <c r="T12" s="2631"/>
      <c r="U12" s="2631"/>
      <c r="V12" s="2631"/>
      <c r="W12" s="2631"/>
      <c r="X12" s="2631"/>
      <c r="Y12" s="2631"/>
      <c r="Z12" s="2631"/>
      <c r="AA12" s="2631"/>
      <c r="AB12" s="2631"/>
      <c r="AC12" s="2631"/>
    </row>
    <row r="13" spans="1:29" ht="15.75" thickBot="1">
      <c r="A13" s="2665" t="s">
        <v>2788</v>
      </c>
      <c r="B13" s="2659"/>
      <c r="C13" s="2659"/>
      <c r="D13" s="2657"/>
      <c r="E13" s="2659"/>
      <c r="F13" s="2659"/>
      <c r="G13" s="2659"/>
    </row>
    <row r="14" spans="1:29" ht="15" thickBot="1">
      <c r="A14" s="2669"/>
      <c r="B14" s="2669"/>
      <c r="C14" s="2670" t="s">
        <v>2771</v>
      </c>
      <c r="D14" s="2640"/>
      <c r="E14" s="2671"/>
      <c r="F14" s="2671"/>
      <c r="G14" s="2635" t="s">
        <v>2772</v>
      </c>
    </row>
    <row r="15" spans="1:29" ht="51">
      <c r="A15" s="2619" t="s">
        <v>2773</v>
      </c>
      <c r="B15" s="2672" t="s">
        <v>2753</v>
      </c>
      <c r="C15" s="2673" t="str">
        <f>C3</f>
        <v>估价对象周边居住用地比例、居住小区规模和社区发展完善程度，综合评价居住社区成熟度一般</v>
      </c>
      <c r="D15" s="2640"/>
      <c r="E15" s="2620" t="s">
        <v>2774</v>
      </c>
      <c r="F15" s="2672" t="s">
        <v>2775</v>
      </c>
      <c r="G15" s="2674" t="str">
        <f>G3</f>
        <v>估价对象位于XX开发区，园区建设成熟度XX，产业集聚程度XX</v>
      </c>
    </row>
    <row r="16" spans="1:29" ht="38.25">
      <c r="A16" s="2621"/>
      <c r="B16" s="2675" t="s">
        <v>2755</v>
      </c>
      <c r="C16" s="2676" t="str">
        <f>C4</f>
        <v>估价对象位于XX商圈，周边商业氛围成熟，人流量大，商业繁华度好</v>
      </c>
      <c r="D16" s="2640"/>
      <c r="E16" s="2622"/>
      <c r="F16" s="2677" t="s">
        <v>2757</v>
      </c>
      <c r="G16" s="2678" t="str">
        <f>G4</f>
        <v>估价对象周边道路状况、公共交通通达情况、停车便捷程度，综合评价交通便捷度较好</v>
      </c>
    </row>
    <row r="17" spans="1:18" ht="38.25">
      <c r="A17" s="2621"/>
      <c r="B17" s="2675" t="s">
        <v>2759</v>
      </c>
      <c r="C17" s="2676" t="str">
        <f>C5</f>
        <v>估价对象位于XX商圈，周边办公楼项目较多，入驻率高，办公集聚程度较好</v>
      </c>
      <c r="D17" s="2646"/>
      <c r="E17" s="2622"/>
      <c r="F17" s="2677" t="s">
        <v>2776</v>
      </c>
      <c r="G17" s="2679"/>
    </row>
    <row r="18" spans="1:18" ht="38.25">
      <c r="A18" s="2621"/>
      <c r="B18" s="2677" t="s">
        <v>2763</v>
      </c>
      <c r="C18" s="2678" t="str">
        <f>C6</f>
        <v>估价对象周边道路状况、公共交通通达情况、停车便捷程度，综合评价交通便捷度较好</v>
      </c>
      <c r="D18" s="2646"/>
      <c r="E18" s="2622"/>
      <c r="F18" s="2677" t="s">
        <v>2766</v>
      </c>
      <c r="G18" s="2678" t="str">
        <f>G7</f>
        <v>该园区内是否有污染型企业，绿化情况，卫生条件，整体环境状况判断</v>
      </c>
    </row>
    <row r="19" spans="1:18" ht="25.5">
      <c r="A19" s="2621"/>
      <c r="B19" s="2677" t="s">
        <v>2777</v>
      </c>
      <c r="C19" s="2679"/>
      <c r="D19" s="2640"/>
      <c r="E19" s="2622"/>
      <c r="F19" s="329" t="s">
        <v>2761</v>
      </c>
      <c r="G19" s="2678" t="str">
        <f>G5</f>
        <v>估价对象所在区域公共配套设施齐备情况</v>
      </c>
    </row>
    <row r="20" spans="1:18" ht="25.5">
      <c r="A20" s="2621"/>
      <c r="B20" s="2677" t="s">
        <v>2778</v>
      </c>
      <c r="C20" s="2676" t="str">
        <f>C9</f>
        <v>区域自然环境：；人文环境；综合评价环境状况一般</v>
      </c>
      <c r="D20" s="2646"/>
      <c r="E20" s="2622"/>
      <c r="F20" s="329" t="s">
        <v>2764</v>
      </c>
      <c r="G20" s="2678" t="str">
        <f>G6</f>
        <v>估价对象所在区域基础设施水平</v>
      </c>
    </row>
    <row r="21" spans="1:18" ht="25.5">
      <c r="A21" s="2621"/>
      <c r="B21" s="329" t="s">
        <v>2761</v>
      </c>
      <c r="C21" s="2678" t="str">
        <f>C7</f>
        <v>估价对象所在区域公共配套设施齐备情况</v>
      </c>
      <c r="D21" s="2640"/>
      <c r="E21" s="2622"/>
      <c r="F21" s="2677" t="s">
        <v>2779</v>
      </c>
      <c r="G21" s="2680"/>
    </row>
    <row r="22" spans="1:18" ht="13.5" customHeight="1">
      <c r="A22" s="2621"/>
      <c r="B22" s="329" t="s">
        <v>2764</v>
      </c>
      <c r="C22" s="2678" t="str">
        <f>C8</f>
        <v>估价对象所在区域基础设施水平</v>
      </c>
      <c r="D22" s="2640"/>
      <c r="E22" s="2622"/>
      <c r="F22" s="2677" t="s">
        <v>2770</v>
      </c>
      <c r="G22" s="2679"/>
    </row>
    <row r="23" spans="1:18" s="888" customFormat="1" ht="15" thickBot="1">
      <c r="A23" s="2621"/>
      <c r="B23" s="2677" t="s">
        <v>2779</v>
      </c>
      <c r="C23" s="2680"/>
      <c r="D23" s="1878"/>
      <c r="E23" s="2623"/>
      <c r="F23" s="2681" t="s">
        <v>2780</v>
      </c>
      <c r="G23" s="2682"/>
      <c r="H23" s="2666"/>
      <c r="I23" s="2667"/>
      <c r="J23" s="2666"/>
      <c r="K23" s="2666"/>
      <c r="L23" s="2667"/>
      <c r="M23" s="2666"/>
      <c r="N23" s="2666"/>
      <c r="O23" s="2667"/>
      <c r="P23" s="2666"/>
      <c r="Q23" s="2666"/>
      <c r="R23" s="2668"/>
    </row>
    <row r="24" spans="1:18" s="888" customFormat="1" ht="15" thickBot="1">
      <c r="A24" s="2624"/>
      <c r="B24" s="2681" t="s">
        <v>2781</v>
      </c>
      <c r="C24" s="2683">
        <f>C10</f>
        <v>0</v>
      </c>
      <c r="D24" s="1878"/>
      <c r="E24" s="2614"/>
      <c r="F24" s="2614"/>
      <c r="G24" s="2684"/>
      <c r="H24" s="2666"/>
      <c r="I24" s="2667"/>
      <c r="J24" s="2666"/>
      <c r="K24" s="2666"/>
      <c r="L24" s="2667"/>
      <c r="M24" s="2666"/>
      <c r="N24" s="2666"/>
      <c r="O24" s="2667"/>
      <c r="P24" s="2666"/>
      <c r="Q24" s="2666"/>
      <c r="R24" s="2668"/>
    </row>
    <row r="25" spans="1:18" s="888" customFormat="1">
      <c r="B25" s="2666"/>
      <c r="C25" s="2666"/>
      <c r="D25" s="2666"/>
      <c r="H25" s="2666"/>
      <c r="I25" s="2667"/>
      <c r="J25" s="2666"/>
      <c r="K25" s="2666"/>
      <c r="L25" s="2667"/>
      <c r="M25" s="2666"/>
      <c r="N25" s="2666"/>
      <c r="O25" s="2667"/>
      <c r="P25" s="2666"/>
      <c r="Q25" s="2666"/>
      <c r="R25" s="2668"/>
    </row>
    <row r="26" spans="1:18" s="888" customFormat="1">
      <c r="B26" s="2666"/>
      <c r="C26" s="2666"/>
      <c r="D26" s="2666"/>
      <c r="H26" s="2666"/>
      <c r="I26" s="2667"/>
      <c r="J26" s="2666"/>
      <c r="K26" s="2666"/>
      <c r="L26" s="2667"/>
      <c r="M26" s="2666"/>
      <c r="N26" s="2666"/>
      <c r="O26" s="2667"/>
      <c r="P26" s="2666"/>
      <c r="Q26" s="2666"/>
      <c r="R26" s="2668"/>
    </row>
    <row r="27" spans="1:18" s="888" customFormat="1">
      <c r="B27" s="2666"/>
      <c r="C27" s="2666"/>
      <c r="D27" s="2666"/>
      <c r="H27" s="2666"/>
      <c r="I27" s="2667"/>
      <c r="J27" s="2666"/>
      <c r="K27" s="2666"/>
      <c r="L27" s="2667"/>
      <c r="M27" s="2666"/>
      <c r="N27" s="2666"/>
      <c r="O27" s="2667"/>
      <c r="P27" s="2666"/>
      <c r="Q27" s="2666"/>
      <c r="R27" s="2668"/>
    </row>
    <row r="28" spans="1:18" s="888" customFormat="1">
      <c r="B28" s="2666"/>
      <c r="C28" s="2666"/>
      <c r="D28" s="2666"/>
      <c r="H28" s="2666"/>
      <c r="I28" s="2667"/>
      <c r="J28" s="2666"/>
      <c r="K28" s="2666"/>
      <c r="L28" s="2667"/>
      <c r="M28" s="2666"/>
      <c r="N28" s="2666"/>
      <c r="O28" s="2667"/>
      <c r="P28" s="2666"/>
      <c r="Q28" s="2666"/>
      <c r="R28" s="2668"/>
    </row>
    <row r="29" spans="1:18" s="888" customFormat="1">
      <c r="B29" s="2666"/>
      <c r="C29" s="2666"/>
      <c r="D29" s="2666"/>
      <c r="H29" s="2666"/>
      <c r="I29" s="2667"/>
      <c r="J29" s="2666"/>
      <c r="K29" s="2666"/>
      <c r="L29" s="2667"/>
      <c r="M29" s="2666"/>
      <c r="N29" s="2666"/>
      <c r="O29" s="2667"/>
      <c r="P29" s="2666"/>
      <c r="Q29" s="2666"/>
      <c r="R29" s="2668"/>
    </row>
    <row r="30" spans="1:18" s="888" customFormat="1">
      <c r="B30" s="2666"/>
      <c r="C30" s="2666"/>
      <c r="D30" s="2666"/>
      <c r="H30" s="2666"/>
      <c r="I30" s="2667"/>
      <c r="J30" s="2666"/>
      <c r="K30" s="2666"/>
      <c r="L30" s="2667"/>
      <c r="M30" s="2666"/>
      <c r="N30" s="2666"/>
      <c r="O30" s="2667"/>
      <c r="P30" s="2666"/>
      <c r="Q30" s="2666"/>
      <c r="R30" s="2668"/>
    </row>
    <row r="31" spans="1:18" s="888" customFormat="1">
      <c r="B31" s="2666"/>
      <c r="C31" s="2666"/>
      <c r="D31" s="2666"/>
      <c r="H31" s="2666"/>
      <c r="I31" s="2667"/>
      <c r="J31" s="2666"/>
      <c r="K31" s="2666"/>
      <c r="L31" s="2667"/>
      <c r="M31" s="2666"/>
      <c r="N31" s="2666"/>
      <c r="O31" s="2667"/>
      <c r="P31" s="2666"/>
      <c r="Q31" s="2666"/>
      <c r="R31" s="2668"/>
    </row>
    <row r="32" spans="1:18" s="888" customFormat="1">
      <c r="B32" s="2666"/>
      <c r="C32" s="2666"/>
      <c r="D32" s="2666"/>
      <c r="H32" s="2666"/>
      <c r="I32" s="2667"/>
      <c r="J32" s="2666"/>
      <c r="K32" s="2666"/>
      <c r="L32" s="2667"/>
      <c r="M32" s="2666"/>
      <c r="N32" s="2666"/>
      <c r="O32" s="2667"/>
      <c r="P32" s="2666"/>
      <c r="Q32" s="2666"/>
      <c r="R32" s="2668"/>
    </row>
    <row r="33" spans="2:18" s="888" customFormat="1">
      <c r="B33" s="2666"/>
      <c r="C33" s="2666"/>
      <c r="D33" s="2666"/>
      <c r="H33" s="2666"/>
      <c r="I33" s="2667"/>
      <c r="J33" s="2666"/>
      <c r="K33" s="2666"/>
      <c r="L33" s="2667"/>
      <c r="M33" s="2666"/>
      <c r="N33" s="2666"/>
      <c r="O33" s="2667"/>
      <c r="P33" s="2666"/>
      <c r="Q33" s="2666"/>
      <c r="R33" s="2668"/>
    </row>
    <row r="34" spans="2:18" s="888" customFormat="1">
      <c r="B34" s="2666"/>
      <c r="C34" s="2666"/>
      <c r="D34" s="2666"/>
      <c r="H34" s="2666"/>
      <c r="I34" s="2667"/>
      <c r="J34" s="2666"/>
      <c r="K34" s="2666"/>
      <c r="L34" s="2667"/>
      <c r="M34" s="2666"/>
      <c r="N34" s="2666"/>
      <c r="O34" s="2667"/>
      <c r="P34" s="2666"/>
      <c r="Q34" s="2666"/>
      <c r="R34" s="2668"/>
    </row>
    <row r="35" spans="2:18" s="888" customFormat="1">
      <c r="B35" s="2666"/>
      <c r="C35" s="2666"/>
      <c r="D35" s="2666"/>
      <c r="H35" s="2666"/>
      <c r="I35" s="2667"/>
      <c r="J35" s="2666"/>
      <c r="K35" s="2666"/>
      <c r="L35" s="2667"/>
      <c r="M35" s="2666"/>
      <c r="N35" s="2666"/>
      <c r="O35" s="2667"/>
      <c r="P35" s="2666"/>
      <c r="Q35" s="2666"/>
      <c r="R35" s="2668"/>
    </row>
    <row r="36" spans="2:18" s="888" customFormat="1">
      <c r="B36" s="2666"/>
      <c r="C36" s="2666"/>
      <c r="D36" s="2666"/>
      <c r="H36" s="2666"/>
      <c r="I36" s="2667"/>
      <c r="J36" s="2666"/>
      <c r="K36" s="2666"/>
      <c r="L36" s="2667"/>
      <c r="M36" s="2666"/>
      <c r="N36" s="2666"/>
      <c r="O36" s="2667"/>
      <c r="P36" s="2666"/>
      <c r="Q36" s="2666"/>
      <c r="R36" s="2668"/>
    </row>
    <row r="37" spans="2:18" s="888" customFormat="1">
      <c r="B37" s="2666"/>
      <c r="C37" s="2666"/>
      <c r="D37" s="2666"/>
      <c r="H37" s="2666"/>
      <c r="I37" s="2667"/>
      <c r="J37" s="2666"/>
      <c r="K37" s="2666"/>
      <c r="L37" s="2667"/>
      <c r="M37" s="2666"/>
      <c r="N37" s="2666"/>
      <c r="O37" s="2667"/>
      <c r="P37" s="2666"/>
      <c r="Q37" s="2666"/>
      <c r="R37" s="2668"/>
    </row>
    <row r="38" spans="2:18" s="888" customFormat="1">
      <c r="B38" s="2666"/>
      <c r="C38" s="2666"/>
      <c r="D38" s="2666"/>
      <c r="E38" s="2666"/>
      <c r="F38" s="2666"/>
      <c r="G38" s="2667"/>
      <c r="H38" s="2666"/>
      <c r="I38" s="2667"/>
      <c r="J38" s="2666"/>
      <c r="K38" s="2666"/>
      <c r="L38" s="2667"/>
      <c r="M38" s="2666"/>
      <c r="N38" s="2666"/>
      <c r="O38" s="2667"/>
      <c r="P38" s="2666"/>
      <c r="Q38" s="2666"/>
      <c r="R38" s="2668"/>
    </row>
    <row r="39" spans="2:18" s="888" customFormat="1">
      <c r="B39" s="2666"/>
      <c r="C39" s="2666"/>
      <c r="D39" s="2666"/>
      <c r="E39" s="2666"/>
      <c r="F39" s="2666"/>
      <c r="G39" s="2667"/>
      <c r="H39" s="2666"/>
      <c r="I39" s="2667"/>
      <c r="J39" s="2666"/>
      <c r="K39" s="2666"/>
      <c r="L39" s="2667"/>
      <c r="M39" s="2666"/>
      <c r="N39" s="2666"/>
      <c r="O39" s="2667"/>
      <c r="P39" s="2666"/>
      <c r="Q39" s="2666"/>
      <c r="R39" s="2668"/>
    </row>
    <row r="40" spans="2:18" s="888" customFormat="1">
      <c r="B40" s="2666"/>
      <c r="C40" s="2666"/>
      <c r="D40" s="2666"/>
      <c r="E40" s="2666"/>
      <c r="F40" s="2666"/>
      <c r="G40" s="2667"/>
      <c r="H40" s="2666"/>
      <c r="I40" s="2667"/>
      <c r="J40" s="2666"/>
      <c r="K40" s="2666"/>
      <c r="L40" s="2667"/>
      <c r="M40" s="2666"/>
      <c r="N40" s="2666"/>
      <c r="O40" s="2667"/>
      <c r="P40" s="2666"/>
      <c r="Q40" s="2666"/>
      <c r="R40" s="2668"/>
    </row>
    <row r="41" spans="2:18" s="888" customFormat="1">
      <c r="B41" s="2666"/>
      <c r="C41" s="2666"/>
      <c r="D41" s="2666"/>
      <c r="E41" s="2666"/>
      <c r="F41" s="2666"/>
      <c r="G41" s="2667"/>
      <c r="H41" s="2666"/>
      <c r="I41" s="2667"/>
      <c r="J41" s="2666"/>
      <c r="K41" s="2666"/>
      <c r="L41" s="2667"/>
      <c r="M41" s="2666"/>
      <c r="N41" s="2666"/>
      <c r="O41" s="2667"/>
      <c r="P41" s="2666"/>
      <c r="Q41" s="2666"/>
      <c r="R41" s="2668"/>
    </row>
    <row r="42" spans="2:18" s="888" customFormat="1">
      <c r="B42" s="2666"/>
      <c r="C42" s="2666"/>
      <c r="D42" s="2666"/>
      <c r="E42" s="2666"/>
      <c r="F42" s="2666"/>
      <c r="G42" s="2667"/>
      <c r="H42" s="2666"/>
      <c r="I42" s="2667"/>
      <c r="J42" s="2666"/>
      <c r="K42" s="2666"/>
      <c r="L42" s="2667"/>
      <c r="M42" s="2666"/>
      <c r="N42" s="2666"/>
      <c r="O42" s="2667"/>
      <c r="P42" s="2666"/>
      <c r="Q42" s="2666"/>
      <c r="R42" s="2668"/>
    </row>
    <row r="43" spans="2:18" s="888" customFormat="1">
      <c r="B43" s="2666"/>
      <c r="C43" s="2666"/>
      <c r="D43" s="2666"/>
      <c r="E43" s="2666"/>
      <c r="F43" s="2666"/>
      <c r="G43" s="2667"/>
      <c r="H43" s="2666"/>
      <c r="I43" s="2667"/>
      <c r="J43" s="2666"/>
      <c r="K43" s="2666"/>
      <c r="L43" s="2667"/>
      <c r="M43" s="2666"/>
      <c r="N43" s="2666"/>
      <c r="O43" s="2667"/>
      <c r="P43" s="2666"/>
      <c r="Q43" s="2666"/>
      <c r="R43" s="2668"/>
    </row>
    <row r="44" spans="2:18" s="888" customFormat="1">
      <c r="B44" s="2666"/>
      <c r="C44" s="2666"/>
      <c r="D44" s="2666"/>
      <c r="E44" s="2666"/>
      <c r="F44" s="2666"/>
      <c r="G44" s="2667"/>
      <c r="H44" s="2666"/>
      <c r="I44" s="2667"/>
      <c r="J44" s="2666"/>
      <c r="K44" s="2666"/>
      <c r="L44" s="2667"/>
      <c r="M44" s="2666"/>
      <c r="N44" s="2666"/>
      <c r="O44" s="2667"/>
      <c r="P44" s="2666"/>
      <c r="Q44" s="2666"/>
      <c r="R44" s="2668"/>
    </row>
    <row r="45" spans="2:18" s="888" customFormat="1">
      <c r="B45" s="2666"/>
      <c r="C45" s="2666"/>
      <c r="D45" s="2666"/>
      <c r="E45" s="2666"/>
      <c r="F45" s="2666"/>
      <c r="G45" s="2667"/>
      <c r="H45" s="2666"/>
      <c r="I45" s="2667"/>
      <c r="J45" s="2666"/>
      <c r="K45" s="2666"/>
      <c r="L45" s="2667"/>
      <c r="M45" s="2666"/>
      <c r="N45" s="2666"/>
      <c r="O45" s="2667"/>
      <c r="P45" s="2666"/>
      <c r="Q45" s="2666"/>
      <c r="R45" s="2668"/>
    </row>
    <row r="46" spans="2:18" s="888" customFormat="1">
      <c r="B46" s="2666"/>
      <c r="C46" s="2666"/>
      <c r="D46" s="2666"/>
      <c r="E46" s="2666"/>
      <c r="F46" s="2666"/>
      <c r="G46" s="2667"/>
      <c r="H46" s="2666"/>
      <c r="I46" s="2667"/>
      <c r="J46" s="2666"/>
      <c r="K46" s="2666"/>
      <c r="L46" s="2667"/>
      <c r="M46" s="2666"/>
      <c r="N46" s="2666"/>
      <c r="O46" s="2667"/>
      <c r="P46" s="2666"/>
      <c r="Q46" s="2666"/>
      <c r="R46" s="2668"/>
    </row>
    <row r="47" spans="2:18" s="888" customFormat="1">
      <c r="B47" s="2666"/>
      <c r="C47" s="2666"/>
      <c r="D47" s="2666"/>
      <c r="E47" s="2666"/>
      <c r="F47" s="2666"/>
      <c r="G47" s="2667"/>
      <c r="H47" s="2666"/>
      <c r="I47" s="2667"/>
      <c r="J47" s="2666"/>
      <c r="K47" s="2666"/>
      <c r="L47" s="2667"/>
      <c r="M47" s="2666"/>
      <c r="N47" s="2666"/>
      <c r="O47" s="2667"/>
      <c r="P47" s="2666"/>
      <c r="Q47" s="2666"/>
      <c r="R47" s="2668"/>
    </row>
    <row r="48" spans="2:18" s="888" customFormat="1">
      <c r="B48" s="2666"/>
      <c r="C48" s="2666"/>
      <c r="D48" s="2666"/>
      <c r="E48" s="2666"/>
      <c r="F48" s="2666"/>
      <c r="G48" s="2667"/>
      <c r="H48" s="2666"/>
      <c r="I48" s="2667"/>
      <c r="J48" s="2666"/>
      <c r="K48" s="2666"/>
      <c r="L48" s="2667"/>
      <c r="M48" s="2666"/>
      <c r="N48" s="2666"/>
      <c r="O48" s="2667"/>
      <c r="P48" s="2666"/>
      <c r="Q48" s="2666"/>
      <c r="R48" s="2668"/>
    </row>
    <row r="49" spans="2:18" s="888" customFormat="1">
      <c r="B49" s="2666"/>
      <c r="C49" s="2666"/>
      <c r="D49" s="2666"/>
      <c r="E49" s="2666"/>
      <c r="F49" s="2666"/>
      <c r="G49" s="2667"/>
      <c r="H49" s="2666"/>
      <c r="I49" s="2667"/>
      <c r="J49" s="2666"/>
      <c r="K49" s="2666"/>
      <c r="L49" s="2667"/>
      <c r="M49" s="2666"/>
      <c r="N49" s="2666"/>
      <c r="O49" s="2667"/>
      <c r="P49" s="2666"/>
      <c r="Q49" s="2666"/>
      <c r="R49" s="2668"/>
    </row>
    <row r="50" spans="2:18" s="888" customFormat="1">
      <c r="B50" s="2666"/>
      <c r="C50" s="2666"/>
      <c r="D50" s="2666"/>
      <c r="E50" s="2666"/>
      <c r="F50" s="2666"/>
      <c r="G50" s="2667"/>
      <c r="H50" s="2666"/>
      <c r="I50" s="2667"/>
      <c r="J50" s="2666"/>
      <c r="K50" s="2666"/>
      <c r="L50" s="2667"/>
      <c r="M50" s="2666"/>
      <c r="N50" s="2666"/>
      <c r="O50" s="2667"/>
      <c r="P50" s="2666"/>
      <c r="Q50" s="2666"/>
      <c r="R50" s="2668"/>
    </row>
    <row r="51" spans="2:18" s="888" customFormat="1">
      <c r="B51" s="2666"/>
      <c r="C51" s="2666"/>
      <c r="D51" s="2666"/>
      <c r="E51" s="2666"/>
      <c r="F51" s="2666"/>
      <c r="G51" s="2667"/>
      <c r="H51" s="2666"/>
      <c r="I51" s="2667"/>
      <c r="J51" s="2666"/>
      <c r="K51" s="2666"/>
      <c r="L51" s="2667"/>
      <c r="M51" s="2666"/>
      <c r="N51" s="2666"/>
      <c r="O51" s="2667"/>
      <c r="P51" s="2666"/>
      <c r="Q51" s="2666"/>
      <c r="R51" s="2668"/>
    </row>
    <row r="52" spans="2:18" s="888" customFormat="1">
      <c r="B52" s="2666"/>
      <c r="C52" s="2666"/>
      <c r="D52" s="2666"/>
      <c r="E52" s="2666"/>
      <c r="F52" s="2666"/>
      <c r="G52" s="2667"/>
      <c r="H52" s="2666"/>
      <c r="I52" s="2667"/>
      <c r="J52" s="2666"/>
      <c r="K52" s="2666"/>
      <c r="L52" s="2667"/>
      <c r="M52" s="2666"/>
      <c r="N52" s="2666"/>
      <c r="O52" s="2667"/>
      <c r="P52" s="2666"/>
      <c r="Q52" s="2666"/>
      <c r="R52" s="2668"/>
    </row>
    <row r="53" spans="2:18" s="888" customFormat="1">
      <c r="B53" s="2666"/>
      <c r="C53" s="2666"/>
      <c r="D53" s="2666"/>
      <c r="E53" s="2666"/>
      <c r="F53" s="2666"/>
      <c r="G53" s="2667"/>
      <c r="H53" s="2666"/>
      <c r="I53" s="2667"/>
      <c r="J53" s="2666"/>
      <c r="K53" s="2666"/>
      <c r="L53" s="2667"/>
      <c r="M53" s="2666"/>
      <c r="N53" s="2666"/>
      <c r="O53" s="2667"/>
      <c r="P53" s="2666"/>
      <c r="Q53" s="2666"/>
      <c r="R53" s="2668"/>
    </row>
    <row r="54" spans="2:18" s="888" customFormat="1">
      <c r="B54" s="2666"/>
      <c r="C54" s="2666"/>
      <c r="D54" s="2666"/>
      <c r="E54" s="2666"/>
      <c r="F54" s="2666"/>
      <c r="G54" s="2667"/>
      <c r="H54" s="2666"/>
      <c r="I54" s="2667"/>
      <c r="J54" s="2666"/>
      <c r="K54" s="2666"/>
      <c r="L54" s="2667"/>
      <c r="M54" s="2666"/>
      <c r="N54" s="2666"/>
      <c r="O54" s="2667"/>
      <c r="P54" s="2666"/>
      <c r="Q54" s="2666"/>
      <c r="R54" s="2668"/>
    </row>
    <row r="55" spans="2:18" s="888" customFormat="1">
      <c r="B55" s="2666"/>
      <c r="C55" s="2666"/>
      <c r="D55" s="2666"/>
      <c r="E55" s="2666"/>
      <c r="F55" s="2666"/>
      <c r="G55" s="2667"/>
      <c r="H55" s="2666"/>
      <c r="I55" s="2667"/>
      <c r="J55" s="2666"/>
      <c r="K55" s="2666"/>
      <c r="L55" s="2667"/>
      <c r="M55" s="2666"/>
      <c r="N55" s="2666"/>
      <c r="O55" s="2667"/>
      <c r="P55" s="2666"/>
      <c r="Q55" s="2666"/>
      <c r="R55" s="2668"/>
    </row>
    <row r="56" spans="2:18" s="888" customFormat="1">
      <c r="B56" s="2666"/>
      <c r="C56" s="2666"/>
      <c r="D56" s="2666"/>
      <c r="E56" s="2666"/>
      <c r="F56" s="2666"/>
      <c r="G56" s="2667"/>
      <c r="H56" s="2666"/>
      <c r="I56" s="2667"/>
      <c r="J56" s="2666"/>
      <c r="K56" s="2666"/>
      <c r="L56" s="2667"/>
      <c r="M56" s="2666"/>
      <c r="N56" s="2666"/>
      <c r="O56" s="2667"/>
      <c r="P56" s="2666"/>
      <c r="Q56" s="2666"/>
      <c r="R56" s="2668"/>
    </row>
    <row r="57" spans="2:18" s="888" customFormat="1">
      <c r="B57" s="2666"/>
      <c r="C57" s="2666"/>
      <c r="D57" s="2666"/>
      <c r="E57" s="2666"/>
      <c r="F57" s="2666"/>
      <c r="G57" s="2667"/>
      <c r="H57" s="2666"/>
      <c r="I57" s="2667"/>
      <c r="J57" s="2666"/>
      <c r="K57" s="2666"/>
      <c r="L57" s="2667"/>
      <c r="M57" s="2666"/>
      <c r="N57" s="2666"/>
      <c r="O57" s="2667"/>
      <c r="P57" s="2666"/>
      <c r="Q57" s="2666"/>
      <c r="R57" s="2668"/>
    </row>
    <row r="58" spans="2:18" s="888" customFormat="1">
      <c r="B58" s="2666"/>
      <c r="C58" s="2666"/>
      <c r="D58" s="2666"/>
      <c r="E58" s="2666"/>
      <c r="F58" s="2666"/>
      <c r="G58" s="2667"/>
      <c r="H58" s="2666"/>
      <c r="I58" s="2667"/>
      <c r="J58" s="2666"/>
      <c r="K58" s="2666"/>
      <c r="L58" s="2667"/>
      <c r="M58" s="2666"/>
      <c r="N58" s="2666"/>
      <c r="O58" s="2667"/>
      <c r="P58" s="2666"/>
      <c r="Q58" s="2666"/>
      <c r="R58" s="2668"/>
    </row>
    <row r="59" spans="2:18" s="888" customFormat="1">
      <c r="B59" s="2666"/>
      <c r="C59" s="2666"/>
      <c r="D59" s="2666"/>
      <c r="E59" s="2666"/>
      <c r="F59" s="2666"/>
      <c r="G59" s="2667"/>
      <c r="H59" s="2666"/>
      <c r="I59" s="2667"/>
      <c r="J59" s="2666"/>
      <c r="K59" s="2666"/>
      <c r="L59" s="2667"/>
      <c r="M59" s="2666"/>
      <c r="N59" s="2666"/>
      <c r="O59" s="2667"/>
      <c r="P59" s="2666"/>
      <c r="Q59" s="2666"/>
      <c r="R59" s="2668"/>
    </row>
    <row r="60" spans="2:18" s="888" customFormat="1">
      <c r="B60" s="2666"/>
      <c r="C60" s="2666"/>
      <c r="D60" s="2666"/>
      <c r="E60" s="2666"/>
      <c r="F60" s="2666"/>
      <c r="G60" s="2667"/>
      <c r="H60" s="2666"/>
      <c r="I60" s="2667"/>
      <c r="J60" s="2666"/>
      <c r="K60" s="2666"/>
      <c r="L60" s="2667"/>
      <c r="M60" s="2666"/>
      <c r="N60" s="2666"/>
      <c r="O60" s="2667"/>
      <c r="P60" s="2666"/>
      <c r="Q60" s="2666"/>
      <c r="R60" s="2668"/>
    </row>
    <row r="61" spans="2:18" s="888" customFormat="1">
      <c r="B61" s="2666"/>
      <c r="C61" s="2666"/>
      <c r="D61" s="2666"/>
      <c r="E61" s="2666"/>
      <c r="F61" s="2666"/>
      <c r="G61" s="2667"/>
      <c r="H61" s="2666"/>
      <c r="I61" s="2667"/>
      <c r="J61" s="2666"/>
      <c r="K61" s="2666"/>
      <c r="L61" s="2667"/>
      <c r="M61" s="2666"/>
      <c r="N61" s="2666"/>
      <c r="O61" s="2667"/>
      <c r="P61" s="2666"/>
      <c r="Q61" s="2666"/>
      <c r="R61" s="2668"/>
    </row>
    <row r="62" spans="2:18" s="888" customFormat="1">
      <c r="B62" s="2666"/>
      <c r="C62" s="2666"/>
      <c r="D62" s="2666"/>
      <c r="E62" s="2666"/>
      <c r="F62" s="2666"/>
      <c r="G62" s="2667"/>
      <c r="H62" s="2666"/>
      <c r="I62" s="2667"/>
      <c r="J62" s="2666"/>
      <c r="K62" s="2666"/>
      <c r="L62" s="2667"/>
      <c r="M62" s="2666"/>
      <c r="N62" s="2666"/>
      <c r="O62" s="2667"/>
      <c r="P62" s="2666"/>
      <c r="Q62" s="2666"/>
      <c r="R62" s="2668"/>
    </row>
    <row r="63" spans="2:18" s="888" customFormat="1">
      <c r="B63" s="2666"/>
      <c r="C63" s="2666"/>
      <c r="D63" s="2666"/>
      <c r="E63" s="2666"/>
      <c r="F63" s="2666"/>
      <c r="G63" s="2667"/>
      <c r="H63" s="2666"/>
      <c r="I63" s="2667"/>
      <c r="J63" s="2666"/>
      <c r="K63" s="2666"/>
      <c r="L63" s="2667"/>
      <c r="M63" s="2666"/>
      <c r="N63" s="2666"/>
      <c r="O63" s="2667"/>
      <c r="P63" s="2666"/>
      <c r="Q63" s="2666"/>
      <c r="R63" s="2668"/>
    </row>
    <row r="64" spans="2:18" s="888" customFormat="1">
      <c r="B64" s="2666"/>
      <c r="C64" s="2666"/>
      <c r="D64" s="2666"/>
      <c r="E64" s="2666"/>
      <c r="F64" s="2666"/>
      <c r="G64" s="2667"/>
      <c r="H64" s="2666"/>
      <c r="I64" s="2667"/>
      <c r="J64" s="2666"/>
      <c r="K64" s="2666"/>
      <c r="L64" s="2667"/>
      <c r="M64" s="2666"/>
      <c r="N64" s="2666"/>
      <c r="O64" s="2667"/>
      <c r="P64" s="2666"/>
      <c r="Q64" s="2666"/>
      <c r="R64" s="2668"/>
    </row>
    <row r="65" spans="2:18" s="888" customFormat="1">
      <c r="B65" s="2666"/>
      <c r="C65" s="2666"/>
      <c r="D65" s="2666"/>
      <c r="E65" s="2666"/>
      <c r="F65" s="2666"/>
      <c r="G65" s="2667"/>
      <c r="H65" s="2666"/>
      <c r="I65" s="2667"/>
      <c r="J65" s="2666"/>
      <c r="K65" s="2666"/>
      <c r="L65" s="2667"/>
      <c r="M65" s="2666"/>
      <c r="N65" s="2666"/>
      <c r="O65" s="2667"/>
      <c r="P65" s="2666"/>
      <c r="Q65" s="2666"/>
      <c r="R65" s="2668"/>
    </row>
    <row r="66" spans="2:18" s="888" customFormat="1">
      <c r="B66" s="2666"/>
      <c r="C66" s="2666"/>
      <c r="D66" s="2666"/>
      <c r="E66" s="2666"/>
      <c r="F66" s="2666"/>
      <c r="G66" s="2667"/>
      <c r="H66" s="2666"/>
      <c r="I66" s="2667"/>
      <c r="J66" s="2666"/>
      <c r="K66" s="2666"/>
      <c r="L66" s="2667"/>
      <c r="M66" s="2666"/>
      <c r="N66" s="2666"/>
      <c r="O66" s="2667"/>
      <c r="P66" s="2666"/>
      <c r="Q66" s="2666"/>
      <c r="R66" s="2668"/>
    </row>
    <row r="67" spans="2:18" s="888" customFormat="1">
      <c r="B67" s="2666"/>
      <c r="C67" s="2666"/>
      <c r="D67" s="2666"/>
      <c r="E67" s="2666"/>
      <c r="F67" s="2666"/>
      <c r="G67" s="2667"/>
      <c r="H67" s="2666"/>
      <c r="I67" s="2667"/>
      <c r="J67" s="2666"/>
      <c r="K67" s="2666"/>
      <c r="L67" s="2667"/>
      <c r="M67" s="2666"/>
      <c r="N67" s="2666"/>
      <c r="O67" s="2667"/>
      <c r="P67" s="2666"/>
      <c r="Q67" s="2666"/>
      <c r="R67" s="2668"/>
    </row>
    <row r="68" spans="2:18" s="888" customFormat="1">
      <c r="B68" s="2666"/>
      <c r="C68" s="2666"/>
      <c r="D68" s="2666"/>
      <c r="E68" s="2666"/>
      <c r="F68" s="2666"/>
      <c r="G68" s="2667"/>
      <c r="H68" s="2666"/>
      <c r="I68" s="2667"/>
      <c r="J68" s="2666"/>
      <c r="K68" s="2666"/>
      <c r="L68" s="2667"/>
      <c r="M68" s="2666"/>
      <c r="N68" s="2666"/>
      <c r="O68" s="2667"/>
      <c r="P68" s="2666"/>
      <c r="Q68" s="2666"/>
      <c r="R68" s="2668"/>
    </row>
    <row r="69" spans="2:18" s="888" customFormat="1">
      <c r="B69" s="2666"/>
      <c r="C69" s="2666"/>
      <c r="D69" s="2666"/>
      <c r="E69" s="2666"/>
      <c r="F69" s="2666"/>
      <c r="G69" s="2667"/>
      <c r="H69" s="2666"/>
      <c r="I69" s="2667"/>
      <c r="J69" s="2666"/>
      <c r="K69" s="2666"/>
      <c r="L69" s="2667"/>
      <c r="M69" s="2666"/>
      <c r="N69" s="2666"/>
      <c r="O69" s="2667"/>
      <c r="P69" s="2666"/>
      <c r="Q69" s="2666"/>
      <c r="R69" s="2668"/>
    </row>
    <row r="70" spans="2:18" s="888" customFormat="1">
      <c r="B70" s="2666"/>
      <c r="C70" s="2666"/>
      <c r="D70" s="2666"/>
      <c r="E70" s="2666"/>
      <c r="F70" s="2666"/>
      <c r="G70" s="2667"/>
      <c r="H70" s="2666"/>
      <c r="I70" s="2667"/>
      <c r="J70" s="2666"/>
      <c r="K70" s="2666"/>
      <c r="L70" s="2667"/>
      <c r="M70" s="2666"/>
      <c r="N70" s="2666"/>
      <c r="O70" s="2667"/>
      <c r="P70" s="2666"/>
      <c r="Q70" s="2666"/>
      <c r="R70" s="2668"/>
    </row>
    <row r="71" spans="2:18" s="888" customFormat="1">
      <c r="B71" s="2666"/>
      <c r="C71" s="2666"/>
      <c r="D71" s="2666"/>
      <c r="E71" s="2666"/>
      <c r="F71" s="2666"/>
      <c r="G71" s="2667"/>
      <c r="H71" s="2666"/>
      <c r="I71" s="2667"/>
      <c r="J71" s="2666"/>
      <c r="K71" s="2666"/>
      <c r="L71" s="2667"/>
      <c r="M71" s="2666"/>
      <c r="N71" s="2666"/>
      <c r="O71" s="2667"/>
      <c r="P71" s="2666"/>
      <c r="Q71" s="2666"/>
      <c r="R71" s="2668"/>
    </row>
    <row r="72" spans="2:18" s="888" customFormat="1">
      <c r="B72" s="2666"/>
      <c r="C72" s="2666"/>
      <c r="D72" s="2666"/>
      <c r="E72" s="2666"/>
      <c r="F72" s="2666"/>
      <c r="G72" s="2667"/>
      <c r="H72" s="2666"/>
      <c r="I72" s="2667"/>
      <c r="J72" s="2666"/>
      <c r="K72" s="2666"/>
      <c r="L72" s="2667"/>
      <c r="M72" s="2666"/>
      <c r="N72" s="2666"/>
      <c r="O72" s="2667"/>
      <c r="P72" s="2666"/>
      <c r="Q72" s="2666"/>
      <c r="R72" s="2668"/>
    </row>
    <row r="73" spans="2:18" s="888" customFormat="1">
      <c r="B73" s="2666"/>
      <c r="C73" s="2666"/>
      <c r="D73" s="2666"/>
      <c r="E73" s="2666"/>
      <c r="F73" s="2666"/>
      <c r="G73" s="2667"/>
      <c r="H73" s="2666"/>
      <c r="I73" s="2667"/>
      <c r="J73" s="2666"/>
      <c r="K73" s="2666"/>
      <c r="L73" s="2667"/>
      <c r="M73" s="2666"/>
      <c r="N73" s="2666"/>
      <c r="O73" s="2667"/>
      <c r="P73" s="2666"/>
      <c r="Q73" s="2666"/>
      <c r="R73" s="2668"/>
    </row>
    <row r="74" spans="2:18" s="888" customFormat="1">
      <c r="B74" s="2666"/>
      <c r="C74" s="2666"/>
      <c r="D74" s="2666"/>
      <c r="E74" s="2666"/>
      <c r="F74" s="2666"/>
      <c r="G74" s="2667"/>
      <c r="H74" s="2666"/>
      <c r="I74" s="2667"/>
      <c r="J74" s="2666"/>
      <c r="K74" s="2666"/>
      <c r="L74" s="2667"/>
      <c r="M74" s="2666"/>
      <c r="N74" s="2666"/>
      <c r="O74" s="2667"/>
      <c r="P74" s="2666"/>
      <c r="Q74" s="2666"/>
      <c r="R74" s="2668"/>
    </row>
    <row r="75" spans="2:18" s="888" customFormat="1">
      <c r="B75" s="2666"/>
      <c r="C75" s="2666"/>
      <c r="D75" s="2666"/>
      <c r="E75" s="2666"/>
      <c r="F75" s="2666"/>
      <c r="G75" s="2667"/>
      <c r="H75" s="2666"/>
      <c r="I75" s="2667"/>
      <c r="J75" s="2666"/>
      <c r="K75" s="2666"/>
      <c r="L75" s="2667"/>
      <c r="M75" s="2666"/>
      <c r="N75" s="2666"/>
      <c r="O75" s="2667"/>
      <c r="P75" s="2666"/>
      <c r="Q75" s="2666"/>
      <c r="R75" s="2668"/>
    </row>
    <row r="76" spans="2:18" s="888" customFormat="1">
      <c r="B76" s="2666"/>
      <c r="C76" s="2666"/>
      <c r="D76" s="2666"/>
      <c r="E76" s="2666"/>
      <c r="F76" s="2666"/>
      <c r="G76" s="2667"/>
      <c r="H76" s="2666"/>
      <c r="I76" s="2667"/>
      <c r="J76" s="2666"/>
      <c r="K76" s="2666"/>
      <c r="L76" s="2667"/>
      <c r="M76" s="2666"/>
      <c r="N76" s="2666"/>
      <c r="O76" s="2667"/>
      <c r="P76" s="2666"/>
      <c r="Q76" s="2666"/>
      <c r="R76" s="2668"/>
    </row>
    <row r="77" spans="2:18" s="888" customFormat="1">
      <c r="B77" s="2666"/>
      <c r="C77" s="2666"/>
      <c r="D77" s="2666"/>
      <c r="E77" s="2666"/>
      <c r="F77" s="2666"/>
      <c r="G77" s="2667"/>
      <c r="H77" s="2666"/>
      <c r="I77" s="2667"/>
      <c r="J77" s="2666"/>
      <c r="K77" s="2666"/>
      <c r="L77" s="2667"/>
      <c r="M77" s="2666"/>
      <c r="N77" s="2666"/>
      <c r="O77" s="2667"/>
      <c r="P77" s="2666"/>
      <c r="Q77" s="2666"/>
      <c r="R77" s="2668"/>
    </row>
    <row r="78" spans="2:18" s="888" customFormat="1">
      <c r="B78" s="2666"/>
      <c r="C78" s="2666"/>
      <c r="D78" s="2666"/>
      <c r="E78" s="2666"/>
      <c r="F78" s="2666"/>
      <c r="G78" s="2667"/>
      <c r="H78" s="2666"/>
      <c r="I78" s="2667"/>
      <c r="J78" s="2666"/>
      <c r="K78" s="2666"/>
      <c r="L78" s="2667"/>
      <c r="M78" s="2666"/>
      <c r="N78" s="2666"/>
      <c r="O78" s="2667"/>
      <c r="P78" s="2666"/>
      <c r="Q78" s="2666"/>
      <c r="R78" s="2668"/>
    </row>
    <row r="79" spans="2:18" s="888" customFormat="1">
      <c r="B79" s="2666"/>
      <c r="C79" s="2666"/>
      <c r="D79" s="2666"/>
      <c r="E79" s="2666"/>
      <c r="F79" s="2666"/>
      <c r="G79" s="2667"/>
      <c r="H79" s="2666"/>
      <c r="I79" s="2667"/>
      <c r="J79" s="2666"/>
      <c r="K79" s="2666"/>
      <c r="L79" s="2667"/>
      <c r="M79" s="2666"/>
      <c r="N79" s="2666"/>
      <c r="O79" s="2667"/>
      <c r="P79" s="2666"/>
      <c r="Q79" s="2666"/>
      <c r="R79" s="2668"/>
    </row>
    <row r="80" spans="2:18" s="888" customFormat="1">
      <c r="B80" s="2666"/>
      <c r="C80" s="2666"/>
      <c r="D80" s="2666"/>
      <c r="E80" s="2666"/>
      <c r="F80" s="2666"/>
      <c r="G80" s="2667"/>
      <c r="H80" s="2666"/>
      <c r="I80" s="2667"/>
      <c r="J80" s="2666"/>
      <c r="K80" s="2666"/>
      <c r="L80" s="2667"/>
      <c r="M80" s="2666"/>
      <c r="N80" s="2666"/>
      <c r="O80" s="2667"/>
      <c r="P80" s="2666"/>
      <c r="Q80" s="2666"/>
      <c r="R80" s="2668"/>
    </row>
    <row r="81" spans="2:18" s="888" customFormat="1">
      <c r="B81" s="2666"/>
      <c r="C81" s="2666"/>
      <c r="D81" s="2666"/>
      <c r="E81" s="2666"/>
      <c r="F81" s="2666"/>
      <c r="G81" s="2667"/>
      <c r="H81" s="2666"/>
      <c r="I81" s="2667"/>
      <c r="J81" s="2666"/>
      <c r="K81" s="2666"/>
      <c r="L81" s="2667"/>
      <c r="M81" s="2666"/>
      <c r="N81" s="2666"/>
      <c r="O81" s="2667"/>
      <c r="P81" s="2666"/>
      <c r="Q81" s="2666"/>
      <c r="R81" s="2668"/>
    </row>
    <row r="82" spans="2:18" s="888" customFormat="1">
      <c r="B82" s="2666"/>
      <c r="C82" s="2666"/>
      <c r="D82" s="2666"/>
      <c r="E82" s="2666"/>
      <c r="F82" s="2666"/>
      <c r="G82" s="2667"/>
      <c r="H82" s="2666"/>
      <c r="I82" s="2667"/>
      <c r="J82" s="2666"/>
      <c r="K82" s="2666"/>
      <c r="L82" s="2667"/>
      <c r="M82" s="2666"/>
      <c r="N82" s="2666"/>
      <c r="O82" s="2667"/>
      <c r="P82" s="2666"/>
      <c r="Q82" s="2666"/>
      <c r="R82" s="2668"/>
    </row>
    <row r="83" spans="2:18" s="888" customFormat="1">
      <c r="B83" s="2666"/>
      <c r="C83" s="2666"/>
      <c r="D83" s="2666"/>
      <c r="E83" s="2666"/>
      <c r="F83" s="2666"/>
      <c r="G83" s="2667"/>
      <c r="H83" s="2666"/>
      <c r="I83" s="2667"/>
      <c r="J83" s="2666"/>
      <c r="K83" s="2666"/>
      <c r="L83" s="2667"/>
      <c r="M83" s="2666"/>
      <c r="N83" s="2666"/>
      <c r="O83" s="2667"/>
      <c r="P83" s="2666"/>
      <c r="Q83" s="2666"/>
      <c r="R83" s="2668"/>
    </row>
    <row r="84" spans="2:18" s="888" customFormat="1">
      <c r="B84" s="2666"/>
      <c r="C84" s="2666"/>
      <c r="D84" s="2666"/>
      <c r="E84" s="2666"/>
      <c r="F84" s="2666"/>
      <c r="G84" s="2667"/>
      <c r="H84" s="2666"/>
      <c r="I84" s="2667"/>
      <c r="J84" s="2666"/>
      <c r="K84" s="2666"/>
      <c r="L84" s="2667"/>
      <c r="M84" s="2666"/>
      <c r="N84" s="2666"/>
      <c r="O84" s="2667"/>
      <c r="P84" s="2666"/>
      <c r="Q84" s="2666"/>
      <c r="R84" s="2668"/>
    </row>
    <row r="85" spans="2:18" s="888" customFormat="1">
      <c r="B85" s="2666"/>
      <c r="C85" s="2666"/>
      <c r="D85" s="2666"/>
      <c r="E85" s="2666"/>
      <c r="F85" s="2666"/>
      <c r="G85" s="2667"/>
      <c r="H85" s="2666"/>
      <c r="I85" s="2667"/>
      <c r="J85" s="2666"/>
      <c r="K85" s="2666"/>
      <c r="L85" s="2667"/>
      <c r="M85" s="2666"/>
      <c r="N85" s="2666"/>
      <c r="O85" s="2667"/>
      <c r="P85" s="2666"/>
      <c r="Q85" s="2666"/>
      <c r="R85" s="2668"/>
    </row>
    <row r="86" spans="2:18" s="888" customFormat="1">
      <c r="B86" s="2666"/>
      <c r="C86" s="2666"/>
      <c r="D86" s="2666"/>
      <c r="E86" s="2666"/>
      <c r="F86" s="2666"/>
      <c r="G86" s="2667"/>
      <c r="H86" s="2666"/>
      <c r="I86" s="2667"/>
      <c r="J86" s="2666"/>
      <c r="K86" s="2666"/>
      <c r="L86" s="2667"/>
      <c r="M86" s="2666"/>
      <c r="N86" s="2666"/>
      <c r="O86" s="2667"/>
      <c r="P86" s="2666"/>
      <c r="Q86" s="2666"/>
      <c r="R86" s="2668"/>
    </row>
    <row r="87" spans="2:18" s="888" customFormat="1">
      <c r="B87" s="2666"/>
      <c r="C87" s="2666"/>
      <c r="D87" s="2666"/>
      <c r="E87" s="2666"/>
      <c r="F87" s="2666"/>
      <c r="G87" s="2667"/>
      <c r="H87" s="2666"/>
      <c r="I87" s="2667"/>
      <c r="J87" s="2666"/>
      <c r="K87" s="2666"/>
      <c r="L87" s="2667"/>
      <c r="M87" s="2666"/>
      <c r="N87" s="2666"/>
      <c r="O87" s="2667"/>
      <c r="P87" s="2666"/>
      <c r="Q87" s="2666"/>
      <c r="R87" s="2668"/>
    </row>
    <row r="88" spans="2:18" s="888" customFormat="1">
      <c r="B88" s="2666"/>
      <c r="C88" s="2666"/>
      <c r="D88" s="2666"/>
      <c r="E88" s="2666"/>
      <c r="F88" s="2666"/>
      <c r="G88" s="2667"/>
      <c r="H88" s="2666"/>
      <c r="I88" s="2667"/>
      <c r="J88" s="2666"/>
      <c r="K88" s="2666"/>
      <c r="L88" s="2667"/>
      <c r="M88" s="2666"/>
      <c r="N88" s="2666"/>
      <c r="O88" s="2667"/>
      <c r="P88" s="2666"/>
      <c r="Q88" s="2666"/>
      <c r="R88" s="2668"/>
    </row>
    <row r="89" spans="2:18" s="888" customFormat="1">
      <c r="B89" s="2666"/>
      <c r="C89" s="2666"/>
      <c r="D89" s="2666"/>
      <c r="E89" s="2666"/>
      <c r="F89" s="2666"/>
      <c r="G89" s="2667"/>
      <c r="H89" s="2666"/>
      <c r="I89" s="2667"/>
      <c r="J89" s="2666"/>
      <c r="K89" s="2666"/>
      <c r="L89" s="2667"/>
      <c r="M89" s="2666"/>
      <c r="N89" s="2666"/>
      <c r="O89" s="2667"/>
      <c r="P89" s="2666"/>
      <c r="Q89" s="2666"/>
      <c r="R89" s="2668"/>
    </row>
    <row r="90" spans="2:18" s="888" customFormat="1">
      <c r="B90" s="2666"/>
      <c r="C90" s="2666"/>
      <c r="D90" s="2666"/>
      <c r="E90" s="2666"/>
      <c r="F90" s="2666"/>
      <c r="G90" s="2667"/>
      <c r="H90" s="2666"/>
      <c r="I90" s="2667"/>
      <c r="J90" s="2666"/>
      <c r="K90" s="2666"/>
      <c r="L90" s="2667"/>
      <c r="M90" s="2666"/>
      <c r="N90" s="2666"/>
      <c r="O90" s="2667"/>
      <c r="P90" s="2666"/>
      <c r="Q90" s="2666"/>
      <c r="R90" s="2668"/>
    </row>
    <row r="91" spans="2:18" s="888" customFormat="1">
      <c r="B91" s="2666"/>
      <c r="C91" s="2666"/>
      <c r="D91" s="2666"/>
      <c r="E91" s="2666"/>
      <c r="F91" s="2666"/>
      <c r="G91" s="2667"/>
      <c r="H91" s="2666"/>
      <c r="I91" s="2667"/>
      <c r="J91" s="2666"/>
      <c r="K91" s="2666"/>
      <c r="L91" s="2667"/>
      <c r="M91" s="2666"/>
      <c r="N91" s="2666"/>
      <c r="O91" s="2667"/>
      <c r="P91" s="2666"/>
      <c r="Q91" s="2666"/>
      <c r="R91" s="2668"/>
    </row>
    <row r="92" spans="2:18" s="888" customFormat="1">
      <c r="B92" s="2666"/>
      <c r="C92" s="2666"/>
      <c r="D92" s="2666"/>
      <c r="E92" s="2666"/>
      <c r="F92" s="2666"/>
      <c r="G92" s="2667"/>
      <c r="H92" s="2666"/>
      <c r="I92" s="2667"/>
      <c r="J92" s="2666"/>
      <c r="K92" s="2666"/>
      <c r="L92" s="2667"/>
      <c r="M92" s="2666"/>
      <c r="N92" s="2666"/>
      <c r="O92" s="2667"/>
      <c r="P92" s="2666"/>
      <c r="Q92" s="2666"/>
      <c r="R92" s="2668"/>
    </row>
    <row r="93" spans="2:18" s="888" customFormat="1">
      <c r="B93" s="2666"/>
      <c r="C93" s="2666"/>
      <c r="D93" s="2666"/>
      <c r="E93" s="2666"/>
      <c r="F93" s="2666"/>
      <c r="G93" s="2667"/>
      <c r="H93" s="2666"/>
      <c r="I93" s="2667"/>
      <c r="J93" s="2666"/>
      <c r="K93" s="2666"/>
      <c r="L93" s="2667"/>
      <c r="M93" s="2666"/>
      <c r="N93" s="2666"/>
      <c r="O93" s="2667"/>
      <c r="P93" s="2666"/>
      <c r="Q93" s="2666"/>
      <c r="R93" s="2668"/>
    </row>
    <row r="94" spans="2:18" s="888" customFormat="1">
      <c r="B94" s="2666"/>
      <c r="C94" s="2666"/>
      <c r="D94" s="2666"/>
      <c r="E94" s="2666"/>
      <c r="F94" s="2666"/>
      <c r="G94" s="2667"/>
      <c r="H94" s="2666"/>
      <c r="I94" s="2667"/>
      <c r="J94" s="2666"/>
      <c r="K94" s="2666"/>
      <c r="L94" s="2667"/>
      <c r="M94" s="2666"/>
      <c r="N94" s="2666"/>
      <c r="O94" s="2667"/>
      <c r="P94" s="2666"/>
      <c r="Q94" s="2666"/>
      <c r="R94" s="2668"/>
    </row>
    <row r="95" spans="2:18" s="888" customFormat="1">
      <c r="B95" s="2666"/>
      <c r="C95" s="2666"/>
      <c r="D95" s="2666"/>
      <c r="E95" s="2666"/>
      <c r="F95" s="2666"/>
      <c r="G95" s="2667"/>
      <c r="H95" s="2666"/>
      <c r="I95" s="2667"/>
      <c r="J95" s="2666"/>
      <c r="K95" s="2666"/>
      <c r="L95" s="2667"/>
      <c r="M95" s="2666"/>
      <c r="N95" s="2666"/>
      <c r="O95" s="2667"/>
      <c r="P95" s="2666"/>
      <c r="Q95" s="2666"/>
      <c r="R95" s="2668"/>
    </row>
    <row r="96" spans="2:18" s="888" customFormat="1">
      <c r="B96" s="2666"/>
      <c r="C96" s="2666"/>
      <c r="D96" s="2666"/>
      <c r="E96" s="2666"/>
      <c r="F96" s="2666"/>
      <c r="G96" s="2667"/>
      <c r="H96" s="2666"/>
      <c r="I96" s="2667"/>
      <c r="J96" s="2666"/>
      <c r="K96" s="2666"/>
      <c r="L96" s="2667"/>
      <c r="M96" s="2666"/>
      <c r="N96" s="2666"/>
      <c r="O96" s="2667"/>
      <c r="P96" s="2666"/>
      <c r="Q96" s="2666"/>
      <c r="R96" s="2668"/>
    </row>
    <row r="97" spans="2:18" s="888" customFormat="1">
      <c r="B97" s="2666"/>
      <c r="C97" s="2666"/>
      <c r="D97" s="2666"/>
      <c r="E97" s="2666"/>
      <c r="F97" s="2666"/>
      <c r="G97" s="2667"/>
      <c r="H97" s="2666"/>
      <c r="I97" s="2667"/>
      <c r="J97" s="2666"/>
      <c r="K97" s="2666"/>
      <c r="L97" s="2667"/>
      <c r="M97" s="2666"/>
      <c r="N97" s="2666"/>
      <c r="O97" s="2667"/>
      <c r="P97" s="2666"/>
      <c r="Q97" s="2666"/>
      <c r="R97" s="2668"/>
    </row>
    <row r="98" spans="2:18" s="888" customFormat="1">
      <c r="B98" s="2666"/>
      <c r="C98" s="2666"/>
      <c r="D98" s="2666"/>
      <c r="E98" s="2666"/>
      <c r="F98" s="2666"/>
      <c r="G98" s="2667"/>
      <c r="H98" s="2666"/>
      <c r="I98" s="2667"/>
      <c r="J98" s="2666"/>
      <c r="K98" s="2666"/>
      <c r="L98" s="2667"/>
      <c r="M98" s="2666"/>
      <c r="N98" s="2666"/>
      <c r="O98" s="2667"/>
      <c r="P98" s="2666"/>
      <c r="Q98" s="2666"/>
      <c r="R98" s="2668"/>
    </row>
    <row r="99" spans="2:18" s="888" customFormat="1">
      <c r="B99" s="2666"/>
      <c r="C99" s="2666"/>
      <c r="D99" s="2666"/>
      <c r="E99" s="2666"/>
      <c r="F99" s="2666"/>
      <c r="G99" s="2667"/>
      <c r="H99" s="2666"/>
      <c r="I99" s="2667"/>
      <c r="J99" s="2666"/>
      <c r="K99" s="2666"/>
      <c r="L99" s="2667"/>
      <c r="M99" s="2666"/>
      <c r="N99" s="2666"/>
      <c r="O99" s="2667"/>
      <c r="P99" s="2666"/>
      <c r="Q99" s="2666"/>
      <c r="R99" s="2668"/>
    </row>
    <row r="100" spans="2:18" s="888" customFormat="1">
      <c r="B100" s="2666"/>
      <c r="C100" s="2666"/>
      <c r="D100" s="2666"/>
      <c r="E100" s="2666"/>
      <c r="F100" s="2666"/>
      <c r="G100" s="2667"/>
      <c r="H100" s="2666"/>
      <c r="I100" s="2667"/>
      <c r="J100" s="2666"/>
      <c r="K100" s="2666"/>
      <c r="L100" s="2667"/>
      <c r="M100" s="2666"/>
      <c r="N100" s="2666"/>
      <c r="O100" s="2667"/>
      <c r="P100" s="2666"/>
      <c r="Q100" s="2666"/>
      <c r="R100" s="2668"/>
    </row>
    <row r="101" spans="2:18" s="888" customFormat="1">
      <c r="B101" s="2666"/>
      <c r="C101" s="2666"/>
      <c r="D101" s="2666"/>
      <c r="E101" s="2666"/>
      <c r="F101" s="2666"/>
      <c r="G101" s="2667"/>
      <c r="H101" s="2666"/>
      <c r="I101" s="2667"/>
      <c r="J101" s="2666"/>
      <c r="K101" s="2666"/>
      <c r="L101" s="2667"/>
      <c r="M101" s="2666"/>
      <c r="N101" s="2666"/>
      <c r="O101" s="2667"/>
      <c r="P101" s="2666"/>
      <c r="Q101" s="2666"/>
      <c r="R101" s="2668"/>
    </row>
    <row r="102" spans="2:18" s="888" customFormat="1">
      <c r="B102" s="2666"/>
      <c r="C102" s="2666"/>
      <c r="D102" s="2666"/>
      <c r="E102" s="2666"/>
      <c r="F102" s="2666"/>
      <c r="G102" s="2667"/>
      <c r="H102" s="2666"/>
      <c r="I102" s="2667"/>
      <c r="J102" s="2666"/>
      <c r="K102" s="2666"/>
      <c r="L102" s="2667"/>
      <c r="M102" s="2666"/>
      <c r="N102" s="2666"/>
      <c r="O102" s="2667"/>
      <c r="P102" s="2666"/>
      <c r="Q102" s="2666"/>
      <c r="R102" s="2668"/>
    </row>
    <row r="103" spans="2:18" s="888" customFormat="1">
      <c r="B103" s="2666"/>
      <c r="C103" s="2666"/>
      <c r="D103" s="2666"/>
      <c r="E103" s="2666"/>
      <c r="F103" s="2666"/>
      <c r="G103" s="2667"/>
      <c r="H103" s="2666"/>
      <c r="I103" s="2667"/>
      <c r="J103" s="2666"/>
      <c r="K103" s="2666"/>
      <c r="L103" s="2667"/>
      <c r="M103" s="2666"/>
      <c r="N103" s="2666"/>
      <c r="O103" s="2667"/>
      <c r="P103" s="2666"/>
      <c r="Q103" s="2666"/>
      <c r="R103" s="2668"/>
    </row>
    <row r="104" spans="2:18" s="888" customFormat="1">
      <c r="B104" s="2666"/>
      <c r="C104" s="2666"/>
      <c r="D104" s="2666"/>
      <c r="E104" s="2666"/>
      <c r="F104" s="2666"/>
      <c r="G104" s="2667"/>
      <c r="H104" s="2666"/>
      <c r="I104" s="2667"/>
      <c r="J104" s="2666"/>
      <c r="K104" s="2666"/>
      <c r="L104" s="2667"/>
      <c r="M104" s="2666"/>
      <c r="N104" s="2666"/>
      <c r="O104" s="2667"/>
      <c r="P104" s="2666"/>
      <c r="Q104" s="2666"/>
      <c r="R104" s="2668"/>
    </row>
    <row r="105" spans="2:18" s="888" customFormat="1">
      <c r="B105" s="2666"/>
      <c r="C105" s="2666"/>
      <c r="D105" s="2666"/>
      <c r="E105" s="2666"/>
      <c r="F105" s="2666"/>
      <c r="G105" s="2667"/>
      <c r="H105" s="2666"/>
      <c r="I105" s="2667"/>
      <c r="J105" s="2666"/>
      <c r="K105" s="2666"/>
      <c r="L105" s="2667"/>
      <c r="M105" s="2666"/>
      <c r="N105" s="2666"/>
      <c r="O105" s="2667"/>
      <c r="P105" s="2666"/>
      <c r="Q105" s="2666"/>
      <c r="R105" s="2668"/>
    </row>
    <row r="106" spans="2:18" s="888" customFormat="1">
      <c r="B106" s="2666"/>
      <c r="C106" s="2666"/>
      <c r="D106" s="2666"/>
      <c r="E106" s="2666"/>
      <c r="F106" s="2666"/>
      <c r="G106" s="2667"/>
      <c r="H106" s="2666"/>
      <c r="I106" s="2667"/>
      <c r="J106" s="2666"/>
      <c r="K106" s="2666"/>
      <c r="L106" s="2667"/>
      <c r="M106" s="2666"/>
      <c r="N106" s="2666"/>
      <c r="O106" s="2667"/>
      <c r="P106" s="2666"/>
      <c r="Q106" s="2666"/>
      <c r="R106" s="2668"/>
    </row>
    <row r="107" spans="2:18" s="888" customFormat="1">
      <c r="B107" s="2666"/>
      <c r="C107" s="2666"/>
      <c r="D107" s="2666"/>
      <c r="E107" s="2666"/>
      <c r="F107" s="2666"/>
      <c r="G107" s="2667"/>
      <c r="H107" s="2666"/>
      <c r="I107" s="2667"/>
      <c r="J107" s="2666"/>
      <c r="K107" s="2666"/>
      <c r="L107" s="2667"/>
      <c r="M107" s="2666"/>
      <c r="N107" s="2666"/>
      <c r="O107" s="2667"/>
      <c r="P107" s="2666"/>
      <c r="Q107" s="2666"/>
      <c r="R107" s="2668"/>
    </row>
    <row r="108" spans="2:18" s="888" customFormat="1">
      <c r="B108" s="2666"/>
      <c r="C108" s="2666"/>
      <c r="D108" s="2666"/>
      <c r="E108" s="2666"/>
      <c r="F108" s="2666"/>
      <c r="G108" s="2667"/>
      <c r="H108" s="2666"/>
      <c r="I108" s="2667"/>
      <c r="J108" s="2666"/>
      <c r="K108" s="2666"/>
      <c r="L108" s="2667"/>
      <c r="M108" s="2666"/>
      <c r="N108" s="2666"/>
      <c r="O108" s="2667"/>
      <c r="P108" s="2666"/>
      <c r="Q108" s="2666"/>
      <c r="R108" s="2668"/>
    </row>
    <row r="109" spans="2:18" s="888" customFormat="1">
      <c r="B109" s="2666"/>
      <c r="C109" s="2666"/>
      <c r="D109" s="2666"/>
      <c r="E109" s="2666"/>
      <c r="F109" s="2666"/>
      <c r="G109" s="2667"/>
      <c r="H109" s="2666"/>
      <c r="I109" s="2667"/>
      <c r="J109" s="2666"/>
      <c r="K109" s="2666"/>
      <c r="L109" s="2667"/>
      <c r="M109" s="2666"/>
      <c r="N109" s="2666"/>
      <c r="O109" s="2667"/>
      <c r="P109" s="2666"/>
      <c r="Q109" s="2666"/>
      <c r="R109" s="2668"/>
    </row>
    <row r="110" spans="2:18" s="888" customFormat="1">
      <c r="B110" s="2666"/>
      <c r="C110" s="2666"/>
      <c r="D110" s="2666"/>
      <c r="E110" s="2666"/>
      <c r="F110" s="2666"/>
      <c r="G110" s="2667"/>
      <c r="H110" s="2666"/>
      <c r="I110" s="2667"/>
      <c r="J110" s="2666"/>
      <c r="K110" s="2666"/>
      <c r="L110" s="2667"/>
      <c r="M110" s="2666"/>
      <c r="N110" s="2666"/>
      <c r="O110" s="2667"/>
      <c r="P110" s="2666"/>
      <c r="Q110" s="2666"/>
      <c r="R110" s="2668"/>
    </row>
    <row r="111" spans="2:18" s="888" customFormat="1">
      <c r="B111" s="2666"/>
      <c r="C111" s="2666"/>
      <c r="D111" s="2666"/>
      <c r="E111" s="2666"/>
      <c r="F111" s="2666"/>
      <c r="G111" s="2667"/>
      <c r="H111" s="2666"/>
      <c r="I111" s="2667"/>
      <c r="J111" s="2666"/>
      <c r="K111" s="2666"/>
      <c r="L111" s="2667"/>
      <c r="M111" s="2666"/>
      <c r="N111" s="2666"/>
      <c r="O111" s="2667"/>
      <c r="P111" s="2666"/>
      <c r="Q111" s="2666"/>
      <c r="R111" s="2668"/>
    </row>
    <row r="112" spans="2:18" s="888" customFormat="1">
      <c r="B112" s="2666"/>
      <c r="C112" s="2666"/>
      <c r="D112" s="2666"/>
      <c r="E112" s="2666"/>
      <c r="F112" s="2666"/>
      <c r="G112" s="2667"/>
      <c r="H112" s="2666"/>
      <c r="I112" s="2667"/>
      <c r="J112" s="2666"/>
      <c r="K112" s="2666"/>
      <c r="L112" s="2667"/>
      <c r="M112" s="2666"/>
      <c r="N112" s="2666"/>
      <c r="O112" s="2667"/>
      <c r="P112" s="2666"/>
      <c r="Q112" s="2666"/>
      <c r="R112" s="2668"/>
    </row>
    <row r="113" spans="2:18" s="888" customFormat="1">
      <c r="B113" s="2666"/>
      <c r="C113" s="2666"/>
      <c r="D113" s="2666"/>
      <c r="E113" s="2666"/>
      <c r="F113" s="2666"/>
      <c r="G113" s="2667"/>
      <c r="H113" s="2666"/>
      <c r="I113" s="2667"/>
      <c r="J113" s="2666"/>
      <c r="K113" s="2666"/>
      <c r="L113" s="2667"/>
      <c r="M113" s="2666"/>
      <c r="N113" s="2666"/>
      <c r="O113" s="2667"/>
      <c r="P113" s="2666"/>
      <c r="Q113" s="2666"/>
      <c r="R113" s="2668"/>
    </row>
    <row r="114" spans="2:18" s="888" customFormat="1">
      <c r="B114" s="2666"/>
      <c r="C114" s="2666"/>
      <c r="D114" s="2666"/>
      <c r="E114" s="2666"/>
      <c r="F114" s="2666"/>
      <c r="G114" s="2667"/>
      <c r="H114" s="2666"/>
      <c r="I114" s="2667"/>
      <c r="J114" s="2666"/>
      <c r="K114" s="2666"/>
      <c r="L114" s="2667"/>
      <c r="M114" s="2666"/>
      <c r="N114" s="2666"/>
      <c r="O114" s="2667"/>
      <c r="P114" s="2666"/>
      <c r="Q114" s="2666"/>
      <c r="R114" s="2668"/>
    </row>
    <row r="115" spans="2:18" s="888" customFormat="1">
      <c r="B115" s="2666"/>
      <c r="C115" s="2666"/>
      <c r="D115" s="2666"/>
      <c r="E115" s="2666"/>
      <c r="F115" s="2666"/>
      <c r="G115" s="2667"/>
      <c r="H115" s="2666"/>
      <c r="I115" s="2667"/>
      <c r="J115" s="2666"/>
      <c r="K115" s="2666"/>
      <c r="L115" s="2667"/>
      <c r="M115" s="2666"/>
      <c r="N115" s="2666"/>
      <c r="O115" s="2667"/>
      <c r="P115" s="2666"/>
      <c r="Q115" s="2666"/>
      <c r="R115" s="2668"/>
    </row>
    <row r="116" spans="2:18" s="888" customFormat="1">
      <c r="B116" s="2666"/>
      <c r="C116" s="2666"/>
      <c r="D116" s="2666"/>
      <c r="E116" s="2666"/>
      <c r="F116" s="2666"/>
      <c r="G116" s="2667"/>
      <c r="H116" s="2666"/>
      <c r="I116" s="2667"/>
      <c r="J116" s="2666"/>
      <c r="K116" s="2666"/>
      <c r="L116" s="2667"/>
      <c r="M116" s="2666"/>
      <c r="N116" s="2666"/>
      <c r="O116" s="2667"/>
      <c r="P116" s="2666"/>
      <c r="Q116" s="2666"/>
      <c r="R116" s="2668"/>
    </row>
    <row r="117" spans="2:18" s="888" customFormat="1">
      <c r="B117" s="2666"/>
      <c r="C117" s="2666"/>
      <c r="D117" s="2666"/>
      <c r="E117" s="2666"/>
      <c r="F117" s="2666"/>
      <c r="G117" s="2667"/>
      <c r="H117" s="2666"/>
      <c r="I117" s="2667"/>
      <c r="J117" s="2666"/>
      <c r="K117" s="2666"/>
      <c r="L117" s="2667"/>
      <c r="M117" s="2666"/>
      <c r="N117" s="2666"/>
      <c r="O117" s="2667"/>
      <c r="P117" s="2666"/>
      <c r="Q117" s="2666"/>
      <c r="R117" s="2668"/>
    </row>
    <row r="118" spans="2:18" s="888" customFormat="1">
      <c r="B118" s="2666"/>
      <c r="C118" s="2666"/>
      <c r="D118" s="2666"/>
      <c r="E118" s="2666"/>
      <c r="F118" s="2666"/>
      <c r="G118" s="2667"/>
      <c r="H118" s="2666"/>
      <c r="I118" s="2667"/>
      <c r="J118" s="2666"/>
      <c r="K118" s="2666"/>
      <c r="L118" s="2667"/>
      <c r="M118" s="2666"/>
      <c r="N118" s="2666"/>
      <c r="O118" s="2667"/>
      <c r="P118" s="2666"/>
      <c r="Q118" s="2666"/>
      <c r="R118" s="2668"/>
    </row>
    <row r="119" spans="2:18" s="888" customFormat="1">
      <c r="B119" s="2666"/>
      <c r="C119" s="2666"/>
      <c r="D119" s="2666"/>
      <c r="E119" s="2666"/>
      <c r="F119" s="2666"/>
      <c r="G119" s="2667"/>
      <c r="H119" s="2666"/>
      <c r="I119" s="2667"/>
      <c r="J119" s="2666"/>
      <c r="K119" s="2666"/>
      <c r="L119" s="2667"/>
      <c r="M119" s="2666"/>
      <c r="N119" s="2666"/>
      <c r="O119" s="2667"/>
      <c r="P119" s="2666"/>
      <c r="Q119" s="2666"/>
      <c r="R119" s="2668"/>
    </row>
    <row r="120" spans="2:18" s="888" customFormat="1">
      <c r="B120" s="2666"/>
      <c r="C120" s="2666"/>
      <c r="D120" s="2666"/>
      <c r="E120" s="2666"/>
      <c r="F120" s="2666"/>
      <c r="G120" s="2667"/>
      <c r="H120" s="2666"/>
      <c r="I120" s="2667"/>
      <c r="J120" s="2666"/>
      <c r="K120" s="2666"/>
      <c r="L120" s="2667"/>
      <c r="M120" s="2666"/>
      <c r="N120" s="2666"/>
      <c r="O120" s="2667"/>
      <c r="P120" s="2666"/>
      <c r="Q120" s="2666"/>
      <c r="R120" s="2668"/>
    </row>
    <row r="121" spans="2:18" s="888" customFormat="1">
      <c r="B121" s="2666"/>
      <c r="C121" s="2666"/>
      <c r="D121" s="2666"/>
      <c r="E121" s="2666"/>
      <c r="F121" s="2666"/>
      <c r="G121" s="2667"/>
      <c r="H121" s="2666"/>
      <c r="I121" s="2667"/>
      <c r="J121" s="2666"/>
      <c r="K121" s="2666"/>
      <c r="L121" s="2667"/>
      <c r="M121" s="2666"/>
      <c r="N121" s="2666"/>
      <c r="O121" s="2667"/>
      <c r="P121" s="2666"/>
      <c r="Q121" s="2666"/>
      <c r="R121" s="2668"/>
    </row>
    <row r="122" spans="2:18" s="888" customFormat="1">
      <c r="B122" s="2666"/>
      <c r="C122" s="2666"/>
      <c r="D122" s="2666"/>
      <c r="E122" s="2666"/>
      <c r="F122" s="2666"/>
      <c r="G122" s="2667"/>
      <c r="H122" s="2666"/>
      <c r="I122" s="2667"/>
      <c r="J122" s="2666"/>
      <c r="K122" s="2666"/>
      <c r="L122" s="2667"/>
      <c r="M122" s="2666"/>
      <c r="N122" s="2666"/>
      <c r="O122" s="2667"/>
      <c r="P122" s="2666"/>
      <c r="Q122" s="2666"/>
      <c r="R122" s="2668"/>
    </row>
    <row r="123" spans="2:18" s="888" customFormat="1">
      <c r="B123" s="2666"/>
      <c r="C123" s="2666"/>
      <c r="D123" s="2666"/>
      <c r="E123" s="2666"/>
      <c r="F123" s="2666"/>
      <c r="G123" s="2667"/>
      <c r="H123" s="2666"/>
      <c r="I123" s="2667"/>
      <c r="J123" s="2666"/>
      <c r="K123" s="2666"/>
      <c r="L123" s="2667"/>
      <c r="M123" s="2666"/>
      <c r="N123" s="2666"/>
      <c r="O123" s="2667"/>
      <c r="P123" s="2666"/>
      <c r="Q123" s="2666"/>
      <c r="R123" s="2668"/>
    </row>
    <row r="124" spans="2:18" s="888" customFormat="1">
      <c r="B124" s="2666"/>
      <c r="C124" s="2666"/>
      <c r="D124" s="2666"/>
      <c r="E124" s="2666"/>
      <c r="F124" s="2666"/>
      <c r="G124" s="2667"/>
      <c r="H124" s="2666"/>
      <c r="I124" s="2667"/>
      <c r="J124" s="2666"/>
      <c r="K124" s="2666"/>
      <c r="L124" s="2667"/>
      <c r="M124" s="2666"/>
      <c r="N124" s="2666"/>
      <c r="O124" s="2667"/>
      <c r="P124" s="2666"/>
      <c r="Q124" s="2666"/>
      <c r="R124" s="2668"/>
    </row>
    <row r="125" spans="2:18" s="888" customFormat="1">
      <c r="B125" s="2666"/>
      <c r="C125" s="2666"/>
      <c r="D125" s="2666"/>
      <c r="E125" s="2666"/>
      <c r="F125" s="2666"/>
      <c r="G125" s="2667"/>
      <c r="H125" s="2666"/>
      <c r="I125" s="2667"/>
      <c r="J125" s="2666"/>
      <c r="K125" s="2666"/>
      <c r="L125" s="2667"/>
      <c r="M125" s="2666"/>
      <c r="N125" s="2666"/>
      <c r="O125" s="2667"/>
      <c r="P125" s="2666"/>
      <c r="Q125" s="2666"/>
      <c r="R125" s="2668"/>
    </row>
    <row r="126" spans="2:18" s="888" customFormat="1">
      <c r="B126" s="2666"/>
      <c r="C126" s="2666"/>
      <c r="D126" s="2666"/>
      <c r="E126" s="2666"/>
      <c r="F126" s="2666"/>
      <c r="G126" s="2667"/>
      <c r="H126" s="2666"/>
      <c r="I126" s="2667"/>
      <c r="J126" s="2666"/>
      <c r="K126" s="2666"/>
      <c r="L126" s="2667"/>
      <c r="M126" s="2666"/>
      <c r="N126" s="2666"/>
      <c r="O126" s="2667"/>
      <c r="P126" s="2666"/>
      <c r="Q126" s="2666"/>
      <c r="R126" s="2668"/>
    </row>
    <row r="127" spans="2:18" s="888" customFormat="1">
      <c r="B127" s="2666"/>
      <c r="C127" s="2666"/>
      <c r="D127" s="2666"/>
      <c r="E127" s="2666"/>
      <c r="F127" s="2666"/>
      <c r="G127" s="2667"/>
      <c r="H127" s="2666"/>
      <c r="I127" s="2667"/>
      <c r="J127" s="2666"/>
      <c r="K127" s="2666"/>
      <c r="L127" s="2667"/>
      <c r="M127" s="2666"/>
      <c r="N127" s="2666"/>
      <c r="O127" s="2667"/>
      <c r="P127" s="2666"/>
      <c r="Q127" s="2666"/>
      <c r="R127" s="2668"/>
    </row>
    <row r="128" spans="2:18" s="888" customFormat="1">
      <c r="B128" s="2666"/>
      <c r="C128" s="2666"/>
      <c r="D128" s="2666"/>
      <c r="E128" s="2666"/>
      <c r="F128" s="2666"/>
      <c r="G128" s="2667"/>
      <c r="H128" s="2666"/>
      <c r="I128" s="2667"/>
      <c r="J128" s="2666"/>
      <c r="K128" s="2666"/>
      <c r="L128" s="2667"/>
      <c r="M128" s="2666"/>
      <c r="N128" s="2666"/>
      <c r="O128" s="2667"/>
      <c r="P128" s="2666"/>
      <c r="Q128" s="2666"/>
      <c r="R128" s="2668"/>
    </row>
    <row r="129" spans="2:18" s="888" customFormat="1">
      <c r="B129" s="2666"/>
      <c r="C129" s="2666"/>
      <c r="D129" s="2666"/>
      <c r="E129" s="2666"/>
      <c r="F129" s="2666"/>
      <c r="G129" s="2667"/>
      <c r="H129" s="2666"/>
      <c r="I129" s="2667"/>
      <c r="J129" s="2666"/>
      <c r="K129" s="2666"/>
      <c r="L129" s="2667"/>
      <c r="M129" s="2666"/>
      <c r="N129" s="2666"/>
      <c r="O129" s="2667"/>
      <c r="P129" s="2666"/>
      <c r="Q129" s="2666"/>
      <c r="R129" s="2668"/>
    </row>
    <row r="130" spans="2:18" s="888" customFormat="1">
      <c r="B130" s="2666"/>
      <c r="C130" s="2666"/>
      <c r="D130" s="2666"/>
      <c r="E130" s="2666"/>
      <c r="F130" s="2666"/>
      <c r="G130" s="2667"/>
      <c r="H130" s="2666"/>
      <c r="I130" s="2667"/>
      <c r="J130" s="2666"/>
      <c r="K130" s="2666"/>
      <c r="L130" s="2667"/>
      <c r="M130" s="2666"/>
      <c r="N130" s="2666"/>
      <c r="O130" s="2667"/>
      <c r="P130" s="2666"/>
      <c r="Q130" s="2666"/>
      <c r="R130" s="2668"/>
    </row>
    <row r="131" spans="2:18" s="888" customFormat="1">
      <c r="B131" s="2666"/>
      <c r="C131" s="2666"/>
      <c r="D131" s="2666"/>
      <c r="E131" s="2666"/>
      <c r="F131" s="2666"/>
      <c r="G131" s="2667"/>
      <c r="H131" s="2666"/>
      <c r="I131" s="2667"/>
      <c r="J131" s="2666"/>
      <c r="K131" s="2666"/>
      <c r="L131" s="2667"/>
      <c r="M131" s="2666"/>
      <c r="N131" s="2666"/>
      <c r="O131" s="2667"/>
      <c r="P131" s="2666"/>
      <c r="Q131" s="2666"/>
      <c r="R131" s="2668"/>
    </row>
    <row r="132" spans="2:18" s="888" customFormat="1">
      <c r="B132" s="2666"/>
      <c r="C132" s="2666"/>
      <c r="D132" s="2666"/>
      <c r="E132" s="2666"/>
      <c r="F132" s="2666"/>
      <c r="G132" s="2667"/>
      <c r="H132" s="2666"/>
      <c r="I132" s="2667"/>
      <c r="J132" s="2666"/>
      <c r="K132" s="2666"/>
      <c r="L132" s="2667"/>
      <c r="M132" s="2666"/>
      <c r="N132" s="2666"/>
      <c r="O132" s="2667"/>
      <c r="P132" s="2666"/>
      <c r="Q132" s="2666"/>
      <c r="R132" s="2668"/>
    </row>
    <row r="133" spans="2:18" s="888" customFormat="1">
      <c r="B133" s="2666"/>
      <c r="C133" s="2666"/>
      <c r="D133" s="2666"/>
      <c r="E133" s="2666"/>
      <c r="F133" s="2666"/>
      <c r="G133" s="2667"/>
      <c r="H133" s="2666"/>
      <c r="I133" s="2667"/>
      <c r="J133" s="2666"/>
      <c r="K133" s="2666"/>
      <c r="L133" s="2667"/>
      <c r="M133" s="2666"/>
      <c r="N133" s="2666"/>
      <c r="O133" s="2667"/>
      <c r="P133" s="2666"/>
      <c r="Q133" s="2666"/>
      <c r="R133" s="2668"/>
    </row>
    <row r="134" spans="2:18" s="888" customFormat="1">
      <c r="B134" s="2666"/>
      <c r="C134" s="2666"/>
      <c r="D134" s="2666"/>
      <c r="E134" s="2666"/>
      <c r="F134" s="2666"/>
      <c r="G134" s="2667"/>
      <c r="H134" s="2666"/>
      <c r="I134" s="2667"/>
      <c r="J134" s="2666"/>
      <c r="K134" s="2666"/>
      <c r="L134" s="2667"/>
      <c r="M134" s="2666"/>
      <c r="N134" s="2666"/>
      <c r="O134" s="2667"/>
      <c r="P134" s="2666"/>
      <c r="Q134" s="2666"/>
      <c r="R134" s="2668"/>
    </row>
    <row r="135" spans="2:18" s="888" customFormat="1">
      <c r="B135" s="2666"/>
      <c r="C135" s="2666"/>
      <c r="D135" s="2666"/>
      <c r="E135" s="2666"/>
      <c r="F135" s="2666"/>
      <c r="G135" s="2667"/>
      <c r="H135" s="2666"/>
      <c r="I135" s="2667"/>
      <c r="J135" s="2666"/>
      <c r="K135" s="2666"/>
      <c r="L135" s="2667"/>
      <c r="M135" s="2666"/>
      <c r="N135" s="2666"/>
      <c r="O135" s="2667"/>
      <c r="P135" s="2666"/>
      <c r="Q135" s="2666"/>
      <c r="R135" s="2668"/>
    </row>
    <row r="136" spans="2:18" s="888" customFormat="1">
      <c r="B136" s="2666"/>
      <c r="C136" s="2666"/>
      <c r="D136" s="2666"/>
      <c r="E136" s="2666"/>
      <c r="F136" s="2666"/>
      <c r="G136" s="2667"/>
      <c r="H136" s="2666"/>
      <c r="I136" s="2667"/>
      <c r="J136" s="2666"/>
      <c r="K136" s="2666"/>
      <c r="L136" s="2667"/>
      <c r="M136" s="2666"/>
      <c r="N136" s="2666"/>
      <c r="O136" s="2667"/>
      <c r="P136" s="2666"/>
      <c r="Q136" s="2666"/>
      <c r="R136" s="2668"/>
    </row>
    <row r="137" spans="2:18" s="888" customFormat="1">
      <c r="B137" s="2666"/>
      <c r="C137" s="2666"/>
      <c r="D137" s="2666"/>
      <c r="E137" s="2666"/>
      <c r="F137" s="2666"/>
      <c r="G137" s="2667"/>
      <c r="H137" s="2666"/>
      <c r="I137" s="2667"/>
      <c r="J137" s="2666"/>
      <c r="K137" s="2666"/>
      <c r="L137" s="2667"/>
      <c r="M137" s="2666"/>
      <c r="N137" s="2666"/>
      <c r="O137" s="2667"/>
      <c r="P137" s="2666"/>
      <c r="Q137" s="2666"/>
      <c r="R137" s="2668"/>
    </row>
    <row r="138" spans="2:18" s="888" customFormat="1">
      <c r="B138" s="2666"/>
      <c r="C138" s="2666"/>
      <c r="D138" s="2666"/>
      <c r="E138" s="2666"/>
      <c r="F138" s="2666"/>
      <c r="G138" s="2667"/>
      <c r="H138" s="2666"/>
      <c r="I138" s="2667"/>
      <c r="J138" s="2666"/>
      <c r="K138" s="2666"/>
      <c r="L138" s="2667"/>
      <c r="M138" s="2666"/>
      <c r="N138" s="2666"/>
      <c r="O138" s="2667"/>
      <c r="P138" s="2666"/>
      <c r="Q138" s="2666"/>
      <c r="R138" s="2668"/>
    </row>
    <row r="139" spans="2:18" s="888" customFormat="1">
      <c r="B139" s="2666"/>
      <c r="C139" s="2666"/>
      <c r="D139" s="2666"/>
      <c r="E139" s="2666"/>
      <c r="F139" s="2666"/>
      <c r="G139" s="2667"/>
      <c r="H139" s="2666"/>
      <c r="I139" s="2667"/>
      <c r="J139" s="2666"/>
      <c r="K139" s="2666"/>
      <c r="L139" s="2667"/>
      <c r="M139" s="2666"/>
      <c r="N139" s="2666"/>
      <c r="O139" s="2667"/>
      <c r="P139" s="2666"/>
      <c r="Q139" s="2666"/>
      <c r="R139" s="2668"/>
    </row>
    <row r="140" spans="2:18" s="888" customFormat="1">
      <c r="B140" s="2666"/>
      <c r="C140" s="2666"/>
      <c r="D140" s="2666"/>
      <c r="E140" s="2666"/>
      <c r="F140" s="2666"/>
      <c r="G140" s="2667"/>
      <c r="H140" s="2666"/>
      <c r="I140" s="2667"/>
      <c r="J140" s="2666"/>
      <c r="K140" s="2666"/>
      <c r="L140" s="2667"/>
      <c r="M140" s="2666"/>
      <c r="N140" s="2666"/>
      <c r="O140" s="2667"/>
      <c r="P140" s="2666"/>
      <c r="Q140" s="2666"/>
      <c r="R140" s="2668"/>
    </row>
    <row r="141" spans="2:18" s="888" customFormat="1">
      <c r="B141" s="2666"/>
      <c r="C141" s="2666"/>
      <c r="D141" s="2666"/>
      <c r="E141" s="2666"/>
      <c r="F141" s="2666"/>
      <c r="G141" s="2667"/>
      <c r="H141" s="2666"/>
      <c r="I141" s="2667"/>
      <c r="J141" s="2666"/>
      <c r="K141" s="2666"/>
      <c r="L141" s="2667"/>
      <c r="M141" s="2666"/>
      <c r="N141" s="2666"/>
      <c r="O141" s="2667"/>
      <c r="P141" s="2666"/>
      <c r="Q141" s="2666"/>
      <c r="R141" s="2668"/>
    </row>
    <row r="142" spans="2:18" s="888" customFormat="1">
      <c r="B142" s="2666"/>
      <c r="C142" s="2666"/>
      <c r="D142" s="2666"/>
      <c r="E142" s="2666"/>
      <c r="F142" s="2666"/>
      <c r="G142" s="2667"/>
      <c r="H142" s="2666"/>
      <c r="I142" s="2667"/>
      <c r="J142" s="2666"/>
      <c r="K142" s="2666"/>
      <c r="L142" s="2667"/>
      <c r="M142" s="2666"/>
      <c r="N142" s="2666"/>
      <c r="O142" s="2667"/>
      <c r="P142" s="2666"/>
      <c r="Q142" s="2666"/>
      <c r="R142" s="2668"/>
    </row>
    <row r="143" spans="2:18" s="888" customFormat="1">
      <c r="B143" s="2666"/>
      <c r="C143" s="2666"/>
      <c r="D143" s="2666"/>
      <c r="E143" s="2666"/>
      <c r="F143" s="2666"/>
      <c r="G143" s="2667"/>
      <c r="H143" s="2666"/>
      <c r="I143" s="2667"/>
      <c r="J143" s="2666"/>
      <c r="K143" s="2666"/>
      <c r="L143" s="2667"/>
      <c r="M143" s="2666"/>
      <c r="N143" s="2666"/>
      <c r="O143" s="2667"/>
      <c r="P143" s="2666"/>
      <c r="Q143" s="2666"/>
      <c r="R143" s="2668"/>
    </row>
    <row r="144" spans="2:18" s="888" customFormat="1">
      <c r="B144" s="2666"/>
      <c r="C144" s="2666"/>
      <c r="D144" s="2666"/>
      <c r="E144" s="2666"/>
      <c r="F144" s="2666"/>
      <c r="G144" s="2667"/>
      <c r="H144" s="2666"/>
      <c r="I144" s="2667"/>
      <c r="J144" s="2666"/>
      <c r="K144" s="2666"/>
      <c r="L144" s="2667"/>
      <c r="M144" s="2666"/>
      <c r="N144" s="2666"/>
      <c r="O144" s="2667"/>
      <c r="P144" s="2666"/>
      <c r="Q144" s="2666"/>
      <c r="R144" s="2668"/>
    </row>
    <row r="145" spans="2:18" s="888" customFormat="1">
      <c r="B145" s="2666"/>
      <c r="C145" s="2666"/>
      <c r="D145" s="2666"/>
      <c r="E145" s="2666"/>
      <c r="F145" s="2666"/>
      <c r="G145" s="2667"/>
      <c r="H145" s="2666"/>
      <c r="I145" s="2667"/>
      <c r="J145" s="2666"/>
      <c r="K145" s="2666"/>
      <c r="L145" s="2667"/>
      <c r="M145" s="2666"/>
      <c r="N145" s="2666"/>
      <c r="O145" s="2667"/>
      <c r="P145" s="2666"/>
      <c r="Q145" s="2666"/>
      <c r="R145" s="2668"/>
    </row>
    <row r="146" spans="2:18" s="888" customFormat="1">
      <c r="B146" s="2666"/>
      <c r="C146" s="2666"/>
      <c r="D146" s="2666"/>
      <c r="E146" s="2666"/>
      <c r="F146" s="2666"/>
      <c r="G146" s="2667"/>
      <c r="H146" s="2666"/>
      <c r="I146" s="2667"/>
      <c r="J146" s="2666"/>
      <c r="K146" s="2666"/>
      <c r="L146" s="2667"/>
      <c r="M146" s="2666"/>
      <c r="N146" s="2666"/>
      <c r="O146" s="2667"/>
      <c r="P146" s="2666"/>
      <c r="Q146" s="2666"/>
      <c r="R146" s="2668"/>
    </row>
    <row r="147" spans="2:18" s="888" customFormat="1">
      <c r="B147" s="2666"/>
      <c r="C147" s="2666"/>
      <c r="D147" s="2666"/>
      <c r="E147" s="2666"/>
      <c r="F147" s="2666"/>
      <c r="G147" s="2667"/>
      <c r="H147" s="2666"/>
      <c r="I147" s="2667"/>
      <c r="J147" s="2666"/>
      <c r="K147" s="2666"/>
      <c r="L147" s="2667"/>
      <c r="M147" s="2666"/>
      <c r="N147" s="2666"/>
      <c r="O147" s="2667"/>
      <c r="P147" s="2666"/>
      <c r="Q147" s="2666"/>
      <c r="R147" s="2668"/>
    </row>
    <row r="148" spans="2:18" s="888" customFormat="1">
      <c r="B148" s="2666"/>
      <c r="C148" s="2666"/>
      <c r="D148" s="2666"/>
      <c r="E148" s="2666"/>
      <c r="F148" s="2666"/>
      <c r="G148" s="2667"/>
      <c r="H148" s="2666"/>
      <c r="I148" s="2667"/>
      <c r="J148" s="2666"/>
      <c r="K148" s="2666"/>
      <c r="L148" s="2667"/>
      <c r="M148" s="2666"/>
      <c r="N148" s="2666"/>
      <c r="O148" s="2667"/>
      <c r="P148" s="2666"/>
      <c r="Q148" s="2666"/>
      <c r="R148" s="2668"/>
    </row>
    <row r="149" spans="2:18" s="888" customFormat="1">
      <c r="B149" s="2666"/>
      <c r="C149" s="2666"/>
      <c r="D149" s="2666"/>
      <c r="E149" s="2666"/>
      <c r="F149" s="2666"/>
      <c r="G149" s="2667"/>
      <c r="H149" s="2666"/>
      <c r="I149" s="2667"/>
      <c r="J149" s="2666"/>
      <c r="K149" s="2666"/>
      <c r="L149" s="2667"/>
      <c r="M149" s="2666"/>
      <c r="N149" s="2666"/>
      <c r="O149" s="2667"/>
      <c r="P149" s="2666"/>
      <c r="Q149" s="2666"/>
      <c r="R149" s="2668"/>
    </row>
    <row r="150" spans="2:18" s="888" customFormat="1">
      <c r="B150" s="2666"/>
      <c r="C150" s="2666"/>
      <c r="D150" s="2666"/>
      <c r="E150" s="2666"/>
      <c r="F150" s="2666"/>
      <c r="G150" s="2667"/>
      <c r="H150" s="2666"/>
      <c r="I150" s="2667"/>
      <c r="J150" s="2666"/>
      <c r="K150" s="2666"/>
      <c r="L150" s="2667"/>
      <c r="M150" s="2666"/>
      <c r="N150" s="2666"/>
      <c r="O150" s="2667"/>
      <c r="P150" s="2666"/>
      <c r="Q150" s="2666"/>
      <c r="R150" s="2668"/>
    </row>
    <row r="151" spans="2:18" s="888" customFormat="1">
      <c r="B151" s="2666"/>
      <c r="C151" s="2666"/>
      <c r="D151" s="2666"/>
      <c r="E151" s="2666"/>
      <c r="F151" s="2666"/>
      <c r="G151" s="2667"/>
      <c r="H151" s="2666"/>
      <c r="I151" s="2667"/>
      <c r="J151" s="2666"/>
      <c r="K151" s="2666"/>
      <c r="L151" s="2667"/>
      <c r="M151" s="2666"/>
      <c r="N151" s="2666"/>
      <c r="O151" s="2667"/>
      <c r="P151" s="2666"/>
      <c r="Q151" s="2666"/>
      <c r="R151" s="2668"/>
    </row>
    <row r="152" spans="2:18" s="888" customFormat="1">
      <c r="B152" s="2666"/>
      <c r="C152" s="2666"/>
      <c r="D152" s="2666"/>
      <c r="E152" s="2666"/>
      <c r="F152" s="2666"/>
      <c r="G152" s="2667"/>
      <c r="H152" s="2666"/>
      <c r="I152" s="2667"/>
      <c r="J152" s="2666"/>
      <c r="K152" s="2666"/>
      <c r="L152" s="2667"/>
      <c r="M152" s="2666"/>
      <c r="N152" s="2666"/>
      <c r="O152" s="2667"/>
      <c r="P152" s="2666"/>
      <c r="Q152" s="2666"/>
      <c r="R152" s="2668"/>
    </row>
    <row r="153" spans="2:18" s="888" customFormat="1">
      <c r="B153" s="2666"/>
      <c r="C153" s="2666"/>
      <c r="D153" s="2666"/>
      <c r="E153" s="2666"/>
      <c r="F153" s="2666"/>
      <c r="G153" s="2667"/>
      <c r="H153" s="2666"/>
      <c r="I153" s="2667"/>
      <c r="J153" s="2666"/>
      <c r="K153" s="2666"/>
      <c r="L153" s="2667"/>
      <c r="M153" s="2666"/>
      <c r="N153" s="2666"/>
      <c r="O153" s="2667"/>
      <c r="P153" s="2666"/>
      <c r="Q153" s="2666"/>
      <c r="R153" s="2668"/>
    </row>
    <row r="154" spans="2:18" s="888" customFormat="1">
      <c r="B154" s="2666"/>
      <c r="C154" s="2666"/>
      <c r="D154" s="2666"/>
      <c r="E154" s="2666"/>
      <c r="F154" s="2666"/>
      <c r="G154" s="2667"/>
      <c r="H154" s="2666"/>
      <c r="I154" s="2667"/>
      <c r="J154" s="2666"/>
      <c r="K154" s="2666"/>
      <c r="L154" s="2667"/>
      <c r="M154" s="2666"/>
      <c r="N154" s="2666"/>
      <c r="O154" s="2667"/>
      <c r="P154" s="2666"/>
      <c r="Q154" s="2666"/>
      <c r="R154" s="2668"/>
    </row>
    <row r="155" spans="2:18" s="888" customFormat="1">
      <c r="B155" s="2666"/>
      <c r="C155" s="2666"/>
      <c r="D155" s="2666"/>
      <c r="E155" s="2666"/>
      <c r="F155" s="2666"/>
      <c r="G155" s="2667"/>
      <c r="H155" s="2666"/>
      <c r="I155" s="2667"/>
      <c r="J155" s="2666"/>
      <c r="K155" s="2666"/>
      <c r="L155" s="2667"/>
      <c r="M155" s="2666"/>
      <c r="N155" s="2666"/>
      <c r="O155" s="2667"/>
      <c r="P155" s="2666"/>
      <c r="Q155" s="2666"/>
      <c r="R155" s="2668"/>
    </row>
    <row r="156" spans="2:18" s="888" customFormat="1">
      <c r="B156" s="2666"/>
      <c r="C156" s="2666"/>
      <c r="D156" s="2666"/>
      <c r="E156" s="2666"/>
      <c r="F156" s="2666"/>
      <c r="G156" s="2667"/>
      <c r="H156" s="2666"/>
      <c r="I156" s="2667"/>
      <c r="J156" s="2666"/>
      <c r="K156" s="2666"/>
      <c r="L156" s="2667"/>
      <c r="M156" s="2666"/>
      <c r="N156" s="2666"/>
      <c r="O156" s="2667"/>
      <c r="P156" s="2666"/>
      <c r="Q156" s="2666"/>
      <c r="R156" s="2668"/>
    </row>
    <row r="157" spans="2:18" s="888" customFormat="1">
      <c r="B157" s="2666"/>
      <c r="C157" s="2666"/>
      <c r="D157" s="2666"/>
      <c r="E157" s="2666"/>
      <c r="F157" s="2666"/>
      <c r="G157" s="2667"/>
      <c r="H157" s="2666"/>
      <c r="I157" s="2667"/>
      <c r="J157" s="2666"/>
      <c r="K157" s="2666"/>
      <c r="L157" s="2667"/>
      <c r="M157" s="2666"/>
      <c r="N157" s="2666"/>
      <c r="O157" s="2667"/>
      <c r="P157" s="2666"/>
      <c r="Q157" s="2666"/>
      <c r="R157" s="2668"/>
    </row>
    <row r="158" spans="2:18" s="888" customFormat="1">
      <c r="B158" s="2666"/>
      <c r="C158" s="2666"/>
      <c r="D158" s="2666"/>
      <c r="E158" s="2666"/>
      <c r="F158" s="2666"/>
      <c r="G158" s="2667"/>
      <c r="H158" s="2666"/>
      <c r="I158" s="2667"/>
      <c r="J158" s="2666"/>
      <c r="K158" s="2666"/>
      <c r="L158" s="2667"/>
      <c r="M158" s="2666"/>
      <c r="N158" s="2666"/>
      <c r="O158" s="2667"/>
      <c r="P158" s="2666"/>
      <c r="Q158" s="2666"/>
      <c r="R158" s="2668"/>
    </row>
    <row r="159" spans="2:18" s="888" customFormat="1">
      <c r="B159" s="2666"/>
      <c r="C159" s="2666"/>
      <c r="D159" s="2666"/>
      <c r="E159" s="2666"/>
      <c r="F159" s="2666"/>
      <c r="G159" s="2667"/>
      <c r="H159" s="2666"/>
      <c r="I159" s="2667"/>
      <c r="J159" s="2666"/>
      <c r="K159" s="2666"/>
      <c r="L159" s="2667"/>
      <c r="M159" s="2666"/>
      <c r="N159" s="2666"/>
      <c r="O159" s="2667"/>
      <c r="P159" s="2666"/>
      <c r="Q159" s="2666"/>
      <c r="R159" s="2668"/>
    </row>
    <row r="160" spans="2:18" s="888" customFormat="1">
      <c r="B160" s="2666"/>
      <c r="C160" s="2666"/>
      <c r="D160" s="2666"/>
      <c r="E160" s="2666"/>
      <c r="F160" s="2666"/>
      <c r="G160" s="2667"/>
      <c r="H160" s="2666"/>
      <c r="I160" s="2667"/>
      <c r="J160" s="2666"/>
      <c r="K160" s="2666"/>
      <c r="L160" s="2667"/>
      <c r="M160" s="2666"/>
      <c r="N160" s="2666"/>
      <c r="O160" s="2667"/>
      <c r="P160" s="2666"/>
      <c r="Q160" s="2666"/>
      <c r="R160" s="2668"/>
    </row>
    <row r="161" spans="2:18" s="888" customFormat="1">
      <c r="B161" s="2666"/>
      <c r="C161" s="2666"/>
      <c r="D161" s="2666"/>
      <c r="E161" s="2666"/>
      <c r="F161" s="2666"/>
      <c r="G161" s="2667"/>
      <c r="H161" s="2666"/>
      <c r="I161" s="2667"/>
      <c r="J161" s="2666"/>
      <c r="K161" s="2666"/>
      <c r="L161" s="2667"/>
      <c r="M161" s="2666"/>
      <c r="N161" s="2666"/>
      <c r="O161" s="2667"/>
      <c r="P161" s="2666"/>
      <c r="Q161" s="2666"/>
      <c r="R161" s="2668"/>
    </row>
    <row r="162" spans="2:18" s="888" customFormat="1">
      <c r="B162" s="2666"/>
      <c r="C162" s="2666"/>
      <c r="D162" s="2666"/>
      <c r="E162" s="2666"/>
      <c r="F162" s="2666"/>
      <c r="G162" s="2667"/>
      <c r="H162" s="2666"/>
      <c r="I162" s="2667"/>
      <c r="J162" s="2666"/>
      <c r="K162" s="2666"/>
      <c r="L162" s="2667"/>
      <c r="M162" s="2666"/>
      <c r="N162" s="2666"/>
      <c r="O162" s="2667"/>
      <c r="P162" s="2666"/>
      <c r="Q162" s="2666"/>
      <c r="R162" s="2668"/>
    </row>
    <row r="163" spans="2:18" s="888" customFormat="1">
      <c r="B163" s="2666"/>
      <c r="C163" s="2666"/>
      <c r="D163" s="2666"/>
      <c r="E163" s="2666"/>
      <c r="F163" s="2666"/>
      <c r="G163" s="2667"/>
      <c r="H163" s="2666"/>
      <c r="I163" s="2667"/>
      <c r="J163" s="2666"/>
      <c r="K163" s="2666"/>
      <c r="L163" s="2667"/>
      <c r="M163" s="2666"/>
      <c r="N163" s="2666"/>
      <c r="O163" s="2667"/>
      <c r="P163" s="2666"/>
      <c r="Q163" s="2666"/>
      <c r="R163" s="2668"/>
    </row>
    <row r="164" spans="2:18" s="888" customFormat="1">
      <c r="B164" s="2666"/>
      <c r="C164" s="2666"/>
      <c r="D164" s="2666"/>
      <c r="E164" s="2666"/>
      <c r="F164" s="2666"/>
      <c r="G164" s="2667"/>
      <c r="H164" s="2666"/>
      <c r="I164" s="2667"/>
      <c r="J164" s="2666"/>
      <c r="K164" s="2666"/>
      <c r="L164" s="2667"/>
      <c r="M164" s="2666"/>
      <c r="N164" s="2666"/>
      <c r="O164" s="2667"/>
      <c r="P164" s="2666"/>
      <c r="Q164" s="2666"/>
      <c r="R164" s="2668"/>
    </row>
    <row r="165" spans="2:18" s="888" customFormat="1">
      <c r="B165" s="2666"/>
      <c r="C165" s="2666"/>
      <c r="D165" s="2666"/>
      <c r="E165" s="2666"/>
      <c r="F165" s="2666"/>
      <c r="G165" s="2667"/>
      <c r="H165" s="2666"/>
      <c r="I165" s="2667"/>
      <c r="J165" s="2666"/>
      <c r="K165" s="2666"/>
      <c r="L165" s="2667"/>
      <c r="M165" s="2666"/>
      <c r="N165" s="2666"/>
      <c r="O165" s="2667"/>
      <c r="P165" s="2666"/>
      <c r="Q165" s="2666"/>
      <c r="R165" s="2668"/>
    </row>
    <row r="166" spans="2:18" s="888" customFormat="1">
      <c r="B166" s="2666"/>
      <c r="C166" s="2666"/>
      <c r="D166" s="2666"/>
      <c r="E166" s="2666"/>
      <c r="F166" s="2666"/>
      <c r="G166" s="2667"/>
      <c r="H166" s="2666"/>
      <c r="I166" s="2667"/>
      <c r="J166" s="2666"/>
      <c r="K166" s="2666"/>
      <c r="L166" s="2667"/>
      <c r="M166" s="2666"/>
      <c r="N166" s="2666"/>
      <c r="O166" s="2667"/>
      <c r="P166" s="2666"/>
      <c r="Q166" s="2666"/>
      <c r="R166" s="2668"/>
    </row>
    <row r="167" spans="2:18" s="888" customFormat="1">
      <c r="B167" s="2666"/>
      <c r="C167" s="2666"/>
      <c r="D167" s="2666"/>
      <c r="E167" s="2666"/>
      <c r="F167" s="2666"/>
      <c r="G167" s="2667"/>
      <c r="H167" s="2666"/>
      <c r="I167" s="2667"/>
      <c r="J167" s="2666"/>
      <c r="K167" s="2666"/>
      <c r="L167" s="2667"/>
      <c r="M167" s="2666"/>
      <c r="N167" s="2666"/>
      <c r="O167" s="2667"/>
      <c r="P167" s="2666"/>
      <c r="Q167" s="2666"/>
      <c r="R167" s="2668"/>
    </row>
    <row r="168" spans="2:18" s="888" customFormat="1">
      <c r="B168" s="2666"/>
      <c r="C168" s="2666"/>
      <c r="D168" s="2666"/>
      <c r="E168" s="2666"/>
      <c r="F168" s="2666"/>
      <c r="G168" s="2667"/>
      <c r="H168" s="2666"/>
      <c r="I168" s="2667"/>
      <c r="J168" s="2666"/>
      <c r="K168" s="2666"/>
      <c r="L168" s="2667"/>
      <c r="M168" s="2666"/>
      <c r="N168" s="2666"/>
      <c r="O168" s="2667"/>
      <c r="P168" s="2666"/>
      <c r="Q168" s="2666"/>
      <c r="R168" s="2668"/>
    </row>
    <row r="169" spans="2:18" s="888" customFormat="1">
      <c r="B169" s="2666"/>
      <c r="C169" s="2666"/>
      <c r="D169" s="2666"/>
      <c r="E169" s="2666"/>
      <c r="F169" s="2666"/>
      <c r="G169" s="2667"/>
      <c r="H169" s="2666"/>
      <c r="I169" s="2667"/>
      <c r="J169" s="2666"/>
      <c r="K169" s="2666"/>
      <c r="L169" s="2667"/>
      <c r="M169" s="2666"/>
      <c r="N169" s="2666"/>
      <c r="O169" s="2667"/>
      <c r="P169" s="2666"/>
      <c r="Q169" s="2666"/>
      <c r="R169" s="2668"/>
    </row>
    <row r="170" spans="2:18" s="888" customFormat="1">
      <c r="B170" s="2666"/>
      <c r="C170" s="2666"/>
      <c r="D170" s="2666"/>
      <c r="E170" s="2666"/>
      <c r="F170" s="2666"/>
      <c r="G170" s="2667"/>
      <c r="H170" s="2666"/>
      <c r="I170" s="2667"/>
      <c r="J170" s="2666"/>
      <c r="K170" s="2666"/>
      <c r="L170" s="2667"/>
      <c r="M170" s="2666"/>
      <c r="N170" s="2666"/>
      <c r="O170" s="2667"/>
      <c r="P170" s="2666"/>
      <c r="Q170" s="2666"/>
      <c r="R170" s="2668"/>
    </row>
    <row r="171" spans="2:18" s="888" customFormat="1">
      <c r="B171" s="2666"/>
      <c r="C171" s="2666"/>
      <c r="D171" s="2666"/>
      <c r="E171" s="2666"/>
      <c r="F171" s="2666"/>
      <c r="G171" s="2667"/>
      <c r="H171" s="2666"/>
      <c r="I171" s="2667"/>
      <c r="J171" s="2666"/>
      <c r="K171" s="2666"/>
      <c r="L171" s="2667"/>
      <c r="M171" s="2666"/>
      <c r="N171" s="2666"/>
      <c r="O171" s="2667"/>
      <c r="P171" s="2666"/>
      <c r="Q171" s="2666"/>
      <c r="R171" s="2668"/>
    </row>
    <row r="172" spans="2:18" s="888" customFormat="1">
      <c r="B172" s="2666"/>
      <c r="C172" s="2666"/>
      <c r="D172" s="2666"/>
      <c r="E172" s="2666"/>
      <c r="F172" s="2666"/>
      <c r="G172" s="2667"/>
      <c r="H172" s="2666"/>
      <c r="I172" s="2667"/>
      <c r="J172" s="2666"/>
      <c r="K172" s="2666"/>
      <c r="L172" s="2667"/>
      <c r="M172" s="2666"/>
      <c r="N172" s="2666"/>
      <c r="O172" s="2667"/>
      <c r="P172" s="2666"/>
      <c r="Q172" s="2666"/>
      <c r="R172" s="2668"/>
    </row>
    <row r="173" spans="2:18" s="888" customFormat="1">
      <c r="B173" s="2666"/>
      <c r="C173" s="2666"/>
      <c r="D173" s="2666"/>
      <c r="E173" s="2666"/>
      <c r="F173" s="2666"/>
      <c r="G173" s="2667"/>
      <c r="H173" s="2666"/>
      <c r="I173" s="2667"/>
      <c r="J173" s="2666"/>
      <c r="K173" s="2666"/>
      <c r="L173" s="2667"/>
      <c r="M173" s="2666"/>
      <c r="N173" s="2666"/>
      <c r="O173" s="2667"/>
      <c r="P173" s="2666"/>
      <c r="Q173" s="2666"/>
      <c r="R173" s="2668"/>
    </row>
    <row r="174" spans="2:18" s="888" customFormat="1">
      <c r="B174" s="2666"/>
      <c r="C174" s="2666"/>
      <c r="D174" s="2666"/>
      <c r="E174" s="2666"/>
      <c r="F174" s="2666"/>
      <c r="G174" s="2667"/>
      <c r="H174" s="2666"/>
      <c r="I174" s="2667"/>
      <c r="J174" s="2666"/>
      <c r="K174" s="2666"/>
      <c r="L174" s="2667"/>
      <c r="M174" s="2666"/>
      <c r="N174" s="2666"/>
      <c r="O174" s="2667"/>
      <c r="P174" s="2666"/>
      <c r="Q174" s="2666"/>
      <c r="R174" s="2668"/>
    </row>
    <row r="175" spans="2:18" s="888" customFormat="1">
      <c r="B175" s="2666"/>
      <c r="C175" s="2666"/>
      <c r="D175" s="2666"/>
      <c r="E175" s="2666"/>
      <c r="F175" s="2666"/>
      <c r="G175" s="2667"/>
      <c r="H175" s="2666"/>
      <c r="I175" s="2667"/>
      <c r="J175" s="2666"/>
      <c r="K175" s="2666"/>
      <c r="L175" s="2667"/>
      <c r="M175" s="2666"/>
      <c r="N175" s="2666"/>
      <c r="O175" s="2667"/>
      <c r="P175" s="2666"/>
      <c r="Q175" s="2666"/>
      <c r="R175" s="2668"/>
    </row>
    <row r="176" spans="2:18" s="888" customFormat="1">
      <c r="B176" s="2666"/>
      <c r="C176" s="2666"/>
      <c r="D176" s="2666"/>
      <c r="E176" s="2666"/>
      <c r="F176" s="2666"/>
      <c r="G176" s="2667"/>
      <c r="H176" s="2666"/>
      <c r="I176" s="2667"/>
      <c r="J176" s="2666"/>
      <c r="K176" s="2666"/>
      <c r="L176" s="2667"/>
      <c r="M176" s="2666"/>
      <c r="N176" s="2666"/>
      <c r="O176" s="2667"/>
      <c r="P176" s="2666"/>
      <c r="Q176" s="2666"/>
      <c r="R176" s="2668"/>
    </row>
    <row r="177" spans="1:18" s="888" customFormat="1">
      <c r="B177" s="2666"/>
      <c r="C177" s="2666"/>
      <c r="D177" s="2666"/>
      <c r="E177" s="2666"/>
      <c r="F177" s="2666"/>
      <c r="G177" s="2667"/>
      <c r="H177" s="2666"/>
      <c r="I177" s="2667"/>
      <c r="J177" s="2666"/>
      <c r="K177" s="2666"/>
      <c r="L177" s="2667"/>
      <c r="M177" s="2666"/>
      <c r="N177" s="2666"/>
      <c r="O177" s="2667"/>
      <c r="P177" s="2666"/>
      <c r="Q177" s="2666"/>
      <c r="R177" s="2668"/>
    </row>
    <row r="178" spans="1:18" s="888" customFormat="1">
      <c r="B178" s="2666"/>
      <c r="C178" s="2666"/>
      <c r="D178" s="2666"/>
      <c r="E178" s="2666"/>
      <c r="F178" s="2666"/>
      <c r="G178" s="2667"/>
      <c r="H178" s="2666"/>
      <c r="I178" s="2667"/>
      <c r="J178" s="2666"/>
      <c r="K178" s="2666"/>
      <c r="L178" s="2667"/>
      <c r="M178" s="2666"/>
      <c r="N178" s="2666"/>
      <c r="O178" s="2667"/>
      <c r="P178" s="2666"/>
      <c r="Q178" s="2666"/>
      <c r="R178" s="2668"/>
    </row>
    <row r="179" spans="1:18" s="888" customFormat="1">
      <c r="B179" s="2666"/>
      <c r="C179" s="2666"/>
      <c r="D179" s="2666"/>
      <c r="E179" s="2666"/>
      <c r="F179" s="2666"/>
      <c r="G179" s="2667"/>
      <c r="H179" s="2666"/>
      <c r="I179" s="2667"/>
      <c r="J179" s="2666"/>
      <c r="K179" s="2666"/>
      <c r="L179" s="2667"/>
      <c r="M179" s="2666"/>
      <c r="N179" s="2666"/>
      <c r="O179" s="2667"/>
      <c r="P179" s="2666"/>
      <c r="Q179" s="2666"/>
      <c r="R179" s="2668"/>
    </row>
    <row r="180" spans="1:18" s="888" customFormat="1">
      <c r="B180" s="2666"/>
      <c r="C180" s="2666"/>
      <c r="D180" s="2666"/>
      <c r="E180" s="2666"/>
      <c r="F180" s="2666"/>
      <c r="G180" s="2667"/>
      <c r="H180" s="2666"/>
      <c r="I180" s="2667"/>
      <c r="J180" s="2666"/>
      <c r="K180" s="2666"/>
      <c r="L180" s="2667"/>
      <c r="M180" s="2666"/>
      <c r="N180" s="2666"/>
      <c r="O180" s="2667"/>
      <c r="P180" s="2666"/>
      <c r="Q180" s="2666"/>
      <c r="R180" s="2668"/>
    </row>
    <row r="181" spans="1:18" s="888" customFormat="1">
      <c r="B181" s="2666"/>
      <c r="C181" s="2666"/>
      <c r="D181" s="2666"/>
      <c r="E181" s="2666"/>
      <c r="F181" s="2666"/>
      <c r="G181" s="2667"/>
      <c r="H181" s="2666"/>
      <c r="I181" s="2667"/>
      <c r="J181" s="2666"/>
      <c r="K181" s="2666"/>
      <c r="L181" s="2667"/>
      <c r="M181" s="2666"/>
      <c r="N181" s="2666"/>
      <c r="O181" s="2667"/>
      <c r="P181" s="2666"/>
      <c r="Q181" s="2666"/>
      <c r="R181" s="2668"/>
    </row>
    <row r="182" spans="1:18" s="888" customFormat="1">
      <c r="B182" s="2666"/>
      <c r="C182" s="2666"/>
      <c r="D182" s="2666"/>
      <c r="E182" s="2666"/>
      <c r="F182" s="2666"/>
      <c r="G182" s="2667"/>
      <c r="H182" s="2666"/>
      <c r="I182" s="2667"/>
      <c r="J182" s="2666"/>
      <c r="K182" s="2666"/>
      <c r="L182" s="2667"/>
      <c r="M182" s="2666"/>
      <c r="N182" s="2666"/>
      <c r="O182" s="2667"/>
      <c r="P182" s="2666"/>
      <c r="Q182" s="2666"/>
      <c r="R182" s="2668"/>
    </row>
    <row r="183" spans="1:18" s="888" customFormat="1">
      <c r="B183" s="2666"/>
      <c r="C183" s="2666"/>
      <c r="D183" s="2666"/>
      <c r="E183" s="2666"/>
      <c r="F183" s="2666"/>
      <c r="G183" s="2667"/>
      <c r="H183" s="2666"/>
      <c r="I183" s="2667"/>
      <c r="J183" s="2666"/>
      <c r="K183" s="2666"/>
      <c r="L183" s="2667"/>
      <c r="M183" s="2666"/>
      <c r="N183" s="2666"/>
      <c r="O183" s="2667"/>
      <c r="P183" s="2666"/>
      <c r="Q183" s="2666"/>
      <c r="R183" s="2668"/>
    </row>
    <row r="184" spans="1:18" s="888" customFormat="1">
      <c r="B184" s="2666"/>
      <c r="C184" s="2666"/>
      <c r="D184" s="2666"/>
      <c r="E184" s="2666"/>
      <c r="F184" s="2666"/>
      <c r="G184" s="2667"/>
      <c r="H184" s="2666"/>
      <c r="I184" s="2667"/>
      <c r="J184" s="2666"/>
      <c r="K184" s="2666"/>
      <c r="L184" s="2667"/>
      <c r="M184" s="2666"/>
      <c r="N184" s="2666"/>
      <c r="O184" s="2667"/>
      <c r="P184" s="2666"/>
      <c r="Q184" s="2666"/>
      <c r="R184" s="2668"/>
    </row>
    <row r="185" spans="1:18" s="888" customFormat="1">
      <c r="B185" s="2666"/>
      <c r="C185" s="2666"/>
      <c r="D185" s="2666"/>
      <c r="E185" s="2666"/>
      <c r="F185" s="2666"/>
      <c r="G185" s="2667"/>
      <c r="H185" s="2666"/>
      <c r="I185" s="2667"/>
      <c r="J185" s="2666"/>
      <c r="K185" s="2666"/>
      <c r="L185" s="2667"/>
      <c r="M185" s="2666"/>
      <c r="N185" s="2666"/>
      <c r="O185" s="2667"/>
      <c r="P185" s="2666"/>
      <c r="Q185" s="2666"/>
      <c r="R185" s="2668"/>
    </row>
    <row r="186" spans="1:18">
      <c r="A186" s="888"/>
      <c r="B186" s="2666"/>
      <c r="C186" s="2666"/>
      <c r="E186" s="2666"/>
      <c r="F186" s="2666"/>
      <c r="G186" s="2667"/>
    </row>
    <row r="187" spans="1:18">
      <c r="A187" s="888"/>
      <c r="B187" s="2666"/>
      <c r="C187" s="2666"/>
      <c r="E187" s="2666"/>
      <c r="F187" s="2666"/>
      <c r="G187" s="266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D16" sqref="D16"/>
    </sheetView>
  </sheetViews>
  <sheetFormatPr defaultColWidth="9" defaultRowHeight="13.5"/>
  <cols>
    <col min="1" max="1" width="25" style="2688" customWidth="1"/>
    <col min="2" max="9" width="15.75" style="2688" customWidth="1"/>
    <col min="10" max="16384" width="9" style="2688"/>
  </cols>
  <sheetData>
    <row r="1" spans="1:11" ht="16.5">
      <c r="A1" s="2687" t="s">
        <v>1090</v>
      </c>
      <c r="B1" s="2687">
        <f>SUM(B14:B23)</f>
        <v>71326.98000000001</v>
      </c>
      <c r="C1" s="2864"/>
      <c r="D1" s="2864"/>
      <c r="E1" s="2864"/>
      <c r="F1" s="2864"/>
      <c r="G1" s="2865"/>
      <c r="H1" s="2866"/>
      <c r="I1" s="2866"/>
      <c r="J1" s="2866"/>
      <c r="K1" s="2866"/>
    </row>
    <row r="2" spans="1:11" ht="16.5">
      <c r="A2" s="2687" t="s">
        <v>1078</v>
      </c>
      <c r="B2" s="2687">
        <f>SUM(C14:C23)</f>
        <v>35159.14</v>
      </c>
      <c r="C2" s="2864"/>
      <c r="D2" s="2864"/>
      <c r="E2" s="2864"/>
      <c r="F2" s="2864"/>
      <c r="G2" s="2865"/>
      <c r="H2" s="2866"/>
      <c r="I2" s="2866"/>
      <c r="J2" s="2866"/>
      <c r="K2" s="2866"/>
    </row>
    <row r="3" spans="1:11" ht="16.5">
      <c r="A3" s="2687" t="s">
        <v>1087</v>
      </c>
      <c r="B3" s="2689">
        <f>项目基本情况!D3</f>
        <v>44799</v>
      </c>
      <c r="C3" s="2864"/>
      <c r="D3" s="2864"/>
      <c r="E3" s="2864"/>
      <c r="F3" s="2864"/>
      <c r="G3" s="2865"/>
      <c r="H3" s="2866"/>
      <c r="I3" s="2866"/>
      <c r="J3" s="2866"/>
      <c r="K3" s="2866"/>
    </row>
    <row r="4" spans="1:11" ht="33">
      <c r="A4" s="2687" t="s">
        <v>1086</v>
      </c>
      <c r="B4" s="2687" t="s">
        <v>1085</v>
      </c>
      <c r="C4" s="2687" t="s">
        <v>1084</v>
      </c>
      <c r="D4" s="2687" t="s">
        <v>1083</v>
      </c>
      <c r="E4" s="2864"/>
      <c r="F4" s="2865"/>
      <c r="G4" s="2865"/>
      <c r="H4" s="2866"/>
      <c r="I4" s="2866"/>
      <c r="J4" s="2866"/>
      <c r="K4" s="2866"/>
    </row>
    <row r="5" spans="1:11" ht="16.5">
      <c r="A5" s="2687" t="s">
        <v>1082</v>
      </c>
      <c r="B5" s="2687">
        <f ca="1">SUM(D14:D23)</f>
        <v>121864</v>
      </c>
      <c r="C5" s="2687">
        <f ca="1">ROUND(B5*10000/$B$1,0)</f>
        <v>17085</v>
      </c>
      <c r="D5" s="2687">
        <f ca="1">ROUND(B5*10000/$B$2,0)</f>
        <v>34661</v>
      </c>
      <c r="E5" s="2864"/>
      <c r="F5" s="2865"/>
      <c r="G5" s="2865"/>
      <c r="H5" s="2866"/>
      <c r="I5" s="2866"/>
      <c r="J5" s="2866"/>
      <c r="K5" s="2866"/>
    </row>
    <row r="6" spans="1:11" ht="16.5">
      <c r="A6" s="2687" t="s">
        <v>1081</v>
      </c>
      <c r="B6" s="2687">
        <f ca="1">SUM(G14:G23)</f>
        <v>121864</v>
      </c>
      <c r="C6" s="2687">
        <f ca="1">ROUND(B6*10000/$B$1,0)</f>
        <v>17085</v>
      </c>
      <c r="D6" s="2687">
        <f ca="1">ROUND(B6*10000/$B$2,0)</f>
        <v>34661</v>
      </c>
      <c r="E6" s="2864"/>
      <c r="F6" s="2865"/>
      <c r="G6" s="2865"/>
      <c r="H6" s="2866"/>
      <c r="I6" s="2866"/>
      <c r="J6" s="2866"/>
      <c r="K6" s="2866"/>
    </row>
    <row r="7" spans="1:11" ht="16.5">
      <c r="A7" s="2687" t="s">
        <v>1089</v>
      </c>
      <c r="B7" s="2687">
        <f>SUM(H14:H23)</f>
        <v>0</v>
      </c>
      <c r="C7" s="2687">
        <f>ROUND(B7*10000/$B$1,0)</f>
        <v>0</v>
      </c>
      <c r="D7" s="2687">
        <f>ROUND(B7*10000/$B$2,0)</f>
        <v>0</v>
      </c>
      <c r="E7" s="2864"/>
      <c r="F7" s="2865"/>
      <c r="G7" s="2865"/>
      <c r="H7" s="2866"/>
      <c r="I7" s="2866"/>
      <c r="J7" s="2866"/>
      <c r="K7" s="2866"/>
    </row>
    <row r="8" spans="1:11" ht="16.5">
      <c r="A8" s="2687" t="s">
        <v>1012</v>
      </c>
      <c r="B8" s="2687">
        <f>SUM(I14:I23)</f>
        <v>0</v>
      </c>
      <c r="C8" s="2687">
        <f>ROUND(B8*10000/$B$1,0)</f>
        <v>0</v>
      </c>
      <c r="D8" s="2687">
        <f>ROUND(B8*10000/$B$2,0)</f>
        <v>0</v>
      </c>
      <c r="E8" s="2864"/>
      <c r="F8" s="2865"/>
      <c r="G8" s="2865"/>
      <c r="H8" s="2866"/>
      <c r="I8" s="2866"/>
      <c r="J8" s="2866"/>
      <c r="K8" s="2866"/>
    </row>
    <row r="9" spans="1:11" ht="16.5">
      <c r="A9" s="2687" t="s">
        <v>1080</v>
      </c>
      <c r="B9" s="2695"/>
      <c r="C9" s="2864"/>
      <c r="D9" s="2864"/>
      <c r="E9" s="2864"/>
      <c r="F9" s="2865"/>
      <c r="G9" s="2865"/>
      <c r="H9" s="2866"/>
      <c r="I9" s="2866"/>
      <c r="J9" s="2866"/>
      <c r="K9" s="2866"/>
    </row>
    <row r="10" spans="1:11" ht="16.5">
      <c r="A10" s="2687" t="s">
        <v>1079</v>
      </c>
      <c r="B10" s="2695"/>
      <c r="C10" s="2864"/>
      <c r="D10" s="2864"/>
      <c r="E10" s="2864"/>
      <c r="F10" s="2865"/>
      <c r="G10" s="2865"/>
      <c r="H10" s="2866"/>
      <c r="I10" s="2866"/>
      <c r="J10" s="2866"/>
      <c r="K10" s="2866"/>
    </row>
    <row r="11" spans="1:11" ht="16.5">
      <c r="A11" s="2687" t="s">
        <v>1095</v>
      </c>
      <c r="B11" s="2695"/>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0" t="s">
        <v>1094</v>
      </c>
      <c r="B13" s="2691" t="s">
        <v>1091</v>
      </c>
      <c r="C13" s="2691" t="s">
        <v>1093</v>
      </c>
      <c r="D13" s="2691" t="s">
        <v>1092</v>
      </c>
      <c r="E13" s="2687" t="s">
        <v>1084</v>
      </c>
      <c r="F13" s="2687" t="s">
        <v>1083</v>
      </c>
      <c r="G13" s="2691" t="s">
        <v>1077</v>
      </c>
      <c r="H13" s="2691" t="s">
        <v>1088</v>
      </c>
      <c r="I13" s="2691" t="s">
        <v>1076</v>
      </c>
      <c r="J13" s="2865"/>
      <c r="K13" s="2866"/>
    </row>
    <row r="14" spans="1:11" ht="16.5">
      <c r="A14" s="2692" t="s">
        <v>1075</v>
      </c>
      <c r="B14" s="2693">
        <f>结果表!B118</f>
        <v>40421.870000000003</v>
      </c>
      <c r="C14" s="2693">
        <f>结果表!C118</f>
        <v>18060.05</v>
      </c>
      <c r="D14" s="2693">
        <f ca="1">结果表!H118</f>
        <v>66356</v>
      </c>
      <c r="E14" s="2693">
        <f ca="1">ROUND(D14*10000/B14,0)</f>
        <v>16416</v>
      </c>
      <c r="F14" s="2693">
        <f ca="1">ROUND(D14*10000/C14,0)</f>
        <v>36742</v>
      </c>
      <c r="G14" s="2693">
        <f ca="1">结果表!D122</f>
        <v>66356</v>
      </c>
      <c r="H14" s="2693" t="str">
        <f>结果表!D124</f>
        <v>——</v>
      </c>
      <c r="I14" s="2693" t="str">
        <f>结果表!D126</f>
        <v>——</v>
      </c>
      <c r="J14" s="2865"/>
      <c r="K14" s="2866"/>
    </row>
    <row r="15" spans="1:11" ht="16.5">
      <c r="A15" s="2692" t="s">
        <v>1074</v>
      </c>
      <c r="B15" s="2693">
        <f>[4]系统读取表!$B$14</f>
        <v>30905.11</v>
      </c>
      <c r="C15" s="2693">
        <f>[4]系统读取表!$C$14</f>
        <v>17099.09</v>
      </c>
      <c r="D15" s="2693">
        <f ca="1">[4]系统读取表!$D$14</f>
        <v>55508</v>
      </c>
      <c r="E15" s="2693">
        <f t="shared" ref="E15:E23" ca="1" si="0">ROUND(D15*10000/B15,0)</f>
        <v>17961</v>
      </c>
      <c r="F15" s="2693">
        <f t="shared" ref="F15:F23" ca="1" si="1">ROUND(D15*10000/C15,0)</f>
        <v>32463</v>
      </c>
      <c r="G15" s="1452">
        <f ca="1">D15</f>
        <v>55508</v>
      </c>
      <c r="H15" s="1452"/>
      <c r="I15" s="2694"/>
      <c r="J15" s="2865"/>
      <c r="K15" s="2866"/>
    </row>
    <row r="16" spans="1:11" ht="16.5">
      <c r="A16" s="2692" t="s">
        <v>1073</v>
      </c>
      <c r="B16" s="2694"/>
      <c r="C16" s="2694"/>
      <c r="D16" s="2694"/>
      <c r="E16" s="2693" t="e">
        <f t="shared" si="0"/>
        <v>#DIV/0!</v>
      </c>
      <c r="F16" s="2693" t="e">
        <f t="shared" si="1"/>
        <v>#DIV/0!</v>
      </c>
      <c r="G16" s="1452"/>
      <c r="H16" s="1452"/>
      <c r="I16" s="2694"/>
      <c r="J16" s="2866"/>
      <c r="K16" s="2866"/>
    </row>
    <row r="17" spans="1:11" ht="16.5">
      <c r="A17" s="2692" t="s">
        <v>1072</v>
      </c>
      <c r="B17" s="2694"/>
      <c r="C17" s="2694"/>
      <c r="D17" s="2694"/>
      <c r="E17" s="2693" t="e">
        <f t="shared" si="0"/>
        <v>#DIV/0!</v>
      </c>
      <c r="F17" s="2693" t="e">
        <f t="shared" si="1"/>
        <v>#DIV/0!</v>
      </c>
      <c r="G17" s="1452"/>
      <c r="H17" s="1452"/>
      <c r="I17" s="2694"/>
      <c r="J17" s="2866"/>
      <c r="K17" s="2866"/>
    </row>
    <row r="18" spans="1:11" ht="16.5">
      <c r="A18" s="2692" t="s">
        <v>1071</v>
      </c>
      <c r="B18" s="2694"/>
      <c r="C18" s="2694"/>
      <c r="D18" s="2694"/>
      <c r="E18" s="2693" t="e">
        <f t="shared" si="0"/>
        <v>#DIV/0!</v>
      </c>
      <c r="F18" s="2693" t="e">
        <f t="shared" si="1"/>
        <v>#DIV/0!</v>
      </c>
      <c r="G18" s="2694"/>
      <c r="H18" s="2694"/>
      <c r="I18" s="2694"/>
      <c r="J18" s="2866"/>
      <c r="K18" s="2866"/>
    </row>
    <row r="19" spans="1:11" ht="16.5">
      <c r="A19" s="2692" t="s">
        <v>1070</v>
      </c>
      <c r="B19" s="2694"/>
      <c r="C19" s="2694"/>
      <c r="D19" s="2694"/>
      <c r="E19" s="2693" t="e">
        <f t="shared" si="0"/>
        <v>#DIV/0!</v>
      </c>
      <c r="F19" s="2693" t="e">
        <f t="shared" si="1"/>
        <v>#DIV/0!</v>
      </c>
      <c r="G19" s="2694"/>
      <c r="H19" s="2694"/>
      <c r="I19" s="2694"/>
      <c r="J19" s="2866"/>
      <c r="K19" s="2866"/>
    </row>
    <row r="20" spans="1:11" ht="16.5">
      <c r="A20" s="2692" t="s">
        <v>1069</v>
      </c>
      <c r="B20" s="2694"/>
      <c r="C20" s="2694"/>
      <c r="D20" s="2694"/>
      <c r="E20" s="2693" t="e">
        <f t="shared" si="0"/>
        <v>#DIV/0!</v>
      </c>
      <c r="F20" s="2693" t="e">
        <f t="shared" si="1"/>
        <v>#DIV/0!</v>
      </c>
      <c r="G20" s="2694"/>
      <c r="H20" s="2694"/>
      <c r="I20" s="2694"/>
      <c r="J20" s="2866"/>
      <c r="K20" s="2866"/>
    </row>
    <row r="21" spans="1:11" ht="16.5">
      <c r="A21" s="2692" t="s">
        <v>1068</v>
      </c>
      <c r="B21" s="2694"/>
      <c r="C21" s="2694"/>
      <c r="D21" s="2694"/>
      <c r="E21" s="2693" t="e">
        <f t="shared" si="0"/>
        <v>#DIV/0!</v>
      </c>
      <c r="F21" s="2693" t="e">
        <f t="shared" si="1"/>
        <v>#DIV/0!</v>
      </c>
      <c r="G21" s="2694"/>
      <c r="H21" s="2694"/>
      <c r="I21" s="2694"/>
      <c r="J21" s="2866"/>
      <c r="K21" s="2866"/>
    </row>
    <row r="22" spans="1:11" ht="16.5">
      <c r="A22" s="2692" t="s">
        <v>1067</v>
      </c>
      <c r="B22" s="2694"/>
      <c r="C22" s="2694"/>
      <c r="D22" s="2694"/>
      <c r="E22" s="2693" t="e">
        <f t="shared" si="0"/>
        <v>#DIV/0!</v>
      </c>
      <c r="F22" s="2693" t="e">
        <f t="shared" si="1"/>
        <v>#DIV/0!</v>
      </c>
      <c r="G22" s="2694"/>
      <c r="H22" s="2694"/>
      <c r="I22" s="2694"/>
      <c r="J22" s="2866"/>
      <c r="K22" s="2866"/>
    </row>
    <row r="23" spans="1:11" ht="16.5">
      <c r="A23" s="2692" t="s">
        <v>1066</v>
      </c>
      <c r="B23" s="2694"/>
      <c r="C23" s="2694"/>
      <c r="D23" s="2694"/>
      <c r="E23" s="2695" t="e">
        <f t="shared" si="0"/>
        <v>#DIV/0!</v>
      </c>
      <c r="F23" s="2695" t="e">
        <f t="shared" si="1"/>
        <v>#DIV/0!</v>
      </c>
      <c r="G23" s="2694"/>
      <c r="H23" s="2694"/>
      <c r="I23" s="2694"/>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E24" sqref="E24"/>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c r="H1" s="1887" t="str">
        <f>IF(G1="现房","——","估价对象范围")</f>
        <v>估价对象范围</v>
      </c>
      <c r="I1" s="1888"/>
    </row>
    <row r="2" spans="1:12" ht="21.75" customHeight="1" thickBot="1">
      <c r="A2" s="3387" t="str">
        <f>项目基本情况!S2</f>
        <v>北京市朝阳区广顺北大街17号1层01层A03等共57套商业用房、4套地下车库用房房地产</v>
      </c>
      <c r="B2" s="3388"/>
      <c r="C2" s="3388"/>
      <c r="D2" s="3388"/>
      <c r="E2" s="3388"/>
      <c r="F2" s="3388"/>
      <c r="G2" s="3388"/>
      <c r="H2" s="3388"/>
      <c r="I2" s="3389"/>
    </row>
    <row r="3" spans="1:12" ht="12.75">
      <c r="A3" s="3391" t="s">
        <v>1709</v>
      </c>
      <c r="B3" s="3392"/>
      <c r="C3" s="3392"/>
      <c r="D3" s="3392"/>
      <c r="E3" s="3392"/>
      <c r="F3" s="3392"/>
      <c r="G3" s="3392"/>
      <c r="H3" s="3392"/>
      <c r="I3" s="3392"/>
    </row>
    <row r="4" spans="1:12" ht="14.25">
      <c r="A4" s="1891" t="s">
        <v>1710</v>
      </c>
      <c r="B4" s="1892" t="s">
        <v>1711</v>
      </c>
      <c r="C4" s="1893" t="s">
        <v>3242</v>
      </c>
      <c r="D4" s="1893" t="s">
        <v>3450</v>
      </c>
      <c r="E4" s="3393" t="s">
        <v>1712</v>
      </c>
      <c r="F4" s="3394"/>
      <c r="G4" s="3394"/>
      <c r="H4" s="3394"/>
      <c r="I4" s="339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67" t="s">
        <v>1713</v>
      </c>
      <c r="B5" s="3354">
        <v>25</v>
      </c>
      <c r="C5" s="3370"/>
      <c r="D5" s="3390"/>
      <c r="E5" s="136" t="s">
        <v>1714</v>
      </c>
      <c r="F5" s="1894"/>
      <c r="G5" s="1894"/>
      <c r="H5" s="1894"/>
      <c r="I5" s="1508"/>
    </row>
    <row r="6" spans="1:12" ht="12.75">
      <c r="A6" s="3367"/>
      <c r="B6" s="3354"/>
      <c r="C6" s="3371"/>
      <c r="D6" s="3390"/>
      <c r="E6" s="136" t="s">
        <v>1715</v>
      </c>
      <c r="F6" s="1894"/>
      <c r="G6" s="1894"/>
      <c r="H6" s="1894"/>
      <c r="I6" s="1508"/>
    </row>
    <row r="7" spans="1:12" ht="12.75">
      <c r="A7" s="3367"/>
      <c r="B7" s="3354"/>
      <c r="C7" s="3372"/>
      <c r="D7" s="3390"/>
      <c r="E7" s="136" t="s">
        <v>1716</v>
      </c>
      <c r="F7" s="1894"/>
      <c r="G7" s="1894"/>
      <c r="H7" s="1894"/>
      <c r="I7" s="1508"/>
    </row>
    <row r="8" spans="1:12" ht="12.75">
      <c r="A8" s="3367" t="s">
        <v>1717</v>
      </c>
      <c r="B8" s="3354">
        <v>15</v>
      </c>
      <c r="C8" s="3370"/>
      <c r="D8" s="3390"/>
      <c r="E8" s="136" t="s">
        <v>1718</v>
      </c>
      <c r="F8" s="1894"/>
      <c r="G8" s="1894"/>
      <c r="H8" s="1894"/>
      <c r="I8" s="1508"/>
    </row>
    <row r="9" spans="1:12" ht="12.75">
      <c r="A9" s="3367"/>
      <c r="B9" s="3354"/>
      <c r="C9" s="3372"/>
      <c r="D9" s="3390"/>
      <c r="E9" s="136" t="s">
        <v>1719</v>
      </c>
      <c r="F9" s="1894"/>
      <c r="G9" s="1894"/>
      <c r="H9" s="1894"/>
      <c r="I9" s="1508"/>
    </row>
    <row r="10" spans="1:12" ht="12.75">
      <c r="A10" s="3367" t="s">
        <v>1720</v>
      </c>
      <c r="B10" s="3354">
        <v>15</v>
      </c>
      <c r="C10" s="3370"/>
      <c r="D10" s="3390"/>
      <c r="E10" s="136" t="s">
        <v>1721</v>
      </c>
      <c r="F10" s="1894"/>
      <c r="G10" s="1894"/>
      <c r="H10" s="1894"/>
      <c r="I10" s="1508"/>
    </row>
    <row r="11" spans="1:12" ht="12.75">
      <c r="A11" s="3367"/>
      <c r="B11" s="3354"/>
      <c r="C11" s="3372"/>
      <c r="D11" s="3390"/>
      <c r="E11" s="136" t="s">
        <v>1722</v>
      </c>
      <c r="F11" s="1894"/>
      <c r="G11" s="1894"/>
      <c r="H11" s="1894"/>
      <c r="I11" s="1508"/>
    </row>
    <row r="12" spans="1:12" ht="12.75">
      <c r="A12" s="3367" t="s">
        <v>1723</v>
      </c>
      <c r="B12" s="3354">
        <v>15</v>
      </c>
      <c r="C12" s="3370"/>
      <c r="D12" s="3390"/>
      <c r="E12" s="136" t="s">
        <v>1724</v>
      </c>
      <c r="F12" s="1894"/>
      <c r="G12" s="1894"/>
      <c r="H12" s="1894"/>
      <c r="I12" s="1508"/>
    </row>
    <row r="13" spans="1:12" ht="12.75">
      <c r="A13" s="3367"/>
      <c r="B13" s="3354"/>
      <c r="C13" s="3372"/>
      <c r="D13" s="3390"/>
      <c r="E13" s="136" t="s">
        <v>1725</v>
      </c>
      <c r="F13" s="1894"/>
      <c r="G13" s="1894"/>
      <c r="H13" s="1894"/>
      <c r="I13" s="1508"/>
    </row>
    <row r="14" spans="1:12" ht="12.75">
      <c r="A14" s="3367" t="s">
        <v>1726</v>
      </c>
      <c r="B14" s="3354">
        <v>30</v>
      </c>
      <c r="C14" s="3370">
        <v>5</v>
      </c>
      <c r="D14" s="3390">
        <v>5</v>
      </c>
      <c r="E14" s="136" t="s">
        <v>1727</v>
      </c>
      <c r="F14" s="1894"/>
      <c r="G14" s="1894"/>
      <c r="H14" s="1894"/>
      <c r="I14" s="1508"/>
    </row>
    <row r="15" spans="1:12" ht="12.75">
      <c r="A15" s="3367"/>
      <c r="B15" s="3354"/>
      <c r="C15" s="3371"/>
      <c r="D15" s="3390"/>
      <c r="E15" s="136" t="s">
        <v>1728</v>
      </c>
      <c r="F15" s="1894"/>
      <c r="G15" s="1894"/>
      <c r="H15" s="1894"/>
      <c r="I15" s="1508"/>
    </row>
    <row r="16" spans="1:12" ht="12.75">
      <c r="A16" s="3367"/>
      <c r="B16" s="3354"/>
      <c r="C16" s="3372"/>
      <c r="D16" s="3390"/>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377" t="s">
        <v>2632</v>
      </c>
      <c r="F18" s="3378"/>
      <c r="G18" s="3378"/>
      <c r="H18" s="3378"/>
      <c r="I18" s="3378"/>
      <c r="K18" s="308" t="s">
        <v>1734</v>
      </c>
      <c r="L18" s="308">
        <f>IF(C1="",'数据-汇总表'!E3,SUMIF(项目类型,C1,'数据-汇总表'!E17:E26)+SUMIF(项目类型,C1,'数据-汇总表'!I17:I26))</f>
        <v>40421.870000000003</v>
      </c>
      <c r="M18" s="308">
        <f>IF(C1="",'数据-汇总表'!E3,SUMIF(项目类型,C1,'数据-汇总表'!E17:E26))</f>
        <v>40421.870000000003</v>
      </c>
    </row>
    <row r="19" spans="1:36" ht="15">
      <c r="A19" s="1898" t="s">
        <v>1735</v>
      </c>
      <c r="B19" s="1899" t="s">
        <v>1736</v>
      </c>
      <c r="C19" s="139">
        <f ca="1">SUMIF(INDIRECT("'"&amp;C4&amp;"'"&amp;"!A:A"),结果表!B19,INDIRECT("'"&amp;C4&amp;"'"&amp;"!B:B"))</f>
        <v>81252</v>
      </c>
      <c r="D19" s="140">
        <f ca="1">SUMIF(INDIRECT("'"&amp;D4&amp;"'"&amp;"!A:A"),结果表!B19,INDIRECT("'"&amp;D4&amp;"'"&amp;"!B:B"))</f>
        <v>51460</v>
      </c>
      <c r="E19" s="1898" t="s">
        <v>1737</v>
      </c>
      <c r="F19" s="1899" t="s">
        <v>1736</v>
      </c>
      <c r="G19" s="141">
        <f ca="1">ROUND(C19*$C$18+D19*$D$18,0)</f>
        <v>66356</v>
      </c>
      <c r="H19" s="1900" t="s">
        <v>1738</v>
      </c>
      <c r="I19" s="134"/>
      <c r="K19" s="308" t="s">
        <v>1739</v>
      </c>
      <c r="L19" s="308">
        <f>IF(C1="",'数据-汇总表'!D3,SUMIF(项目类型,C1,'数据-汇总表'!D17:D26)+SUMIF(项目类型,C1,'数据-汇总表'!H17:H27))</f>
        <v>18060.05</v>
      </c>
      <c r="M19" s="308">
        <f>IF(C1="",'数据-汇总表'!D3,SUMIF(项目类型,C1,'数据-汇总表'!D17:D26))</f>
        <v>18060.05</v>
      </c>
    </row>
    <row r="20" spans="1:36" ht="15">
      <c r="A20" s="1901"/>
      <c r="B20" s="1138" t="s">
        <v>1740</v>
      </c>
      <c r="C20" s="142">
        <f ca="1">SUMIF(INDIRECT("'"&amp;C4&amp;"'"&amp;"!A:A"),结果表!B20,INDIRECT("'"&amp;C4&amp;"'"&amp;"!B:B"))</f>
        <v>20101</v>
      </c>
      <c r="D20" s="143">
        <f ca="1">SUMIF(INDIRECT("'"&amp;D4&amp;"'"&amp;"!A:A"),结果表!B20,INDIRECT("'"&amp;D4&amp;"'"&amp;"!B:B"))</f>
        <v>12731</v>
      </c>
      <c r="E20" s="1901"/>
      <c r="F20" s="1138" t="s">
        <v>1740</v>
      </c>
      <c r="G20" s="144">
        <f ca="1">ROUND(C20*$C$18+D20*$D$18,0)</f>
        <v>16416</v>
      </c>
      <c r="H20" s="898" t="s">
        <v>1741</v>
      </c>
      <c r="I20" s="134"/>
    </row>
    <row r="21" spans="1:36" ht="15" customHeight="1" thickBot="1">
      <c r="A21" s="918"/>
      <c r="B21" s="1902" t="s">
        <v>1742</v>
      </c>
      <c r="C21" s="728">
        <f ca="1">ROUND(C19*10000/L19,0)</f>
        <v>44990</v>
      </c>
      <c r="D21" s="729">
        <f ca="1">ROUND(D19*10000/L19,0)</f>
        <v>28494</v>
      </c>
      <c r="E21" s="918"/>
      <c r="F21" s="1902" t="s">
        <v>1742</v>
      </c>
      <c r="G21" s="145">
        <f ca="1">ROUND(G19*10000/L19,0)</f>
        <v>36742</v>
      </c>
      <c r="H21" s="1903" t="s">
        <v>1741</v>
      </c>
      <c r="I21" s="134"/>
    </row>
    <row r="22" spans="1:36" ht="15" thickBot="1">
      <c r="A22" s="1825" t="s">
        <v>1743</v>
      </c>
      <c r="B22" s="1904"/>
      <c r="C22" s="1905"/>
      <c r="D22" s="730">
        <f ca="1">IF(C19&lt;D19,D19/C19-1,C19/D19-1)</f>
        <v>0.57893509521958797</v>
      </c>
      <c r="E22" s="134"/>
      <c r="F22" s="134"/>
      <c r="G22" s="134"/>
      <c r="H22" s="134"/>
      <c r="I22" s="134"/>
    </row>
    <row r="23" spans="1:36" ht="13.5" thickBot="1">
      <c r="A23" s="1884"/>
      <c r="B23" s="1884"/>
      <c r="C23" s="1884"/>
      <c r="D23" s="1884"/>
      <c r="E23" s="134"/>
      <c r="F23" s="134"/>
      <c r="G23" s="134"/>
      <c r="H23" s="134"/>
      <c r="I23" s="134"/>
    </row>
    <row r="24" spans="1:36" ht="14.25">
      <c r="A24" s="3361" t="s">
        <v>1744</v>
      </c>
      <c r="B24" s="1899" t="s">
        <v>1736</v>
      </c>
      <c r="C24" s="141">
        <f>IF(B30=0,0,D30)</f>
        <v>0</v>
      </c>
      <c r="D24" s="1906"/>
      <c r="E24" s="134"/>
      <c r="F24" s="134"/>
      <c r="G24" s="134"/>
      <c r="H24" s="134"/>
      <c r="I24" s="134"/>
    </row>
    <row r="25" spans="1:36" ht="14.25">
      <c r="A25" s="3362"/>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66356</v>
      </c>
      <c r="D32" s="1912" t="s">
        <v>3240</v>
      </c>
      <c r="E32" s="134"/>
      <c r="F32" s="134"/>
      <c r="G32" s="134"/>
      <c r="H32" s="134"/>
      <c r="I32" s="134"/>
    </row>
    <row r="33" spans="1:15" ht="15">
      <c r="A33" s="875" t="s">
        <v>1751</v>
      </c>
      <c r="B33" s="1913"/>
      <c r="C33" s="1914" t="s">
        <v>3241</v>
      </c>
      <c r="D33" s="1915" t="s">
        <v>3242</v>
      </c>
      <c r="E33" s="1916" t="s">
        <v>1752</v>
      </c>
      <c r="F33" s="1917" t="str">
        <f>IF(D32="楼面单价","取值（单价）","取值（总价）")</f>
        <v>取值（总价）</v>
      </c>
      <c r="G33" s="134"/>
      <c r="H33" s="134"/>
      <c r="I33" s="134"/>
    </row>
    <row r="34" spans="1:15" ht="15">
      <c r="A34" s="1918"/>
      <c r="B34" s="1919" t="s">
        <v>1753</v>
      </c>
      <c r="C34" s="153">
        <f ca="1">IF(C33="自定义",F34,C32-C35)</f>
        <v>47245</v>
      </c>
      <c r="D34" s="951">
        <f ca="1">IF(C33="自定义",ROUND(C34/C32,3),IF(C33="收益比率",SUMIF(INDIRECT("'"&amp;D33&amp;"'"&amp;"!b:b"),"土地收益比率",INDIRECT("'"&amp;D33&amp;"'"&amp;"!c:c")),SUMIF(INDIRECT("'"&amp;D33&amp;"'"&amp;"!b:b"),"土地成本比率",INDIRECT("'"&amp;D33&amp;"'"&amp;"!c:c"))))</f>
        <v>0.71199999999999997</v>
      </c>
      <c r="E34" s="1920" t="s">
        <v>1754</v>
      </c>
      <c r="F34" s="1451"/>
      <c r="G34" s="134"/>
      <c r="H34" s="134"/>
      <c r="I34" s="134"/>
    </row>
    <row r="35" spans="1:15" ht="15.75" thickBot="1">
      <c r="A35" s="1921"/>
      <c r="B35" s="1922" t="s">
        <v>1755</v>
      </c>
      <c r="C35" s="1285">
        <f ca="1">IF(C33="自定义",F35,ROUND(C32*D35,0))</f>
        <v>19111</v>
      </c>
      <c r="D35" s="1286">
        <f ca="1">IF(C33="自定义",ROUND(C35/C32,3),IF(C33="收益比率",SUMIF(INDIRECT("'"&amp;D33&amp;"'"&amp;"!b:b"),"建筑物收益比率",INDIRECT("'"&amp;D33&amp;"'"&amp;"!c:c")),SUMIF(INDIRECT("'"&amp;D33&amp;"'"&amp;"!b:b"),"建筑物成本比率",INDIRECT("'"&amp;D33&amp;"'"&amp;"!c:c"))))</f>
        <v>0.28799999999999998</v>
      </c>
      <c r="E35" s="1923" t="s">
        <v>1756</v>
      </c>
      <c r="F35" s="159"/>
      <c r="G35" s="134"/>
      <c r="H35" s="134"/>
      <c r="I35" s="134"/>
    </row>
    <row r="36" spans="1:15" ht="15.75" thickBot="1">
      <c r="A36" s="3381" t="s">
        <v>1757</v>
      </c>
      <c r="B36" s="1924" t="s">
        <v>1758</v>
      </c>
      <c r="C36" s="150"/>
      <c r="D36" s="1925"/>
      <c r="E36" s="1926"/>
      <c r="F36" s="1927"/>
      <c r="G36" s="134"/>
      <c r="H36" s="134"/>
      <c r="I36" s="134"/>
    </row>
    <row r="37" spans="1:15" ht="15.75" thickBot="1">
      <c r="A37" s="3382"/>
      <c r="B37" s="1811" t="s">
        <v>1759</v>
      </c>
      <c r="C37" s="152"/>
      <c r="D37" s="1254"/>
      <c r="E37" s="1254"/>
      <c r="F37" s="1927"/>
      <c r="G37" s="134"/>
      <c r="H37" s="134"/>
      <c r="I37" s="134"/>
    </row>
    <row r="38" spans="1:15" ht="15.75" thickBot="1">
      <c r="A38" s="3383"/>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58" t="s">
        <v>1771</v>
      </c>
      <c r="B45" s="3359"/>
      <c r="C45" s="3360"/>
      <c r="D45" s="160">
        <f ca="1">ROUND(H101*F45,0)</f>
        <v>66356</v>
      </c>
      <c r="E45" s="161" t="s">
        <v>1772</v>
      </c>
      <c r="F45" s="162">
        <v>1</v>
      </c>
      <c r="G45" s="163" t="s">
        <v>1773</v>
      </c>
      <c r="H45" s="134"/>
      <c r="I45" s="134"/>
      <c r="J45" s="3439" t="s">
        <v>1774</v>
      </c>
      <c r="K45" s="3439"/>
      <c r="L45" s="3439"/>
      <c r="M45" s="3439"/>
      <c r="N45" s="3439"/>
      <c r="O45" s="3439"/>
    </row>
    <row r="46" spans="1:15" ht="14.25" customHeight="1">
      <c r="A46" s="3355" t="s">
        <v>1775</v>
      </c>
      <c r="B46" s="3356"/>
      <c r="C46" s="3356"/>
      <c r="D46" s="3356"/>
      <c r="E46" s="3356"/>
      <c r="F46" s="3356"/>
      <c r="G46" s="3357"/>
      <c r="H46" s="1943"/>
      <c r="I46" s="164"/>
      <c r="J46" s="2698">
        <v>1</v>
      </c>
      <c r="K46" s="3420" t="s">
        <v>1776</v>
      </c>
      <c r="L46" s="3420"/>
      <c r="M46" s="3440"/>
      <c r="N46" s="3440"/>
      <c r="O46" s="3440"/>
    </row>
    <row r="47" spans="1:15" ht="12" customHeight="1">
      <c r="A47" s="165" t="s">
        <v>1777</v>
      </c>
      <c r="B47" s="166"/>
      <c r="C47" s="167"/>
      <c r="D47" s="1200" t="s">
        <v>1778</v>
      </c>
      <c r="E47" s="308" t="s">
        <v>1779</v>
      </c>
      <c r="F47" s="168" t="s">
        <v>1780</v>
      </c>
      <c r="G47" s="2721" t="s">
        <v>1781</v>
      </c>
      <c r="H47" s="2722"/>
      <c r="I47" s="164"/>
      <c r="J47" s="2698">
        <v>2</v>
      </c>
      <c r="K47" s="3420" t="s">
        <v>1782</v>
      </c>
      <c r="L47" s="3420"/>
      <c r="M47" s="3441">
        <f>'数据-取费表'!B2</f>
        <v>44799</v>
      </c>
      <c r="N47" s="3441"/>
      <c r="O47" s="3441"/>
    </row>
    <row r="48" spans="1:15" ht="25.5">
      <c r="A48" s="3386" t="s">
        <v>1783</v>
      </c>
      <c r="B48" s="3369"/>
      <c r="C48" s="3369"/>
      <c r="D48" s="2498" t="b">
        <f>IF(H48="情况1",0,IF(H48="情况2",D52,IF(H48="情况3",D53,IF(H48="情况4",D54))))</f>
        <v>0</v>
      </c>
      <c r="E48" s="2508" t="str">
        <f>IF(H48="情况4","(销售额-原购置价)×税（费）率","销售额×税（费）率")</f>
        <v>销售额×税（费）率</v>
      </c>
      <c r="F48" s="2723">
        <f>IF(H48="情况1","免征",'数据-取费表'!B41)</f>
        <v>5.6000000000000001E-2</v>
      </c>
      <c r="G48" s="2724" t="s">
        <v>1784</v>
      </c>
      <c r="H48" s="2725"/>
      <c r="I48" s="1943"/>
      <c r="J48" s="2698">
        <v>3</v>
      </c>
      <c r="K48" s="3420" t="s">
        <v>1785</v>
      </c>
      <c r="L48" s="3420"/>
      <c r="M48" s="3442">
        <f ca="1">H101</f>
        <v>66356</v>
      </c>
      <c r="N48" s="3442"/>
      <c r="O48" s="3442"/>
    </row>
    <row r="49" spans="1:35" ht="25.5" customHeight="1">
      <c r="A49" s="2507" t="s">
        <v>1786</v>
      </c>
      <c r="B49" s="3353" t="s">
        <v>1787</v>
      </c>
      <c r="C49" s="3353"/>
      <c r="D49" s="1726">
        <v>0</v>
      </c>
      <c r="E49" s="330" t="s">
        <v>1788</v>
      </c>
      <c r="F49" s="2599" t="s">
        <v>34</v>
      </c>
      <c r="G49" s="3426"/>
      <c r="H49" s="2479" t="s">
        <v>2635</v>
      </c>
      <c r="I49" s="2480"/>
      <c r="J49" s="2698">
        <v>4</v>
      </c>
      <c r="K49" s="3420" t="str">
        <f>IF(项目基本情况!E8="房地产抵押价值","房地产抵押价值","抵押担保权已注销时的房地产抵押价值")</f>
        <v>房地产抵押价值</v>
      </c>
      <c r="L49" s="3420"/>
      <c r="M49" s="3442">
        <f ca="1">IF(项目基本情况!E8="房地产抵押价值",H107,H109)</f>
        <v>66356</v>
      </c>
      <c r="N49" s="3442"/>
      <c r="O49" s="3442"/>
    </row>
    <row r="50" spans="1:35" ht="25.5" customHeight="1">
      <c r="A50" s="2726"/>
      <c r="B50" s="3353" t="s">
        <v>1789</v>
      </c>
      <c r="C50" s="3353"/>
      <c r="D50" s="2727"/>
      <c r="E50" s="338"/>
      <c r="F50" s="2599"/>
      <c r="G50" s="3427"/>
      <c r="H50" s="2481" t="s">
        <v>2636</v>
      </c>
      <c r="I50" s="2480"/>
      <c r="J50" s="3439" t="s">
        <v>1790</v>
      </c>
      <c r="K50" s="3439"/>
      <c r="L50" s="3439"/>
      <c r="M50" s="3439"/>
      <c r="N50" s="3439"/>
      <c r="O50" s="3439"/>
    </row>
    <row r="51" spans="1:35" ht="20.45" customHeight="1">
      <c r="A51" s="2728"/>
      <c r="B51" s="3353" t="s">
        <v>1791</v>
      </c>
      <c r="C51" s="3353"/>
      <c r="D51" s="1200"/>
      <c r="E51" s="333"/>
      <c r="F51" s="2599"/>
      <c r="G51" s="3428"/>
      <c r="H51" s="2481" t="s">
        <v>2637</v>
      </c>
      <c r="I51" s="2480"/>
      <c r="J51" s="2699" t="s">
        <v>1792</v>
      </c>
      <c r="K51" s="3420" t="s">
        <v>1793</v>
      </c>
      <c r="L51" s="3420"/>
      <c r="M51" s="2699" t="s">
        <v>1794</v>
      </c>
      <c r="N51" s="2699" t="s">
        <v>1795</v>
      </c>
      <c r="O51" s="2699" t="s">
        <v>1796</v>
      </c>
    </row>
    <row r="52" spans="1:35" ht="24" customHeight="1">
      <c r="A52" s="2509" t="s">
        <v>1797</v>
      </c>
      <c r="B52" s="3353" t="s">
        <v>1798</v>
      </c>
      <c r="C52" s="3353"/>
      <c r="D52" s="1200">
        <f ca="1">ROUND(D45*'数据-取费表'!B41/(1+'数据-取费表'!C42),0)</f>
        <v>3539</v>
      </c>
      <c r="E52" s="2508" t="s">
        <v>1799</v>
      </c>
      <c r="F52" s="2729">
        <f>'数据-取费表'!B41</f>
        <v>5.6000000000000001E-2</v>
      </c>
      <c r="G52" s="2730"/>
      <c r="H52" s="2719"/>
      <c r="I52" s="1944"/>
      <c r="J52" s="2698">
        <v>1</v>
      </c>
      <c r="K52" s="3421" t="s">
        <v>1800</v>
      </c>
      <c r="L52" s="3421"/>
      <c r="M52" s="2700" t="b">
        <f>D48</f>
        <v>0</v>
      </c>
      <c r="N52" s="2698" t="str">
        <f>E48</f>
        <v>销售额×税（费）率</v>
      </c>
      <c r="O52" s="2701">
        <f>F48</f>
        <v>5.6000000000000001E-2</v>
      </c>
    </row>
    <row r="53" spans="1:35" ht="12" customHeight="1">
      <c r="A53" s="2509" t="s">
        <v>1801</v>
      </c>
      <c r="B53" s="3379" t="s">
        <v>2792</v>
      </c>
      <c r="C53" s="3380"/>
      <c r="D53" s="1200">
        <f ca="1">ROUND(D45*'数据-取费表'!B41/(1+'数据-取费表'!C42),0)</f>
        <v>3539</v>
      </c>
      <c r="E53" s="2508" t="s">
        <v>1799</v>
      </c>
      <c r="F53" s="2729">
        <f>'数据-取费表'!B41</f>
        <v>5.6000000000000001E-2</v>
      </c>
      <c r="G53" s="2730"/>
      <c r="H53" s="2719"/>
      <c r="I53" s="1944"/>
      <c r="J53" s="2698">
        <v>2</v>
      </c>
      <c r="K53" s="3421" t="s">
        <v>1802</v>
      </c>
      <c r="L53" s="3421"/>
      <c r="M53" s="2700">
        <f t="shared" ref="M53:O54" ca="1" si="0">D55</f>
        <v>33</v>
      </c>
      <c r="N53" s="2698" t="str">
        <f t="shared" si="0"/>
        <v>销售额×税（费）率</v>
      </c>
      <c r="O53" s="2701" t="str">
        <f t="shared" si="0"/>
        <v>免征</v>
      </c>
    </row>
    <row r="54" spans="1:35" ht="12" customHeight="1">
      <c r="A54" s="2509" t="s">
        <v>1803</v>
      </c>
      <c r="B54" s="3379" t="s">
        <v>2793</v>
      </c>
      <c r="C54" s="3380"/>
      <c r="D54" s="1200">
        <f ca="1">C68</f>
        <v>3539</v>
      </c>
      <c r="E54" s="333" t="s">
        <v>1804</v>
      </c>
      <c r="F54" s="2729">
        <f>'数据-取费表'!B41</f>
        <v>5.6000000000000001E-2</v>
      </c>
      <c r="G54" s="2730"/>
      <c r="H54" s="2731"/>
      <c r="I54" s="1944"/>
      <c r="J54" s="2698">
        <v>3</v>
      </c>
      <c r="K54" s="3421" t="s">
        <v>1805</v>
      </c>
      <c r="L54" s="3421"/>
      <c r="M54" s="2700">
        <f t="shared" ca="1" si="0"/>
        <v>37558</v>
      </c>
      <c r="N54" s="2698" t="str">
        <f t="shared" si="0"/>
        <v>增值额×税（费）率</v>
      </c>
      <c r="O54" s="2702" t="str">
        <f t="shared" si="0"/>
        <v>免征</v>
      </c>
    </row>
    <row r="55" spans="1:35" ht="24" customHeight="1">
      <c r="A55" s="3368" t="s">
        <v>1806</v>
      </c>
      <c r="B55" s="3369"/>
      <c r="C55" s="3369"/>
      <c r="D55" s="2498">
        <f ca="1">IF(H55="个人住宅",0,ROUND(D45*I55,0))</f>
        <v>33</v>
      </c>
      <c r="E55" s="2508" t="s">
        <v>1807</v>
      </c>
      <c r="F55" s="2729" t="str">
        <f>IF(H55="正常",I55,"免征")</f>
        <v>免征</v>
      </c>
      <c r="G55" s="2730"/>
      <c r="H55" s="2725"/>
      <c r="I55" s="170">
        <f>'数据-取费表'!B49</f>
        <v>5.0000000000000001E-4</v>
      </c>
      <c r="J55" s="2698">
        <f>IF(H59="非个人房产","",4)</f>
        <v>4</v>
      </c>
      <c r="K55" s="3421" t="str">
        <f>IF(H59="非个人房产","——","个人所得税")</f>
        <v>个人所得税</v>
      </c>
      <c r="L55" s="3421"/>
      <c r="M55" s="2703">
        <f ca="1">D59</f>
        <v>632</v>
      </c>
      <c r="N55" s="2179" t="str">
        <f>E59</f>
        <v>差额计税</v>
      </c>
      <c r="O55" s="2704">
        <f>F59</f>
        <v>0.01</v>
      </c>
    </row>
    <row r="56" spans="1:35" ht="24.75">
      <c r="A56" s="3368" t="s">
        <v>1808</v>
      </c>
      <c r="B56" s="3369"/>
      <c r="C56" s="3369"/>
      <c r="D56" s="2498">
        <f ca="1">IF(H56="个人住宅",D57,D58)</f>
        <v>37558</v>
      </c>
      <c r="E56" s="2508" t="s">
        <v>1809</v>
      </c>
      <c r="F56" s="2729" t="str">
        <f>IF(H56="正常",F58,"免征")</f>
        <v>免征</v>
      </c>
      <c r="G56" s="2732" t="s">
        <v>1810</v>
      </c>
      <c r="H56" s="2733"/>
      <c r="I56" s="1945"/>
      <c r="J56" s="2698" t="str">
        <f>IF(项目基本情况!K6="上海银行",IF(J55="",4,J55+1),"")</f>
        <v/>
      </c>
      <c r="K56" s="3444" t="str">
        <f>IF(项目基本情况!K6="上海银行","其他处置费用","")</f>
        <v/>
      </c>
      <c r="L56" s="3445"/>
      <c r="M56" s="2700" t="str">
        <f>IF(项目基本情况!K6="上海银行",M69,"")</f>
        <v/>
      </c>
      <c r="N56" s="3444" t="str">
        <f>IF(项目基本情况!K6="上海银行","包含处置中涉及的律师、诉讼、拍卖、评估等费用","")</f>
        <v/>
      </c>
      <c r="O56" s="3447"/>
    </row>
    <row r="57" spans="1:35" ht="12.75">
      <c r="A57" s="2509" t="s">
        <v>1786</v>
      </c>
      <c r="B57" s="3379" t="s">
        <v>1811</v>
      </c>
      <c r="C57" s="3380"/>
      <c r="D57" s="1726">
        <v>0</v>
      </c>
      <c r="E57" s="330" t="s">
        <v>1788</v>
      </c>
      <c r="F57" s="308"/>
      <c r="G57" s="2730"/>
      <c r="H57" s="2734"/>
      <c r="I57" s="1945"/>
      <c r="J57" s="3421">
        <f>IF(AND(J55="",J56=""),4,IF(项目基本情况!K6="上海银行",结果表!J56+1,结果表!J55+1))</f>
        <v>5</v>
      </c>
      <c r="K57" s="3421" t="s">
        <v>1812</v>
      </c>
      <c r="L57" s="2705" t="s">
        <v>1813</v>
      </c>
      <c r="M57" s="2706"/>
      <c r="N57" s="2707">
        <f ca="1">SUMIF(M52:M56,"&lt;9e307")</f>
        <v>38223</v>
      </c>
      <c r="O57" s="2708"/>
      <c r="P57" s="2868">
        <f ca="1">N57/M49</f>
        <v>0.57602929652179158</v>
      </c>
    </row>
    <row r="58" spans="1:35" ht="24.75">
      <c r="A58" s="2509" t="s">
        <v>1797</v>
      </c>
      <c r="B58" s="3379" t="s">
        <v>1814</v>
      </c>
      <c r="C58" s="3353"/>
      <c r="D58" s="2498">
        <f ca="1">IF(H58="转让取得",C81,C97)</f>
        <v>37558</v>
      </c>
      <c r="E58" s="2508" t="s">
        <v>1809</v>
      </c>
      <c r="F58" s="308" t="s">
        <v>34</v>
      </c>
      <c r="G58" s="2730"/>
      <c r="H58" s="2733"/>
      <c r="I58" s="1945"/>
      <c r="J58" s="3421"/>
      <c r="K58" s="3421"/>
      <c r="L58" s="2705" t="s">
        <v>1815</v>
      </c>
      <c r="M58" s="2709"/>
      <c r="N58" s="2710" t="str">
        <f ca="1">NUMBERSTRING(INT(N57*10000),2)&amp;"元整"</f>
        <v>叁亿捌仟贰佰贰拾叁万元整</v>
      </c>
      <c r="O58" s="2711"/>
    </row>
    <row r="59" spans="1:35" ht="24.75" thickBot="1">
      <c r="A59" s="3424" t="s">
        <v>1816</v>
      </c>
      <c r="B59" s="3425"/>
      <c r="C59" s="3425"/>
      <c r="D59" s="2735">
        <f ca="1">IF(H59="非个人房产","——",IF(H59="个人住宅（满五唯一有凭证）",0,IF(H59="个人其他（无凭证）",ROUND(D45*F59,0),ROUND(C67*F59,0))))</f>
        <v>632</v>
      </c>
      <c r="E59" s="2736" t="str">
        <f>IF(H59="非个人房产","——",IF(H59="个人其他（无凭证）","销售额×税（费）率",IF(H59="个人住宅（满五唯一有凭证）","免征","差额计税")))</f>
        <v>差额计税</v>
      </c>
      <c r="F59" s="2737">
        <f>IF(OR(H59="非个人房产",H59="个人住宅（满五唯一有凭证）"),"——",IF(H59="个人其他（有凭证）",20%,1%))</f>
        <v>0.01</v>
      </c>
      <c r="G59" s="2738" t="s">
        <v>1810</v>
      </c>
      <c r="H59" s="2483"/>
      <c r="I59" s="2482" t="s">
        <v>2638</v>
      </c>
      <c r="J59" s="3422">
        <f>J57+1</f>
        <v>6</v>
      </c>
      <c r="K59" s="3421" t="s">
        <v>1817</v>
      </c>
      <c r="L59" s="2698" t="s">
        <v>1813</v>
      </c>
      <c r="M59" s="2712"/>
      <c r="N59" s="2713">
        <f ca="1">M49-N57</f>
        <v>28133</v>
      </c>
      <c r="O59" s="2714"/>
    </row>
    <row r="60" spans="1:35" ht="12" customHeight="1">
      <c r="A60" s="1946"/>
      <c r="B60" s="1884"/>
      <c r="C60" s="1884"/>
      <c r="D60" s="1884"/>
      <c r="E60" s="1714"/>
      <c r="F60" s="1945"/>
      <c r="G60" s="1945"/>
      <c r="H60" s="1947"/>
      <c r="I60" s="134"/>
      <c r="J60" s="3423"/>
      <c r="K60" s="3421"/>
      <c r="L60" s="2705" t="s">
        <v>1815</v>
      </c>
      <c r="M60" s="2709"/>
      <c r="N60" s="2710" t="str">
        <f ca="1">NUMBERSTRING(INT(N59*10000),2)&amp;"元整"</f>
        <v>贰亿捌仟壹佰叁拾叁万元整</v>
      </c>
      <c r="O60" s="2711"/>
    </row>
    <row r="61" spans="1:35" ht="13.5" thickBot="1">
      <c r="A61" s="3366" t="s">
        <v>1818</v>
      </c>
      <c r="B61" s="3366"/>
      <c r="C61" s="3366"/>
      <c r="D61" s="3366"/>
      <c r="E61" s="3366"/>
      <c r="F61" s="1945"/>
      <c r="G61" s="1945"/>
      <c r="H61" s="1947"/>
      <c r="I61" s="134"/>
      <c r="J61" s="2698">
        <f>J59+1</f>
        <v>7</v>
      </c>
      <c r="K61" s="3421" t="s">
        <v>1819</v>
      </c>
      <c r="L61" s="3421"/>
      <c r="M61" s="2715"/>
      <c r="N61" s="2716">
        <f ca="1">ROUND(N59*10000/'数据-汇总表'!E3,0)</f>
        <v>6960</v>
      </c>
      <c r="O61" s="2717"/>
    </row>
    <row r="62" spans="1:35" ht="12.75">
      <c r="A62" s="3384" t="s">
        <v>1820</v>
      </c>
      <c r="B62" s="3385"/>
      <c r="C62" s="2160"/>
      <c r="D62" s="2160" t="s">
        <v>1821</v>
      </c>
      <c r="E62" s="171" t="s">
        <v>1822</v>
      </c>
      <c r="F62" s="1945"/>
      <c r="G62" s="1945"/>
      <c r="H62" s="1947"/>
      <c r="I62" s="134"/>
    </row>
    <row r="63" spans="1:35" ht="12.75">
      <c r="A63" s="178" t="s">
        <v>594</v>
      </c>
      <c r="B63" s="172" t="s">
        <v>1823</v>
      </c>
      <c r="C63" s="2739">
        <f ca="1">ROUND((C64+C65)/(1+'数据-取费表'!C42),0)</f>
        <v>63196</v>
      </c>
      <c r="D63" s="172"/>
      <c r="E63" s="173"/>
      <c r="F63" s="1945"/>
      <c r="G63" s="1945"/>
      <c r="H63" s="1947"/>
      <c r="I63" s="134"/>
      <c r="J63" s="3446" t="s">
        <v>1824</v>
      </c>
      <c r="K63" s="1453" t="s">
        <v>1825</v>
      </c>
      <c r="L63" s="1453">
        <f ca="1">IF(M49&gt;10000,M49*0.5%,IF(AND(M49&gt;1000,M49&lt;=10000),M49*1%,IF(AND(M49&gt;100,M49&lt;=1000),M49*3%,IF(AND(M49&gt;10,M49&lt;=100),M49*5%,M49*8%))))</f>
        <v>331.78000000000003</v>
      </c>
      <c r="M63" s="308">
        <f ca="1">ROUND(L63,1)</f>
        <v>331.8</v>
      </c>
      <c r="N63" s="2718"/>
      <c r="Z63" s="1889"/>
      <c r="AI63" s="1890"/>
    </row>
    <row r="64" spans="1:35" ht="14.25" customHeight="1">
      <c r="A64" s="174" t="s">
        <v>589</v>
      </c>
      <c r="B64" s="175" t="s">
        <v>1826</v>
      </c>
      <c r="C64" s="2740">
        <f ca="1">D45</f>
        <v>66356</v>
      </c>
      <c r="D64" s="175" t="s">
        <v>32</v>
      </c>
      <c r="E64" s="177"/>
      <c r="F64" s="1945"/>
      <c r="G64" s="1945"/>
      <c r="H64" s="1947"/>
      <c r="I64" s="134"/>
      <c r="J64" s="3446"/>
      <c r="K64" s="1453" t="s">
        <v>1827</v>
      </c>
      <c r="L64" s="1453">
        <f ca="1">IF(M49&gt;2000,M49*0.5%,IF(AND(M49&gt;1000,M49&lt;=2000),M49*0.6%,IF(AND(M49&gt;500,M49&lt;=1000),M49*0.7%,IF(AND(M49&gt;200,M49&lt;=500),M49*0.8%,IF(AND(M49&gt;100,M49&lt;=200),M49*0.9%,IF(AND(M49&gt;50,M49&lt;=100),M49*1%,IF(AND(M49&gt;20,M49&lt;=50),M49*1.5%,IF(AND(M49&gt;10,M49&lt;=20),M49*2%,IF(AND(M49&gt;1,M49&lt;=10),M49*2.5%)))))))))</f>
        <v>331.78000000000003</v>
      </c>
      <c r="M64" s="308">
        <f t="shared" ref="M64:M65" ca="1" si="1">ROUND(L64,1)</f>
        <v>331.8</v>
      </c>
      <c r="N64" s="2719" t="s">
        <v>1828</v>
      </c>
      <c r="Z64" s="1889"/>
      <c r="AI64" s="1890"/>
    </row>
    <row r="65" spans="1:35" ht="14.25" customHeight="1">
      <c r="A65" s="174" t="s">
        <v>590</v>
      </c>
      <c r="B65" s="175" t="s">
        <v>1829</v>
      </c>
      <c r="C65" s="2741"/>
      <c r="D65" s="175"/>
      <c r="E65" s="177"/>
      <c r="F65" s="1945"/>
      <c r="G65" s="1945"/>
      <c r="H65" s="1947"/>
      <c r="I65" s="134"/>
      <c r="J65" s="3446"/>
      <c r="K65" s="1453" t="s">
        <v>1830</v>
      </c>
      <c r="L65" s="1453">
        <f ca="1">IF(M49&gt;1000,M49*0.1%,IF(AND(M49&gt;500,M49&lt;=1000),M49*0.5%,IF(AND(M49&gt;50,M49&lt;=500),M49*1%,IF(AND(M49&gt;1,M49&lt;=50),M49*1.5%))))</f>
        <v>66.355999999999995</v>
      </c>
      <c r="M65" s="308">
        <f t="shared" ca="1" si="1"/>
        <v>66.400000000000006</v>
      </c>
      <c r="N65" s="2719" t="s">
        <v>1828</v>
      </c>
      <c r="Z65" s="1889"/>
      <c r="AI65" s="1890"/>
    </row>
    <row r="66" spans="1:35" ht="14.25" customHeight="1">
      <c r="A66" s="178" t="s">
        <v>591</v>
      </c>
      <c r="B66" s="179" t="s">
        <v>1831</v>
      </c>
      <c r="C66" s="2742"/>
      <c r="D66" s="179" t="s">
        <v>32</v>
      </c>
      <c r="E66" s="1460" t="s">
        <v>1096</v>
      </c>
      <c r="F66" s="1945"/>
      <c r="G66" s="1945"/>
      <c r="H66" s="1947"/>
      <c r="I66" s="134"/>
      <c r="J66" s="3446"/>
      <c r="K66" s="1453" t="s">
        <v>1832</v>
      </c>
      <c r="L66" s="1453">
        <f ca="1">M49*0.5%</f>
        <v>331.78000000000003</v>
      </c>
      <c r="M66" s="308">
        <f ca="1">IF(L66&gt;0.5,0.5,ROUND(L66,0))</f>
        <v>0.5</v>
      </c>
      <c r="N66" s="2719" t="s">
        <v>1833</v>
      </c>
      <c r="Z66" s="1889"/>
      <c r="AI66" s="1890"/>
    </row>
    <row r="67" spans="1:35" ht="14.25" customHeight="1">
      <c r="A67" s="178" t="s">
        <v>592</v>
      </c>
      <c r="B67" s="179" t="s">
        <v>1834</v>
      </c>
      <c r="C67" s="2743">
        <f ca="1">C63-C66</f>
        <v>63196</v>
      </c>
      <c r="D67" s="175" t="s">
        <v>32</v>
      </c>
      <c r="E67" s="177"/>
      <c r="F67" s="1945"/>
      <c r="G67" s="1945"/>
      <c r="H67" s="1947"/>
      <c r="I67" s="134"/>
      <c r="J67" s="3446"/>
      <c r="K67" s="1453" t="s">
        <v>1835</v>
      </c>
      <c r="L67" s="1453">
        <f ca="1">IF(M49&gt;=10000,(8.25+(M49-10000)*0.01%),IF(AND(M49&gt;=8000,M49&lt;10000),(7.85+(M49-8000)*0.02%),IF(AND(M49&gt;=5000,M49&lt;8000),(6.65+(M49-5000)*0.04%),IF(AND(M49&gt;=2000,M49&lt;5000),(4.25+(PM49-2000)*0.08%),IF(AND(M49&gt;=1000,M49&lt;2000),(2.75+(M49-1000)*0.15%),IF(AND(M49&gt;=100,M49&lt;1000),(0.5+(M49-100)*0.25%),IF(AND(M49&gt;0,M49&lt;100),M49*0.5%)))))))</f>
        <v>13.8856</v>
      </c>
      <c r="M67" s="308">
        <f ca="1">ROUND(L67*0.9,1)</f>
        <v>12.5</v>
      </c>
      <c r="N67" s="2718"/>
      <c r="Z67" s="1889"/>
      <c r="AI67" s="1890"/>
    </row>
    <row r="68" spans="1:35" ht="14.25" customHeight="1" thickBot="1">
      <c r="A68" s="181" t="s">
        <v>593</v>
      </c>
      <c r="B68" s="182" t="s">
        <v>1836</v>
      </c>
      <c r="C68" s="2744">
        <f ca="1">IF(C67&lt;=0,0,ROUND(C67*D68,0))</f>
        <v>3539</v>
      </c>
      <c r="D68" s="2745">
        <f>'数据-取费表'!B41</f>
        <v>5.6000000000000001E-2</v>
      </c>
      <c r="E68" s="184"/>
      <c r="F68" s="1945"/>
      <c r="G68" s="1945"/>
      <c r="H68" s="1947"/>
      <c r="I68" s="134"/>
      <c r="J68" s="3446"/>
      <c r="K68" s="1453" t="s">
        <v>1837</v>
      </c>
      <c r="L68" s="1453">
        <f ca="1">IF(M49&gt;10000,M49*0.5%,IF(AND(M49&gt;5000,M49&lt;=10000),M49*1%,IF(AND(M49&gt;1000,M49&lt;=5000),M49*2%,IF(AND(M49&gt;200,M49&lt;=1000),M49*3%,M49*5%))))</f>
        <v>331.78000000000003</v>
      </c>
      <c r="M68" s="308">
        <f ca="1">ROUND(L68,1)</f>
        <v>331.8</v>
      </c>
      <c r="N68" s="2718"/>
      <c r="Z68" s="1889"/>
      <c r="AI68" s="1890"/>
    </row>
    <row r="69" spans="1:35" s="1909" customFormat="1" ht="16.5" customHeight="1">
      <c r="A69" s="1948"/>
      <c r="B69" s="1949"/>
      <c r="C69" s="1950"/>
      <c r="D69" s="1951"/>
      <c r="E69" s="1952"/>
      <c r="F69" s="1714"/>
      <c r="G69" s="1714"/>
      <c r="H69" s="1713"/>
      <c r="I69" s="1884"/>
      <c r="J69" s="3446"/>
      <c r="K69" s="1453" t="s">
        <v>1838</v>
      </c>
      <c r="L69" s="1453"/>
      <c r="M69" s="308">
        <f ca="1">ROUND(SUM(M63:M68),0)</f>
        <v>1075</v>
      </c>
      <c r="N69" s="2720">
        <f ca="1">M69/M49</f>
        <v>1.6200494303454094E-2</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405" t="s">
        <v>1839</v>
      </c>
      <c r="B70" s="3406"/>
      <c r="C70" s="3406"/>
      <c r="D70" s="3406"/>
      <c r="E70" s="3406"/>
      <c r="F70" s="3406"/>
      <c r="G70" s="3406"/>
      <c r="H70" s="3406"/>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84" t="s">
        <v>1820</v>
      </c>
      <c r="B71" s="3385"/>
      <c r="C71" s="2160"/>
      <c r="D71" s="2160"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3">
        <f ca="1">ROUND(D45/(1+'数据-取费表'!C42),0)</f>
        <v>63196</v>
      </c>
      <c r="D72" s="175" t="s">
        <v>32</v>
      </c>
      <c r="E72" s="2505"/>
      <c r="F72" s="2504"/>
      <c r="G72" s="2504"/>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3">
        <f ca="1">C74+C78</f>
        <v>379</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6"/>
      <c r="D75" s="175" t="s">
        <v>32</v>
      </c>
      <c r="E75" s="190" t="s">
        <v>1844</v>
      </c>
      <c r="F75" s="2747"/>
      <c r="G75" s="190" t="s">
        <v>1845</v>
      </c>
      <c r="H75" s="2748"/>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49">
        <v>0.05</v>
      </c>
      <c r="E76" s="3379" t="s">
        <v>1847</v>
      </c>
      <c r="F76" s="3353"/>
      <c r="G76" s="3353"/>
      <c r="H76" s="3404"/>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0">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1">
        <f ca="1">ROUND(D45*D78/(1+'数据-取费表'!C42),0)</f>
        <v>379</v>
      </c>
      <c r="D78" s="2752">
        <f>'数据-取费表'!B43</f>
        <v>6.000000000000001E-3</v>
      </c>
      <c r="E78" s="3363" t="s">
        <v>1851</v>
      </c>
      <c r="F78" s="3364"/>
      <c r="G78" s="3364"/>
      <c r="H78" s="3373"/>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3">
        <f ca="1">C72-C73</f>
        <v>62817</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3">
        <f ca="1">IF(C79&lt;=0,0,C79/C73)</f>
        <v>165.74406332453825</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4">
        <f ca="1">ROUND(IF(C79&lt;=0,0,IF(C80&gt;=200%,C79*60%-C73*35%,IF(C80&gt;=100%,C79*50%-C73*15%,IF(C80&gt;=50%,C79*40%-C73*5%,IF(C80&lt;50%,C79*30%,0))))),0)</f>
        <v>37558</v>
      </c>
      <c r="D81" s="2755"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405" t="s">
        <v>1855</v>
      </c>
      <c r="B83" s="3406"/>
      <c r="C83" s="3406"/>
      <c r="D83" s="3406"/>
      <c r="E83" s="3406"/>
      <c r="F83" s="3406"/>
      <c r="G83" s="3406"/>
      <c r="H83" s="3406"/>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84" t="s">
        <v>1820</v>
      </c>
      <c r="B84" s="3385"/>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3">
        <f ca="1">ROUND(D45/(1+'数据-取费表'!C42),0)</f>
        <v>63196</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3">
        <f ca="1">IF(H88="仅含出让金",C87+C90+C91+C92+C93+C94,C87+C91+C92+C93+C94)</f>
        <v>379</v>
      </c>
      <c r="D86" s="2756"/>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1">
        <f>C88+C89</f>
        <v>0</v>
      </c>
      <c r="D87" s="2752"/>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7"/>
      <c r="D88" s="2752"/>
      <c r="E88" s="199" t="s">
        <v>1858</v>
      </c>
      <c r="F88" s="2501"/>
      <c r="G88" s="200" t="s">
        <v>1859</v>
      </c>
      <c r="H88" s="1961"/>
      <c r="I88" s="1958"/>
      <c r="J88" s="2696"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1">
        <f>ROUND(C88*D89,0)</f>
        <v>0</v>
      </c>
      <c r="D89" s="2752">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7"/>
      <c r="D90" s="2752"/>
      <c r="E90" s="199" t="str">
        <f>IF(H88="-","土地取得成本中已包含该笔费用"," ")</f>
        <v xml:space="preserve"> </v>
      </c>
      <c r="F90" s="2501"/>
      <c r="G90" s="3448" t="s">
        <v>2630</v>
      </c>
      <c r="H90" s="3449"/>
      <c r="I90" s="1958"/>
      <c r="J90" s="2696"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1">
        <f>IF(H91="——",成本法!C33,I91)</f>
        <v>0</v>
      </c>
      <c r="D91" s="2752"/>
      <c r="E91" s="3363" t="s">
        <v>1864</v>
      </c>
      <c r="F91" s="3364"/>
      <c r="G91" s="3364"/>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1">
        <f>ROUND((C87+C90+C91)*D92,0)</f>
        <v>0</v>
      </c>
      <c r="D92" s="2758"/>
      <c r="E92" s="3363" t="s">
        <v>1867</v>
      </c>
      <c r="F92" s="3364"/>
      <c r="G92" s="3364"/>
      <c r="H92" s="3373"/>
      <c r="I92" s="1958"/>
      <c r="J92" s="2697"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1">
        <f ca="1">ROUND(D45*D93/(1+'数据-取费表'!C42),0)</f>
        <v>379</v>
      </c>
      <c r="D93" s="2752">
        <f>'数据-取费表'!B43</f>
        <v>6.000000000000001E-3</v>
      </c>
      <c r="E93" s="3363" t="s">
        <v>1851</v>
      </c>
      <c r="F93" s="3364"/>
      <c r="G93" s="3364"/>
      <c r="H93" s="3373"/>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7">
        <f>ROUND((C87+C90+C91)*D94,0)</f>
        <v>0</v>
      </c>
      <c r="D94" s="2752">
        <v>0.2</v>
      </c>
      <c r="E94" s="3374" t="s">
        <v>1871</v>
      </c>
      <c r="F94" s="3375"/>
      <c r="G94" s="3375"/>
      <c r="H94" s="3376"/>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3">
        <f ca="1">ROUND(C85-C86,0)</f>
        <v>62817</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3">
        <f ca="1">IF(C95&lt;=0,0,C95/C86)</f>
        <v>165.74406332453825</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4">
        <f ca="1">ROUND(IF(C95&lt;=0,0,IF(C96&gt;=200%,C95*60%-C86*35%,IF(C96&gt;=100%,C95*50%-C86*15%,IF(C96&gt;=50%,C95*40%-C86*5%,IF(C96&lt;50%,C95*30%,0))))),0)</f>
        <v>37558</v>
      </c>
      <c r="D97" s="2755"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47" t="s">
        <v>1873</v>
      </c>
      <c r="B100" s="3348"/>
      <c r="C100" s="3348"/>
      <c r="D100" s="3365"/>
      <c r="E100" s="3348" t="s">
        <v>1874</v>
      </c>
      <c r="F100" s="3348"/>
      <c r="G100" s="3348"/>
      <c r="H100" s="3365"/>
      <c r="I100" s="134"/>
    </row>
    <row r="101" spans="1:35" ht="18.75" customHeight="1">
      <c r="A101" s="3429" t="s">
        <v>1875</v>
      </c>
      <c r="B101" s="3430"/>
      <c r="C101" s="2760" t="str">
        <f>C4</f>
        <v>成本法</v>
      </c>
      <c r="D101" s="2761" t="str">
        <f>D4</f>
        <v>收益法（汇总）</v>
      </c>
      <c r="E101" s="3443" t="s">
        <v>1876</v>
      </c>
      <c r="F101" s="3397"/>
      <c r="G101" s="1964" t="s">
        <v>1877</v>
      </c>
      <c r="H101" s="2770">
        <f ca="1">H118</f>
        <v>66356</v>
      </c>
      <c r="I101" s="134"/>
    </row>
    <row r="102" spans="1:35" ht="18.75" customHeight="1">
      <c r="A102" s="3399" t="s">
        <v>1878</v>
      </c>
      <c r="B102" s="2759" t="s">
        <v>1877</v>
      </c>
      <c r="C102" s="2760">
        <f ca="1">C19</f>
        <v>81252</v>
      </c>
      <c r="D102" s="2761">
        <f ca="1">D19</f>
        <v>51460</v>
      </c>
      <c r="E102" s="3443"/>
      <c r="F102" s="3397"/>
      <c r="G102" s="1964" t="s">
        <v>1879</v>
      </c>
      <c r="H102" s="2730">
        <f ca="1">I118</f>
        <v>16416</v>
      </c>
      <c r="I102" s="134"/>
    </row>
    <row r="103" spans="1:35" ht="42.75" customHeight="1">
      <c r="A103" s="3399"/>
      <c r="B103" s="2759" t="s">
        <v>1879</v>
      </c>
      <c r="C103" s="2762">
        <f ca="1">C20</f>
        <v>20101</v>
      </c>
      <c r="D103" s="2763">
        <f ca="1">D20</f>
        <v>12731</v>
      </c>
      <c r="E103" s="3437" t="s">
        <v>1880</v>
      </c>
      <c r="F103" s="3438"/>
      <c r="G103" s="1965" t="s">
        <v>1881</v>
      </c>
      <c r="H103" s="2770">
        <f>IF(D36="正常操作",H104+H105+H106,H105+H106)</f>
        <v>0</v>
      </c>
      <c r="I103" s="134"/>
    </row>
    <row r="104" spans="1:35" ht="18.75" customHeight="1">
      <c r="A104" s="3399" t="s">
        <v>1882</v>
      </c>
      <c r="B104" s="2764" t="s">
        <v>1877</v>
      </c>
      <c r="C104" s="2765">
        <f ca="1">H118</f>
        <v>66356</v>
      </c>
      <c r="D104" s="2766"/>
      <c r="E104" s="1811" t="s">
        <v>1883</v>
      </c>
      <c r="F104" s="1802"/>
      <c r="G104" s="1965" t="s">
        <v>1881</v>
      </c>
      <c r="H104" s="2771">
        <f>IF(D36="同一抵押权人同一抵押物续贷",C36&amp;"（续贷，未扣减，详见特别提示）",C36)</f>
        <v>0</v>
      </c>
      <c r="I104" s="134"/>
    </row>
    <row r="105" spans="1:35" ht="18.75" customHeight="1" thickBot="1">
      <c r="A105" s="3400"/>
      <c r="B105" s="2767" t="s">
        <v>1879</v>
      </c>
      <c r="C105" s="2768">
        <f ca="1">I118</f>
        <v>16416</v>
      </c>
      <c r="D105" s="2769"/>
      <c r="E105" s="1811" t="s">
        <v>1884</v>
      </c>
      <c r="F105" s="1802"/>
      <c r="G105" s="1965" t="s">
        <v>1881</v>
      </c>
      <c r="H105" s="2772">
        <f>C37</f>
        <v>0</v>
      </c>
      <c r="I105" s="134"/>
    </row>
    <row r="106" spans="1:35" ht="18.75" customHeight="1">
      <c r="A106" s="1884" t="s">
        <v>1885</v>
      </c>
      <c r="B106" s="1884"/>
      <c r="C106" s="1884"/>
      <c r="D106" s="1884"/>
      <c r="E106" s="1966" t="s">
        <v>1886</v>
      </c>
      <c r="F106" s="1802"/>
      <c r="G106" s="1965" t="s">
        <v>1881</v>
      </c>
      <c r="H106" s="2772">
        <f>C38</f>
        <v>0</v>
      </c>
      <c r="I106" s="134"/>
    </row>
    <row r="107" spans="1:35" ht="18.75" customHeight="1">
      <c r="A107" s="134"/>
      <c r="B107" s="134"/>
      <c r="C107" s="134"/>
      <c r="D107" s="134"/>
      <c r="E107" s="3396" t="str">
        <f>IF(项目基本情况!E8="已注销","——","3.房地产抵押价值")</f>
        <v>3.房地产抵押价值</v>
      </c>
      <c r="F107" s="3397"/>
      <c r="G107" s="1964" t="s">
        <v>1877</v>
      </c>
      <c r="H107" s="2770">
        <f ca="1">IF(E107="——","——",H101-H103)</f>
        <v>66356</v>
      </c>
      <c r="I107" s="134"/>
    </row>
    <row r="108" spans="1:35" ht="18.75" customHeight="1">
      <c r="A108" s="134"/>
      <c r="B108" s="134"/>
      <c r="C108" s="134"/>
      <c r="D108" s="134"/>
      <c r="E108" s="3396"/>
      <c r="F108" s="3397"/>
      <c r="G108" s="1964" t="s">
        <v>1879</v>
      </c>
      <c r="H108" s="2730">
        <f ca="1">ROUND(H107*10000/'数据-汇总表'!E3,0)</f>
        <v>16416</v>
      </c>
      <c r="I108" s="134"/>
    </row>
    <row r="109" spans="1:35" ht="18.75" customHeight="1">
      <c r="A109" s="134"/>
      <c r="B109" s="134"/>
      <c r="C109" s="134"/>
      <c r="D109" s="134"/>
      <c r="E109" s="3396" t="str">
        <f>IF(项目基本情况!E8="已注销及未注销","4.抵押担保权已注销时的房地产抵押价值",IF(项目基本情况!E8="已注销","3.抵押担保权已注销时的房地产抵押价值","——"))</f>
        <v>——</v>
      </c>
      <c r="F109" s="3397"/>
      <c r="G109" s="1964" t="s">
        <v>1877</v>
      </c>
      <c r="H109" s="2773" t="str">
        <f>IF(E109="——","——",H101-H105-H106)</f>
        <v>——</v>
      </c>
      <c r="I109" s="134"/>
    </row>
    <row r="110" spans="1:35" ht="18.75" customHeight="1">
      <c r="A110" s="134"/>
      <c r="B110" s="134"/>
      <c r="C110" s="134"/>
      <c r="D110" s="134"/>
      <c r="E110" s="3396"/>
      <c r="F110" s="3397"/>
      <c r="G110" s="1964" t="s">
        <v>1879</v>
      </c>
      <c r="H110" s="2730" t="str">
        <f>IF(H109="——","——",ROUND(H109*10000/'数据-汇总表'!E3,0))</f>
        <v>——</v>
      </c>
      <c r="I110" s="134"/>
    </row>
    <row r="111" spans="1:35" ht="18.75" customHeight="1">
      <c r="A111" s="134"/>
      <c r="B111" s="134"/>
      <c r="C111" s="134"/>
      <c r="D111" s="134"/>
      <c r="E111" s="3431" t="str">
        <f>IF(项目基本情况!E9="抵押净值",IF(OR(项目基本情况!E8="已注销",项目基本情况!E8="房地产抵押价值"),"4.抵押净值","5.抵押净值"),"——")</f>
        <v>——</v>
      </c>
      <c r="F111" s="3398"/>
      <c r="G111" s="1964" t="s">
        <v>1877</v>
      </c>
      <c r="H111" s="2770" t="str">
        <f>IF(E111="——","——",N59)</f>
        <v>——</v>
      </c>
      <c r="I111" s="134"/>
    </row>
    <row r="112" spans="1:35" ht="18.75" customHeight="1" thickBot="1">
      <c r="A112" s="134"/>
      <c r="B112" s="134"/>
      <c r="C112" s="134"/>
      <c r="D112" s="134"/>
      <c r="E112" s="3432"/>
      <c r="F112" s="3433"/>
      <c r="G112" s="1967" t="s">
        <v>1879</v>
      </c>
      <c r="H112" s="2774" t="str">
        <f>IF(E111="——","——",N61)</f>
        <v>——</v>
      </c>
      <c r="I112" s="134"/>
    </row>
    <row r="113" spans="1:27" ht="18.75" customHeight="1">
      <c r="A113" s="134"/>
      <c r="B113" s="134"/>
      <c r="C113" s="134"/>
      <c r="D113" s="134"/>
      <c r="E113" s="3401" t="s">
        <v>1885</v>
      </c>
      <c r="F113" s="3401"/>
      <c r="G113" s="3401"/>
      <c r="H113" s="3401"/>
      <c r="I113" s="134"/>
    </row>
    <row r="114" spans="1:27" ht="3.75" customHeight="1">
      <c r="A114" s="1884"/>
      <c r="B114" s="1884"/>
      <c r="C114" s="1884"/>
      <c r="D114" s="1884"/>
      <c r="E114" s="1946"/>
      <c r="F114" s="1946"/>
      <c r="G114" s="1946"/>
      <c r="H114" s="1946"/>
      <c r="I114" s="1884"/>
    </row>
    <row r="115" spans="1:27" ht="18.75" customHeight="1">
      <c r="A115" s="3414" t="s">
        <v>1887</v>
      </c>
      <c r="B115" s="3415"/>
      <c r="C115" s="3415"/>
      <c r="D115" s="3415"/>
      <c r="E115" s="3415"/>
      <c r="F115" s="3415"/>
      <c r="G115" s="3415"/>
      <c r="H115" s="3415"/>
      <c r="I115" s="3416"/>
    </row>
    <row r="116" spans="1:27" ht="27" customHeight="1">
      <c r="A116" s="3367" t="s">
        <v>1888</v>
      </c>
      <c r="B116" s="3402" t="s">
        <v>1889</v>
      </c>
      <c r="C116" s="3402" t="s">
        <v>1890</v>
      </c>
      <c r="D116" s="3418" t="s">
        <v>1891</v>
      </c>
      <c r="E116" s="3419"/>
      <c r="F116" s="3410" t="s">
        <v>1892</v>
      </c>
      <c r="G116" s="3410"/>
      <c r="H116" s="3367" t="s">
        <v>1893</v>
      </c>
      <c r="I116" s="3367"/>
    </row>
    <row r="117" spans="1:27" ht="18.75" customHeight="1">
      <c r="A117" s="3367"/>
      <c r="B117" s="3403"/>
      <c r="C117" s="3403"/>
      <c r="D117" s="2503" t="s">
        <v>1894</v>
      </c>
      <c r="E117" s="2503" t="s">
        <v>1895</v>
      </c>
      <c r="F117" s="2503" t="s">
        <v>1894</v>
      </c>
      <c r="G117" s="2503" t="s">
        <v>1896</v>
      </c>
      <c r="H117" s="2503" t="s">
        <v>1894</v>
      </c>
      <c r="I117" s="2503" t="s">
        <v>1896</v>
      </c>
    </row>
    <row r="118" spans="1:27" ht="24.75" customHeight="1">
      <c r="A118" s="2775" t="str">
        <f>项目基本情况!S2</f>
        <v>北京市朝阳区广顺北大街17号1层01层A03等共57套商业用房、4套地下车库用房房地产</v>
      </c>
      <c r="B118" s="2503">
        <f>M18</f>
        <v>40421.870000000003</v>
      </c>
      <c r="C118" s="2503">
        <f>M19</f>
        <v>18060.05</v>
      </c>
      <c r="D118" s="2503">
        <f ca="1">ROUND(IF(D32="总价",C34,E118*B118/10000),0)</f>
        <v>47245</v>
      </c>
      <c r="E118" s="2503">
        <f ca="1">ROUND(IF(C33="自定义",IF(D32="楼面单价",C34,D118*10000/B118),I118-G118),0)</f>
        <v>11688</v>
      </c>
      <c r="F118" s="2503">
        <f ca="1">ROUND(IF(D32="总价",C35,G118*B118/10000),0)</f>
        <v>19111</v>
      </c>
      <c r="G118" s="2503">
        <f ca="1">ROUND(IF(D32="楼面单价",C35,F118*10000/B118),0)</f>
        <v>4728</v>
      </c>
      <c r="H118" s="2503">
        <f ca="1">ROUND(IF(D32="总价",C32,I118*B118/10000),0)</f>
        <v>66356</v>
      </c>
      <c r="I118" s="2503">
        <f ca="1">ROUND(IF(D32="楼面单价",C32,H118*10000/B118),0)</f>
        <v>16416</v>
      </c>
    </row>
    <row r="119" spans="1:27" ht="18.75" customHeight="1">
      <c r="A119" s="3367" t="s">
        <v>1897</v>
      </c>
      <c r="B119" s="3367"/>
      <c r="C119" s="3367"/>
      <c r="D119" s="3407" t="str">
        <f ca="1">NUMBERSTRING(INT(D118*10000),2)&amp;"元整"</f>
        <v>肆亿柒仟贰佰肆拾伍万元整</v>
      </c>
      <c r="E119" s="3409"/>
      <c r="F119" s="3407" t="str">
        <f ca="1">NUMBERSTRING(INT(F118*10000),2)&amp;"元整"</f>
        <v>壹亿玖仟壹佰壹拾壹万元整</v>
      </c>
      <c r="G119" s="3409"/>
      <c r="H119" s="3407" t="str">
        <f ca="1">NUMBERSTRING(INT(H118*10000),2)&amp;"元整"</f>
        <v>陆亿陆仟叁佰伍拾陆万元整</v>
      </c>
      <c r="I119" s="3409"/>
    </row>
    <row r="120" spans="1:27" ht="18.75" customHeight="1">
      <c r="A120" s="3434" t="str">
        <f>IF(项目基本情况!B9="房地产市场价值","",MID(E103,3,LEN(E103)-2))</f>
        <v>估价师知悉的法定优先受偿款</v>
      </c>
      <c r="B120" s="3435"/>
      <c r="C120" s="3436"/>
      <c r="D120" s="3434">
        <f>H103</f>
        <v>0</v>
      </c>
      <c r="E120" s="3435"/>
      <c r="F120" s="3435"/>
      <c r="G120" s="3435"/>
      <c r="H120" s="3435"/>
      <c r="I120" s="3436"/>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411" t="s">
        <v>1897</v>
      </c>
      <c r="B121" s="3412"/>
      <c r="C121" s="3413"/>
      <c r="D121" s="3407" t="str">
        <f>IF(D120=0,"零元整",NUMBERSTRING(INT(D120*10000),2)&amp;"元整")</f>
        <v>零元整</v>
      </c>
      <c r="E121" s="3408"/>
      <c r="F121" s="3408"/>
      <c r="G121" s="3408"/>
      <c r="H121" s="3408"/>
      <c r="I121" s="3409"/>
      <c r="AA121" s="734"/>
    </row>
    <row r="122" spans="1:27" ht="18.75" customHeight="1">
      <c r="A122" s="3398" t="str">
        <f>IF(项目基本情况!B9="房地产市场价值","",MID(E107,3,LEN(E107)-2))</f>
        <v>房地产抵押价值</v>
      </c>
      <c r="B122" s="3398"/>
      <c r="C122" s="3398"/>
      <c r="D122" s="3434">
        <f ca="1">H107</f>
        <v>66356</v>
      </c>
      <c r="E122" s="3435"/>
      <c r="F122" s="3435"/>
      <c r="G122" s="3435"/>
      <c r="H122" s="3435"/>
      <c r="I122" s="3436"/>
      <c r="AA122" s="734"/>
    </row>
    <row r="123" spans="1:27" ht="18.75" customHeight="1">
      <c r="A123" s="3367" t="s">
        <v>1897</v>
      </c>
      <c r="B123" s="3367"/>
      <c r="C123" s="3367"/>
      <c r="D123" s="3407" t="str">
        <f ca="1">NUMBERSTRING(INT(D122*10000),2)&amp;"元整"</f>
        <v>陆亿陆仟叁佰伍拾陆万元整</v>
      </c>
      <c r="E123" s="3408"/>
      <c r="F123" s="3408"/>
      <c r="G123" s="3408"/>
      <c r="H123" s="3408"/>
      <c r="I123" s="3409"/>
      <c r="AA123" s="734"/>
    </row>
    <row r="124" spans="1:27" ht="18.75" customHeight="1">
      <c r="A124" s="3398" t="str">
        <f>IF(项目基本情况!B9="房地产市场价值","",MID(E109,3,LEN(E109)-2))</f>
        <v/>
      </c>
      <c r="B124" s="3398"/>
      <c r="C124" s="3398"/>
      <c r="D124" s="3434" t="str">
        <f>H109</f>
        <v>——</v>
      </c>
      <c r="E124" s="3435"/>
      <c r="F124" s="3435"/>
      <c r="G124" s="3435"/>
      <c r="H124" s="3435"/>
      <c r="I124" s="3436"/>
      <c r="AA124" s="734"/>
    </row>
    <row r="125" spans="1:27" ht="18.75" customHeight="1">
      <c r="A125" s="3367" t="s">
        <v>1897</v>
      </c>
      <c r="B125" s="3367"/>
      <c r="C125" s="3367"/>
      <c r="D125" s="3407" t="e">
        <f>NUMBERSTRING(INT(D124*10000),2)&amp;"元整"</f>
        <v>#VALUE!</v>
      </c>
      <c r="E125" s="3408"/>
      <c r="F125" s="3408"/>
      <c r="G125" s="3408"/>
      <c r="H125" s="3408"/>
      <c r="I125" s="3409"/>
      <c r="AA125" s="734"/>
    </row>
    <row r="126" spans="1:27" ht="18.75" customHeight="1">
      <c r="A126" s="3398" t="str">
        <f>IF(项目基本情况!B9="房地产市场价值","",MID(E111,3,LEN(E111)-2))</f>
        <v/>
      </c>
      <c r="B126" s="3398"/>
      <c r="C126" s="3398"/>
      <c r="D126" s="3434" t="str">
        <f>H111</f>
        <v>——</v>
      </c>
      <c r="E126" s="3435"/>
      <c r="F126" s="3435"/>
      <c r="G126" s="3435"/>
      <c r="H126" s="3435"/>
      <c r="I126" s="3436"/>
      <c r="AA126" s="734"/>
    </row>
    <row r="127" spans="1:27" ht="18.75" customHeight="1">
      <c r="A127" s="3367" t="s">
        <v>1897</v>
      </c>
      <c r="B127" s="3367"/>
      <c r="C127" s="3367"/>
      <c r="D127" s="3407" t="e">
        <f>NUMBERSTRING(INT(D126*10000),2)&amp;"元整"</f>
        <v>#VALUE!</v>
      </c>
      <c r="E127" s="3408"/>
      <c r="F127" s="3408"/>
      <c r="G127" s="3408"/>
      <c r="H127" s="3408"/>
      <c r="I127" s="3409"/>
      <c r="AA127" s="734"/>
    </row>
    <row r="128" spans="1:27" ht="21.75" customHeight="1">
      <c r="A128" s="3417" t="s">
        <v>1898</v>
      </c>
      <c r="B128" s="3417"/>
      <c r="C128" s="3417"/>
      <c r="D128" s="3417"/>
      <c r="E128" s="3417"/>
      <c r="F128" s="3417"/>
      <c r="G128" s="3417"/>
      <c r="H128" s="3417"/>
      <c r="I128" s="3417"/>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8</v>
      </c>
    </row>
    <row r="2" spans="1:9" s="206" customFormat="1" ht="18" customHeight="1">
      <c r="A2" s="207" t="s">
        <v>1907</v>
      </c>
      <c r="B2" s="208">
        <f ca="1">IF(D2="——",C52,C52-E2)</f>
        <v>81252</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20101</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41935</v>
      </c>
      <c r="D5" s="217" t="s">
        <v>1914</v>
      </c>
      <c r="E5" s="218" t="s">
        <v>1915</v>
      </c>
      <c r="F5" s="218" t="s">
        <v>1916</v>
      </c>
      <c r="G5" s="219"/>
    </row>
    <row r="6" spans="1:9" s="220" customFormat="1" ht="13.5" customHeight="1">
      <c r="A6" s="867" t="s">
        <v>1917</v>
      </c>
      <c r="B6" s="221" t="s">
        <v>1918</v>
      </c>
      <c r="C6" s="222">
        <f>[3]基准地价修正!$B$2</f>
        <v>39910</v>
      </c>
      <c r="D6" s="223"/>
      <c r="E6" s="224"/>
      <c r="F6" s="224"/>
      <c r="G6" s="225"/>
    </row>
    <row r="7" spans="1:9" s="220" customFormat="1" ht="13.5" customHeight="1">
      <c r="A7" s="867" t="s">
        <v>1919</v>
      </c>
      <c r="B7" s="221" t="s">
        <v>1920</v>
      </c>
      <c r="C7" s="226">
        <f>ROUND(C6*F7,0)</f>
        <v>1217</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808</v>
      </c>
      <c r="D8" s="228"/>
      <c r="E8" s="226"/>
      <c r="F8" s="227"/>
      <c r="G8" s="1993" t="s">
        <v>3237</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160</v>
      </c>
      <c r="F9" s="227"/>
      <c r="G9" s="1994" t="s">
        <v>3238</v>
      </c>
      <c r="H9" s="1252"/>
      <c r="I9" s="1995" t="s">
        <v>1924</v>
      </c>
    </row>
    <row r="10" spans="1:9" s="220" customFormat="1" ht="13.5" customHeight="1">
      <c r="A10" s="868" t="s">
        <v>620</v>
      </c>
      <c r="B10" s="230" t="s">
        <v>1925</v>
      </c>
      <c r="C10" s="231">
        <f ca="1">ROUND(D10*E10/10000,0)</f>
        <v>808</v>
      </c>
      <c r="D10" s="935">
        <f ca="1">IF(B1="",'数据-汇总表'!E6,IF(INDIRECT("'数据-取费表'!c"&amp;$G$1)="住宅",INDIRECT("'数据-取费表'!s"&amp;$G$1),INDIRECT("'数据-取费表'!k"&amp;$G$1)+INDIRECT("'数据-取费表'!s"&amp;$G$1)))</f>
        <v>40421.870000000003</v>
      </c>
      <c r="E10" s="231">
        <f>'数据-取费表'!B28</f>
        <v>200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40421.870000000003</v>
      </c>
      <c r="E19" s="217">
        <f>'数据-取费表'!B31</f>
        <v>200</v>
      </c>
      <c r="F19" s="237"/>
      <c r="G19" s="1993" t="s">
        <v>3239</v>
      </c>
    </row>
    <row r="20" spans="1:7" s="220" customFormat="1" ht="13.5" customHeight="1">
      <c r="A20" s="261" t="s">
        <v>1938</v>
      </c>
      <c r="B20" s="216" t="s">
        <v>1939</v>
      </c>
      <c r="C20" s="238">
        <f ca="1">ROUND((C5+C19)*F20,0)</f>
        <v>1048</v>
      </c>
      <c r="D20" s="238"/>
      <c r="E20" s="238"/>
      <c r="F20" s="239">
        <f>'数据-取费表'!B37</f>
        <v>2.5000000000000001E-2</v>
      </c>
      <c r="G20" s="240" t="s">
        <v>1940</v>
      </c>
    </row>
    <row r="21" spans="1:7" s="220" customFormat="1" ht="13.5" customHeight="1">
      <c r="A21" s="261" t="s">
        <v>1941</v>
      </c>
      <c r="B21" s="216" t="s">
        <v>1942</v>
      </c>
      <c r="C21" s="241">
        <f>F21</f>
        <v>2.5000000000000001E-2</v>
      </c>
      <c r="D21" s="242" t="s">
        <v>1943</v>
      </c>
      <c r="E21" s="238"/>
      <c r="F21" s="239">
        <f>'数据-取费表'!B38</f>
        <v>2.5000000000000001E-2</v>
      </c>
      <c r="G21" s="240" t="s">
        <v>1944</v>
      </c>
    </row>
    <row r="22" spans="1:7" s="220" customFormat="1" ht="13.5" customHeight="1">
      <c r="A22" s="261" t="s">
        <v>1945</v>
      </c>
      <c r="B22" s="216" t="s">
        <v>1946</v>
      </c>
      <c r="C22" s="1217">
        <f ca="1">ROUND(SUM(C23:C25),0)</f>
        <v>3596</v>
      </c>
      <c r="D22" s="241">
        <f ca="1">C26</f>
        <v>1E-3</v>
      </c>
      <c r="E22" s="242" t="s">
        <v>1943</v>
      </c>
      <c r="F22" s="243">
        <f ca="1">'数据-取费表'!B40</f>
        <v>4.1499999999999995E-2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3553</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43</v>
      </c>
      <c r="D25" s="244"/>
      <c r="E25" s="247"/>
      <c r="F25" s="245"/>
      <c r="G25" s="248" t="s">
        <v>1955</v>
      </c>
    </row>
    <row r="26" spans="1:7" s="220" customFormat="1">
      <c r="A26" s="869" t="s">
        <v>614</v>
      </c>
      <c r="B26" s="221" t="s">
        <v>1956</v>
      </c>
      <c r="C26" s="244">
        <f ca="1">ROUND(IF('数据-取费表'!B22&lt;=1,F21*F22*'数据-取费表'!B23/2,F21*(POWER((1+F22),'数据-取费表'!B23/2)-1)),4)</f>
        <v>1E-3</v>
      </c>
      <c r="D26" s="244"/>
      <c r="E26" s="247"/>
      <c r="F26" s="245"/>
      <c r="G26" s="249"/>
    </row>
    <row r="27" spans="1:7" s="220" customFormat="1" ht="24.75">
      <c r="A27" s="261" t="s">
        <v>1957</v>
      </c>
      <c r="B27" s="250" t="s">
        <v>1958</v>
      </c>
      <c r="C27" s="251">
        <f ca="1">C28</f>
        <v>6447</v>
      </c>
      <c r="D27" s="241">
        <f ca="1">C29</f>
        <v>3.8E-3</v>
      </c>
      <c r="E27" s="242" t="s">
        <v>1959</v>
      </c>
      <c r="F27" s="252">
        <f ca="1">IF(B1="",'数据-取费表'!Q16,INDIRECT("'数据-取费表'!q"&amp;$G$1))</f>
        <v>0.15</v>
      </c>
      <c r="G27" s="253" t="s">
        <v>1960</v>
      </c>
    </row>
    <row r="28" spans="1:7" s="220" customFormat="1" ht="13.5" customHeight="1">
      <c r="A28" s="869" t="s">
        <v>610</v>
      </c>
      <c r="B28" s="254" t="s">
        <v>1961</v>
      </c>
      <c r="C28" s="255">
        <f ca="1">ROUND((C5+C19+C20)*F27*'数据-取费表'!B21/'数据-取费表'!B20,0)</f>
        <v>6447</v>
      </c>
      <c r="D28" s="241"/>
      <c r="E28" s="242"/>
      <c r="F28" s="252"/>
      <c r="G28" s="253"/>
    </row>
    <row r="29" spans="1:7" s="220" customFormat="1" ht="13.5" customHeight="1">
      <c r="A29" s="869" t="s">
        <v>611</v>
      </c>
      <c r="B29" s="254" t="s">
        <v>1962</v>
      </c>
      <c r="C29" s="244">
        <f ca="1">ROUND(C21*F27*'数据-取费表'!B21/'数据-取费表'!B20,4)</f>
        <v>3.8E-3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57832</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21184</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19499</v>
      </c>
      <c r="D34" s="223"/>
      <c r="E34" s="226"/>
      <c r="F34" s="263">
        <f ca="1">IF('数据-取费表'!B24=0,1,IF(B1="",'数据-取费表'!N16,INDIRECT("'数据-取费表'!n"&amp;$G$1)))</f>
        <v>1</v>
      </c>
      <c r="G34" s="225" t="s">
        <v>1971</v>
      </c>
    </row>
    <row r="35" spans="1:7" ht="13.5" customHeight="1">
      <c r="A35" s="869" t="s">
        <v>615</v>
      </c>
      <c r="B35" s="221" t="s">
        <v>1972</v>
      </c>
      <c r="C35" s="226">
        <f ca="1">ROUND(C34*F35,0)</f>
        <v>585</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808</v>
      </c>
      <c r="D37" s="223">
        <f ca="1">D19</f>
        <v>40421.870000000003</v>
      </c>
      <c r="E37" s="255">
        <f>'数据-取费表'!B35</f>
        <v>200</v>
      </c>
      <c r="F37" s="265"/>
      <c r="G37" s="267" t="s">
        <v>1977</v>
      </c>
    </row>
    <row r="38" spans="1:7" ht="13.5" customHeight="1">
      <c r="A38" s="869" t="s">
        <v>618</v>
      </c>
      <c r="B38" s="221" t="s">
        <v>1978</v>
      </c>
      <c r="C38" s="226">
        <f ca="1">ROUND(C34*F38,0)</f>
        <v>292</v>
      </c>
      <c r="D38" s="226"/>
      <c r="E38" s="226"/>
      <c r="F38" s="265">
        <f>'数据-取费表'!B36</f>
        <v>1.4999999999999999E-2</v>
      </c>
      <c r="G38" s="225" t="s">
        <v>1973</v>
      </c>
    </row>
    <row r="39" spans="1:7" s="220" customFormat="1" ht="13.5" customHeight="1">
      <c r="A39" s="261" t="s">
        <v>1979</v>
      </c>
      <c r="B39" s="216" t="s">
        <v>1980</v>
      </c>
      <c r="C39" s="238">
        <f ca="1">ROUND(C33*F20,0)</f>
        <v>530</v>
      </c>
      <c r="D39" s="238"/>
      <c r="E39" s="238"/>
      <c r="F39" s="2486">
        <f>F20</f>
        <v>2.5000000000000001E-2</v>
      </c>
      <c r="G39" s="240" t="s">
        <v>1981</v>
      </c>
    </row>
    <row r="40" spans="1:7" s="220" customFormat="1" ht="13.5" customHeight="1">
      <c r="A40" s="261" t="s">
        <v>1982</v>
      </c>
      <c r="B40" s="216" t="s">
        <v>1983</v>
      </c>
      <c r="C40" s="1448">
        <f>F21</f>
        <v>2.5000000000000001E-2</v>
      </c>
      <c r="D40" s="242" t="s">
        <v>1984</v>
      </c>
      <c r="E40" s="238"/>
      <c r="F40" s="2486">
        <f>F21</f>
        <v>2.5000000000000001E-2</v>
      </c>
      <c r="G40" s="240" t="s">
        <v>1985</v>
      </c>
    </row>
    <row r="41" spans="1:7" s="220" customFormat="1" ht="13.5" customHeight="1">
      <c r="A41" s="261" t="s">
        <v>1986</v>
      </c>
      <c r="B41" s="216" t="s">
        <v>1987</v>
      </c>
      <c r="C41" s="238">
        <f ca="1">ROUND(SUM(C42:C43),0)</f>
        <v>901</v>
      </c>
      <c r="D41" s="241">
        <f ca="1">C44</f>
        <v>1E-3</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879</v>
      </c>
      <c r="D42" s="244"/>
      <c r="E42" s="244"/>
      <c r="F42" s="245"/>
      <c r="G42" s="3450" t="s">
        <v>1989</v>
      </c>
    </row>
    <row r="43" spans="1:7" ht="13.5" customHeight="1">
      <c r="A43" s="869" t="s">
        <v>611</v>
      </c>
      <c r="B43" s="221" t="s">
        <v>1990</v>
      </c>
      <c r="C43" s="244">
        <f ca="1">ROUND(IF('数据-取费表'!B22&lt;=1,C39*F22*'数据-取费表'!B21/2,C39*(POWER((1+F22),'数据-取费表'!B21/2)-1)),0)</f>
        <v>22</v>
      </c>
      <c r="D43" s="244"/>
      <c r="E43" s="244"/>
      <c r="F43" s="245"/>
      <c r="G43" s="3451"/>
    </row>
    <row r="44" spans="1:7" ht="13.5" customHeight="1">
      <c r="A44" s="869" t="s">
        <v>612</v>
      </c>
      <c r="B44" s="221" t="s">
        <v>1991</v>
      </c>
      <c r="C44" s="244">
        <f ca="1">ROUND(IF('数据-取费表'!B22&lt;=1,C40*F22*'数据-取费表'!B21/2,C40*(POWER((1+F22),'数据-取费表'!B21/2)-1)),4)</f>
        <v>1E-3</v>
      </c>
      <c r="D44" s="244"/>
      <c r="E44" s="244"/>
      <c r="F44" s="245"/>
      <c r="G44" s="3452"/>
    </row>
    <row r="45" spans="1:7" s="220" customFormat="1" ht="13.5" customHeight="1">
      <c r="A45" s="261" t="s">
        <v>1992</v>
      </c>
      <c r="B45" s="250" t="s">
        <v>1958</v>
      </c>
      <c r="C45" s="251">
        <f ca="1">C46</f>
        <v>3257</v>
      </c>
      <c r="D45" s="241">
        <f ca="1">C47</f>
        <v>3.8E-3</v>
      </c>
      <c r="E45" s="242" t="s">
        <v>1984</v>
      </c>
      <c r="F45" s="2488">
        <f ca="1">F27</f>
        <v>0.15</v>
      </c>
      <c r="G45" s="253" t="s">
        <v>1993</v>
      </c>
    </row>
    <row r="46" spans="1:7" s="220" customFormat="1" ht="13.5" customHeight="1">
      <c r="A46" s="869" t="s">
        <v>610</v>
      </c>
      <c r="B46" s="254" t="s">
        <v>1994</v>
      </c>
      <c r="C46" s="255">
        <f ca="1">ROUND((C33+C39)*F27,0)</f>
        <v>3257</v>
      </c>
      <c r="D46" s="269"/>
      <c r="E46" s="242"/>
      <c r="F46" s="252"/>
      <c r="G46" s="253"/>
    </row>
    <row r="47" spans="1:7" s="220" customFormat="1" ht="13.5" customHeight="1">
      <c r="A47" s="869" t="s">
        <v>611</v>
      </c>
      <c r="B47" s="254" t="s">
        <v>1995</v>
      </c>
      <c r="C47" s="244">
        <f ca="1">ROUND(C40*F27,4)</f>
        <v>3.8E-3</v>
      </c>
      <c r="D47" s="269"/>
      <c r="E47" s="242"/>
      <c r="F47" s="252"/>
      <c r="G47" s="253"/>
    </row>
    <row r="48" spans="1:7" s="220" customFormat="1" ht="13.5" customHeight="1">
      <c r="A48" s="261" t="s">
        <v>1957</v>
      </c>
      <c r="B48" s="216" t="s">
        <v>1996</v>
      </c>
      <c r="C48" s="1448">
        <f>ROUND(F30/(1+'数据-取费表'!C42),4)</f>
        <v>5.33E-2</v>
      </c>
      <c r="D48" s="242" t="s">
        <v>1984</v>
      </c>
      <c r="E48" s="238"/>
      <c r="F48" s="2487">
        <f>F30</f>
        <v>5.6000000000000001E-2</v>
      </c>
      <c r="G48" s="240" t="s">
        <v>1997</v>
      </c>
    </row>
    <row r="49" spans="1:7" ht="16.5" customHeight="1">
      <c r="A49" s="261" t="s">
        <v>1963</v>
      </c>
      <c r="B49" s="216" t="s">
        <v>1998</v>
      </c>
      <c r="C49" s="238">
        <f ca="1">ROUND((C33+C39+C41+C45)/(1-C40-D41-D45-C48),0)</f>
        <v>28217</v>
      </c>
      <c r="D49" s="238"/>
      <c r="E49" s="238"/>
      <c r="F49" s="270"/>
      <c r="G49" s="240" t="s">
        <v>1999</v>
      </c>
    </row>
    <row r="50" spans="1:7" s="264" customFormat="1" ht="24">
      <c r="A50" s="261" t="s">
        <v>2000</v>
      </c>
      <c r="B50" s="216" t="s">
        <v>2001</v>
      </c>
      <c r="C50" s="238"/>
      <c r="D50" s="238"/>
      <c r="E50" s="238"/>
      <c r="F50" s="270">
        <f>IF('数据-取费表'!B24=0,'数据-取费表'!N16,1)</f>
        <v>0.83</v>
      </c>
      <c r="G50" s="253" t="s">
        <v>2002</v>
      </c>
    </row>
    <row r="51" spans="1:7" ht="16.5" customHeight="1">
      <c r="A51" s="261" t="s">
        <v>2003</v>
      </c>
      <c r="B51" s="216" t="s">
        <v>2004</v>
      </c>
      <c r="C51" s="238">
        <f ca="1">ROUND(C49*F50,0)</f>
        <v>23420</v>
      </c>
      <c r="D51" s="238"/>
      <c r="E51" s="238"/>
      <c r="F51" s="270"/>
      <c r="G51" s="240" t="s">
        <v>2005</v>
      </c>
    </row>
    <row r="52" spans="1:7" s="214" customFormat="1" ht="16.5" thickBot="1">
      <c r="A52" s="271" t="s">
        <v>2006</v>
      </c>
      <c r="B52" s="272"/>
      <c r="C52" s="273">
        <f ca="1">C31+C51</f>
        <v>81252</v>
      </c>
      <c r="D52" s="272"/>
      <c r="E52" s="272"/>
      <c r="F52" s="272"/>
      <c r="G52" s="274"/>
    </row>
    <row r="55" spans="1:7" ht="15">
      <c r="B55" s="276" t="s">
        <v>2007</v>
      </c>
      <c r="C55" s="277"/>
    </row>
    <row r="56" spans="1:7">
      <c r="B56" s="279" t="s">
        <v>1237</v>
      </c>
      <c r="C56" s="281">
        <f ca="1">1-C57</f>
        <v>0.71199999999999997</v>
      </c>
    </row>
    <row r="57" spans="1:7">
      <c r="B57" s="279" t="s">
        <v>1238</v>
      </c>
      <c r="C57" s="280">
        <f ca="1">ROUND(C51/C52,3)</f>
        <v>0.28799999999999998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8</v>
      </c>
      <c r="H1" s="1173" t="str">
        <f>IF(ISERROR(FIND("住宅",B1)),"非住宅","住宅")</f>
        <v>非住宅</v>
      </c>
    </row>
    <row r="2" spans="1:8" s="206" customFormat="1" ht="18" customHeight="1">
      <c r="A2" s="207" t="s">
        <v>1907</v>
      </c>
      <c r="B2" s="208">
        <f ca="1">ROUND(IF(D2="——",C52/10000,C52/10000-E2),0)</f>
        <v>25651</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6346</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8084374</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8084374</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160</v>
      </c>
      <c r="F9" s="227"/>
      <c r="G9" s="232"/>
    </row>
    <row r="10" spans="1:8" s="220" customFormat="1" ht="13.5" customHeight="1">
      <c r="A10" s="868" t="s">
        <v>620</v>
      </c>
      <c r="B10" s="230" t="s">
        <v>1925</v>
      </c>
      <c r="C10" s="231">
        <f ca="1">ROUND(D10*E10,0)</f>
        <v>8084374</v>
      </c>
      <c r="D10" s="935">
        <f ca="1">IF(B1="",'数据-汇总表'!E6,IF(INDIRECT("'数据-取费表'!c"&amp;$G$1)="住宅",INDIRECT("'数据-取费表'!s"&amp;$G$1),INDIRECT("'数据-取费表'!k"&amp;$G$1)+INDIRECT("'数据-取费表'!s"&amp;$G$1)))</f>
        <v>40421.870000000003</v>
      </c>
      <c r="E10" s="231">
        <f>'数据-取费表'!B28</f>
        <v>200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8084374</v>
      </c>
      <c r="D19" s="939">
        <f ca="1">D9+D10</f>
        <v>40421.870000000003</v>
      </c>
      <c r="E19" s="217">
        <f>'数据-取费表'!B31</f>
        <v>200</v>
      </c>
      <c r="F19" s="237"/>
      <c r="G19" s="1993"/>
    </row>
    <row r="20" spans="1:7" s="220" customFormat="1" ht="13.5" customHeight="1">
      <c r="A20" s="261" t="s">
        <v>2019</v>
      </c>
      <c r="B20" s="216" t="s">
        <v>2020</v>
      </c>
      <c r="C20" s="238">
        <f ca="1">ROUND((C5+C19)*F20,0)</f>
        <v>404219</v>
      </c>
      <c r="D20" s="238"/>
      <c r="E20" s="238"/>
      <c r="F20" s="239">
        <f>'数据-取费表'!B37</f>
        <v>2.5000000000000001E-2</v>
      </c>
      <c r="G20" s="240" t="s">
        <v>2021</v>
      </c>
    </row>
    <row r="21" spans="1:7" s="220" customFormat="1" ht="13.5" customHeight="1">
      <c r="A21" s="261" t="s">
        <v>2022</v>
      </c>
      <c r="B21" s="216" t="s">
        <v>2023</v>
      </c>
      <c r="C21" s="241">
        <f>F21</f>
        <v>2.5000000000000001E-2</v>
      </c>
      <c r="D21" s="242" t="s">
        <v>2024</v>
      </c>
      <c r="E21" s="238"/>
      <c r="F21" s="239">
        <f>'数据-取费表'!B38</f>
        <v>2.5000000000000001E-2</v>
      </c>
      <c r="G21" s="240" t="s">
        <v>2025</v>
      </c>
    </row>
    <row r="22" spans="1:7" s="220" customFormat="1" ht="13.5" customHeight="1">
      <c r="A22" s="261" t="s">
        <v>2026</v>
      </c>
      <c r="B22" s="216" t="s">
        <v>2027</v>
      </c>
      <c r="C22" s="1242">
        <f ca="1">ROUND(SUM(C23:C25),0)</f>
        <v>1386627</v>
      </c>
      <c r="D22" s="241">
        <f ca="1">C26</f>
        <v>1E-3</v>
      </c>
      <c r="E22" s="242" t="s">
        <v>2024</v>
      </c>
      <c r="F22" s="243">
        <f ca="1">'数据-取费表'!B40</f>
        <v>4.1499999999999995E-2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684926</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684926</v>
      </c>
      <c r="D24" s="244"/>
      <c r="E24" s="244"/>
      <c r="F24" s="245"/>
      <c r="G24" s="246" t="s">
        <v>2031</v>
      </c>
    </row>
    <row r="25" spans="1:7" s="220" customFormat="1" ht="24">
      <c r="A25" s="869" t="s">
        <v>1921</v>
      </c>
      <c r="B25" s="221" t="s">
        <v>2032</v>
      </c>
      <c r="C25" s="1243">
        <f ca="1">ROUND(IF('数据-取费表'!B22&lt;=1,C20*F22*'数据-取费表'!B22/2,C20*(POWER((1+F22),'数据-取费表'!B22/2)-1)),0)</f>
        <v>16775</v>
      </c>
      <c r="D25" s="244"/>
      <c r="E25" s="247"/>
      <c r="F25" s="245"/>
      <c r="G25" s="248" t="s">
        <v>2033</v>
      </c>
    </row>
    <row r="26" spans="1:7" s="220" customFormat="1">
      <c r="A26" s="869" t="s">
        <v>614</v>
      </c>
      <c r="B26" s="221" t="s">
        <v>1956</v>
      </c>
      <c r="C26" s="244">
        <f ca="1">ROUND(IF('数据-取费表'!B22&lt;=1,F21*F22*'数据-取费表'!B22/2,F21*(POWER((1+F22),'数据-取费表'!B22/2)-1)),4)</f>
        <v>1E-3</v>
      </c>
      <c r="D26" s="244"/>
      <c r="E26" s="247"/>
      <c r="F26" s="245"/>
      <c r="G26" s="249"/>
    </row>
    <row r="27" spans="1:7" s="220" customFormat="1" ht="24.75">
      <c r="A27" s="261" t="s">
        <v>1957</v>
      </c>
      <c r="B27" s="250" t="s">
        <v>1958</v>
      </c>
      <c r="C27" s="251">
        <f ca="1">C28</f>
        <v>2485945</v>
      </c>
      <c r="D27" s="241">
        <f ca="1">C29</f>
        <v>3.8E-3</v>
      </c>
      <c r="E27" s="242" t="s">
        <v>1959</v>
      </c>
      <c r="F27" s="252">
        <f ca="1">IF(B1="",'数据-取费表'!Q16,INDIRECT("'数据-取费表'!q"&amp;$G$1))</f>
        <v>0.15</v>
      </c>
      <c r="G27" s="253" t="s">
        <v>1960</v>
      </c>
    </row>
    <row r="28" spans="1:7" s="220" customFormat="1" ht="13.5" customHeight="1">
      <c r="A28" s="869" t="s">
        <v>610</v>
      </c>
      <c r="B28" s="254" t="s">
        <v>1961</v>
      </c>
      <c r="C28" s="255">
        <f ca="1">ROUND((C5+C19+C20)*F27,0)</f>
        <v>2485945</v>
      </c>
      <c r="D28" s="241"/>
      <c r="E28" s="242"/>
      <c r="F28" s="252"/>
      <c r="G28" s="253"/>
    </row>
    <row r="29" spans="1:7" s="220" customFormat="1" ht="13.5" customHeight="1">
      <c r="A29" s="869" t="s">
        <v>611</v>
      </c>
      <c r="B29" s="254" t="s">
        <v>1962</v>
      </c>
      <c r="C29" s="244">
        <f ca="1">ROUND(C21*F27,4)</f>
        <v>3.8E-3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22298548</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211850768</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194991765</v>
      </c>
      <c r="D34" s="223"/>
      <c r="E34" s="226"/>
      <c r="F34" s="263"/>
      <c r="G34" s="225"/>
    </row>
    <row r="35" spans="1:7" ht="13.5" customHeight="1">
      <c r="A35" s="869" t="s">
        <v>615</v>
      </c>
      <c r="B35" s="221" t="s">
        <v>1972</v>
      </c>
      <c r="C35" s="226">
        <f ca="1">ROUND(C34*F35,0)</f>
        <v>5849753</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8084374</v>
      </c>
      <c r="D37" s="223">
        <f ca="1">D19</f>
        <v>40421.870000000003</v>
      </c>
      <c r="E37" s="255">
        <f>'数据-取费表'!B35</f>
        <v>200</v>
      </c>
      <c r="F37" s="265"/>
      <c r="G37" s="267"/>
    </row>
    <row r="38" spans="1:7" ht="13.5" customHeight="1">
      <c r="A38" s="869" t="s">
        <v>618</v>
      </c>
      <c r="B38" s="221" t="s">
        <v>1978</v>
      </c>
      <c r="C38" s="226">
        <f ca="1">ROUND(C34*F38,0)</f>
        <v>2924876</v>
      </c>
      <c r="D38" s="226"/>
      <c r="E38" s="226"/>
      <c r="F38" s="265">
        <f>'数据-取费表'!B36</f>
        <v>1.4999999999999999E-2</v>
      </c>
      <c r="G38" s="225" t="s">
        <v>1973</v>
      </c>
    </row>
    <row r="39" spans="1:7" s="220" customFormat="1" ht="13.5" customHeight="1">
      <c r="A39" s="261" t="s">
        <v>1979</v>
      </c>
      <c r="B39" s="216" t="s">
        <v>1980</v>
      </c>
      <c r="C39" s="238">
        <f ca="1">ROUND(C33*F20,0)</f>
        <v>5296269</v>
      </c>
      <c r="D39" s="238"/>
      <c r="E39" s="238"/>
      <c r="F39" s="2486">
        <f>F20</f>
        <v>2.5000000000000001E-2</v>
      </c>
      <c r="G39" s="240" t="s">
        <v>1981</v>
      </c>
    </row>
    <row r="40" spans="1:7" s="220" customFormat="1" ht="13.5" customHeight="1">
      <c r="A40" s="261" t="s">
        <v>1982</v>
      </c>
      <c r="B40" s="216" t="s">
        <v>1983</v>
      </c>
      <c r="C40" s="1448">
        <f>F21</f>
        <v>2.5000000000000001E-2</v>
      </c>
      <c r="D40" s="242" t="s">
        <v>1984</v>
      </c>
      <c r="E40" s="238"/>
      <c r="F40" s="2486">
        <f>F21</f>
        <v>2.5000000000000001E-2</v>
      </c>
      <c r="G40" s="240" t="s">
        <v>1985</v>
      </c>
    </row>
    <row r="41" spans="1:7" s="220" customFormat="1" ht="13.5" customHeight="1">
      <c r="A41" s="261" t="s">
        <v>1986</v>
      </c>
      <c r="B41" s="216" t="s">
        <v>1987</v>
      </c>
      <c r="C41" s="238">
        <f ca="1">ROUND(SUM(C42:C43),0)</f>
        <v>9011602</v>
      </c>
      <c r="D41" s="241">
        <f ca="1">C44</f>
        <v>1E-3</v>
      </c>
      <c r="E41" s="242" t="s">
        <v>1984</v>
      </c>
      <c r="F41" s="2487">
        <f ca="1">F22</f>
        <v>4.1499999999999995E-2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8791807</v>
      </c>
      <c r="D42" s="244"/>
      <c r="E42" s="244"/>
      <c r="F42" s="245"/>
      <c r="G42" s="3450" t="s">
        <v>2036</v>
      </c>
    </row>
    <row r="43" spans="1:7" ht="13.5" customHeight="1">
      <c r="A43" s="869" t="s">
        <v>611</v>
      </c>
      <c r="B43" s="221" t="s">
        <v>1990</v>
      </c>
      <c r="C43" s="244">
        <f ca="1">ROUND(IF('数据-取费表'!B22&lt;=1,C39*F22*'数据-取费表'!B20/2,C39*(POWER((1+F22),'数据-取费表'!B20/2)-1)),0)</f>
        <v>219795</v>
      </c>
      <c r="D43" s="244"/>
      <c r="E43" s="244"/>
      <c r="F43" s="245"/>
      <c r="G43" s="3451"/>
    </row>
    <row r="44" spans="1:7" ht="13.5" customHeight="1">
      <c r="A44" s="869" t="s">
        <v>612</v>
      </c>
      <c r="B44" s="221" t="s">
        <v>1991</v>
      </c>
      <c r="C44" s="244">
        <f ca="1">ROUND(IF('数据-取费表'!B22&lt;=1,C40*F22*'数据-取费表'!B20/2,C40*(POWER((1+F22),'数据-取费表'!B20/2)-1)),4)</f>
        <v>1E-3</v>
      </c>
      <c r="D44" s="244"/>
      <c r="E44" s="244"/>
      <c r="F44" s="245"/>
      <c r="G44" s="3452"/>
    </row>
    <row r="45" spans="1:7" s="220" customFormat="1" ht="13.5" customHeight="1">
      <c r="A45" s="261" t="s">
        <v>1992</v>
      </c>
      <c r="B45" s="250" t="s">
        <v>1958</v>
      </c>
      <c r="C45" s="251">
        <f ca="1">C46</f>
        <v>32572056</v>
      </c>
      <c r="D45" s="241">
        <f ca="1">C47</f>
        <v>3.8E-3</v>
      </c>
      <c r="E45" s="242" t="s">
        <v>1984</v>
      </c>
      <c r="F45" s="2488">
        <f ca="1">F27</f>
        <v>0.15</v>
      </c>
      <c r="G45" s="253" t="s">
        <v>1993</v>
      </c>
    </row>
    <row r="46" spans="1:7" s="220" customFormat="1" ht="13.5" customHeight="1">
      <c r="A46" s="869" t="s">
        <v>610</v>
      </c>
      <c r="B46" s="254" t="s">
        <v>1994</v>
      </c>
      <c r="C46" s="255">
        <f ca="1">ROUND((C33+C39)*F27,0)</f>
        <v>32572056</v>
      </c>
      <c r="D46" s="269"/>
      <c r="E46" s="242"/>
      <c r="F46" s="252"/>
      <c r="G46" s="253"/>
    </row>
    <row r="47" spans="1:7" s="220" customFormat="1" ht="13.5" customHeight="1">
      <c r="A47" s="869" t="s">
        <v>611</v>
      </c>
      <c r="B47" s="254" t="s">
        <v>1995</v>
      </c>
      <c r="C47" s="244">
        <f ca="1">ROUND(C40*F27,4)</f>
        <v>3.8E-3</v>
      </c>
      <c r="D47" s="269"/>
      <c r="E47" s="242"/>
      <c r="F47" s="252"/>
      <c r="G47" s="253"/>
    </row>
    <row r="48" spans="1:7" s="220" customFormat="1" ht="13.5" customHeight="1">
      <c r="A48" s="261" t="s">
        <v>1957</v>
      </c>
      <c r="B48" s="216" t="s">
        <v>1996</v>
      </c>
      <c r="C48" s="268">
        <f>ROUND(F30/(1+'数据-取费表'!C42),4)</f>
        <v>5.33E-2</v>
      </c>
      <c r="D48" s="242" t="s">
        <v>1984</v>
      </c>
      <c r="E48" s="238"/>
      <c r="F48" s="2487">
        <f>F30</f>
        <v>5.6000000000000001E-2</v>
      </c>
      <c r="G48" s="240" t="s">
        <v>1997</v>
      </c>
    </row>
    <row r="49" spans="1:7" ht="16.5" customHeight="1">
      <c r="A49" s="261" t="s">
        <v>1963</v>
      </c>
      <c r="B49" s="216" t="s">
        <v>2037</v>
      </c>
      <c r="C49" s="238">
        <f ca="1">ROUND((C33+C39+C41+C45)/(1-C40-D41-D45-C48),0)</f>
        <v>282179840</v>
      </c>
      <c r="D49" s="238"/>
      <c r="E49" s="238"/>
      <c r="F49" s="270"/>
      <c r="G49" s="240" t="s">
        <v>1999</v>
      </c>
    </row>
    <row r="50" spans="1:7" s="264" customFormat="1">
      <c r="A50" s="261" t="s">
        <v>2000</v>
      </c>
      <c r="B50" s="216" t="s">
        <v>2001</v>
      </c>
      <c r="C50" s="238"/>
      <c r="D50" s="238"/>
      <c r="E50" s="238"/>
      <c r="F50" s="270">
        <f>IF('数据-取费表'!B24=0,'数据-取费表'!N16,1)</f>
        <v>0.83</v>
      </c>
      <c r="G50" s="253"/>
    </row>
    <row r="51" spans="1:7" ht="16.5" customHeight="1">
      <c r="A51" s="261" t="s">
        <v>2003</v>
      </c>
      <c r="B51" s="216" t="s">
        <v>2038</v>
      </c>
      <c r="C51" s="238">
        <f ca="1">ROUND(C49*F50,0)</f>
        <v>234209267</v>
      </c>
      <c r="D51" s="238"/>
      <c r="E51" s="238"/>
      <c r="F51" s="270"/>
      <c r="G51" s="240" t="s">
        <v>2005</v>
      </c>
    </row>
    <row r="52" spans="1:7" s="214" customFormat="1" ht="16.5" thickBot="1">
      <c r="A52" s="271" t="s">
        <v>2006</v>
      </c>
      <c r="B52" s="272"/>
      <c r="C52" s="273">
        <f ca="1">C31+C51</f>
        <v>256507815</v>
      </c>
      <c r="D52" s="272"/>
      <c r="E52" s="272"/>
      <c r="F52" s="272"/>
      <c r="G52" s="274"/>
    </row>
    <row r="55" spans="1:7" ht="15">
      <c r="B55" s="276" t="s">
        <v>2007</v>
      </c>
      <c r="C55" s="277"/>
    </row>
    <row r="56" spans="1:7">
      <c r="B56" s="279" t="s">
        <v>1237</v>
      </c>
      <c r="C56" s="281">
        <f ca="1">1-C57</f>
        <v>8.6999999999999966E-2</v>
      </c>
    </row>
    <row r="57" spans="1:7">
      <c r="B57" s="279" t="s">
        <v>1238</v>
      </c>
      <c r="C57" s="280">
        <f ca="1">ROUND(C51/C52,3)</f>
        <v>0.91300000000000003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6"/>
      <c r="F1" s="2986"/>
      <c r="G1" s="2849"/>
      <c r="H1" s="2986"/>
      <c r="I1" s="2986"/>
      <c r="J1" s="2986"/>
      <c r="K1" s="2987">
        <f>MATCH(C1,'数据-取费表'!A6:A16,0)+5</f>
        <v>8</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14235.169999999998</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40421.870000000003</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40421.870000000003</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160</v>
      </c>
      <c r="F19" s="894"/>
      <c r="G19" s="15"/>
      <c r="H19" s="1304"/>
      <c r="I19" s="899"/>
      <c r="J19" s="899"/>
      <c r="K19" s="900"/>
    </row>
    <row r="20" spans="1:33" s="893" customFormat="1" ht="13.5" customHeight="1">
      <c r="A20" s="889" t="s">
        <v>625</v>
      </c>
      <c r="B20" s="890" t="s">
        <v>2075</v>
      </c>
      <c r="C20" s="24">
        <f ca="1">ROUND(D20*E20/10000,0)</f>
        <v>808</v>
      </c>
      <c r="D20" s="936">
        <f ca="1">IF(C1="",'数据-汇总表'!E6,IF(INDIRECT("'数据-取费表'!c"&amp;$K$1)="住宅",INDIRECT("'数据-取费表'!s"&amp;$K$1),INDIRECT("'数据-取费表'!k"&amp;$K$1)+INDIRECT("'数据-取费表'!s"&amp;$K$1)))</f>
        <v>40421.870000000003</v>
      </c>
      <c r="E20" s="24">
        <f>'数据-取费表'!B28</f>
        <v>200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2.5000000000000001E-2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2.5000000000000001E-2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（1）-（3）项×((1+年利率)^(建设期÷2)-1)</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0.15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80" zoomScaleNormal="70" zoomScaleSheetLayoutView="80" workbookViewId="0">
      <selection activeCell="K19" sqref="K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3443</v>
      </c>
      <c r="D1" s="1497" t="s">
        <v>70</v>
      </c>
      <c r="E1" s="1498" t="s">
        <v>1111</v>
      </c>
      <c r="F1" s="1174">
        <f ca="1">J53</f>
        <v>21.4</v>
      </c>
      <c r="G1" s="1513">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58377</v>
      </c>
      <c r="C2" s="1522" t="s">
        <v>1240</v>
      </c>
      <c r="D2" s="1522"/>
      <c r="E2" s="1523"/>
      <c r="F2" s="1524"/>
      <c r="G2" s="2884"/>
      <c r="H2" s="2873"/>
      <c r="I2" s="2873"/>
      <c r="J2" s="2873"/>
      <c r="K2" s="2874"/>
      <c r="L2" s="2873"/>
      <c r="M2" s="2873"/>
    </row>
    <row r="3" spans="1:37" ht="18" customHeight="1" thickBot="1">
      <c r="A3" s="1525" t="s">
        <v>1241</v>
      </c>
      <c r="B3" s="1526">
        <f ca="1">IF(ISERROR(B2*10000/F43),0,ROUND(B2*10000/F43,0))</f>
        <v>22293</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5028</v>
      </c>
      <c r="D5" s="1499" t="s">
        <v>1126</v>
      </c>
      <c r="E5" s="1184"/>
      <c r="F5" s="1185"/>
      <c r="G5" s="1519"/>
      <c r="H5" s="305">
        <v>1</v>
      </c>
      <c r="I5" s="306" t="s">
        <v>1125</v>
      </c>
      <c r="J5" s="1183">
        <f ca="1">J6+J10+J12</f>
        <v>0</v>
      </c>
      <c r="K5" s="1499" t="s">
        <v>1126</v>
      </c>
      <c r="L5" s="1184"/>
      <c r="M5" s="1185"/>
    </row>
    <row r="6" spans="1:37" ht="18" customHeight="1">
      <c r="A6" s="1182" t="s">
        <v>822</v>
      </c>
      <c r="B6" s="3453" t="s">
        <v>1127</v>
      </c>
      <c r="C6" s="1187">
        <f ca="1">ROUND(F6*F8*F7*(1-F9)/10000,0)</f>
        <v>5015</v>
      </c>
      <c r="D6" s="160" t="s">
        <v>2609</v>
      </c>
      <c r="E6" s="308" t="s">
        <v>1129</v>
      </c>
      <c r="F6" s="309">
        <f ca="1">INDIRECT("'数据-取费表'!u"&amp;$G$1)</f>
        <v>5.83</v>
      </c>
      <c r="G6" s="1519"/>
      <c r="H6" s="1182" t="s">
        <v>822</v>
      </c>
      <c r="I6" s="3453" t="s">
        <v>1127</v>
      </c>
      <c r="J6" s="307">
        <f ca="1">ROUND(M6*M8*M7*(1-M9)/10000,0)</f>
        <v>0</v>
      </c>
      <c r="K6" s="160" t="s">
        <v>2608</v>
      </c>
      <c r="L6" s="308" t="s">
        <v>1129</v>
      </c>
      <c r="M6" s="309">
        <f ca="1">INDIRECT("'数据-取费表'!z"&amp;$G$1)</f>
        <v>0</v>
      </c>
    </row>
    <row r="7" spans="1:37" ht="18" customHeight="1">
      <c r="A7" s="1186"/>
      <c r="B7" s="3454"/>
      <c r="C7" s="1188"/>
      <c r="D7" s="313"/>
      <c r="E7" s="3240" t="s">
        <v>1130</v>
      </c>
      <c r="F7" s="309">
        <f ca="1">IF(INDIRECT("'数据-取费表'!ah"&amp;$G$1)="",INDIRECT("'数据-取费表'!k"&amp;$G$1),INDIRECT("'数据-取费表'!ah"&amp;$G$1))</f>
        <v>26186.700000000004</v>
      </c>
      <c r="G7" s="1519"/>
      <c r="H7" s="310"/>
      <c r="I7" s="3454"/>
      <c r="J7" s="312"/>
      <c r="K7" s="313"/>
      <c r="L7" s="308" t="s">
        <v>1130</v>
      </c>
      <c r="M7" s="309">
        <f ca="1">F7</f>
        <v>26186.700000000004</v>
      </c>
    </row>
    <row r="8" spans="1:37" ht="18" customHeight="1">
      <c r="A8" s="310"/>
      <c r="B8" s="3454"/>
      <c r="C8" s="312"/>
      <c r="D8" s="313"/>
      <c r="E8" s="308" t="s">
        <v>1131</v>
      </c>
      <c r="F8" s="309">
        <f ca="1">INDIRECT("'数据-取费表'!ai"&amp;$G$1)</f>
        <v>365</v>
      </c>
      <c r="G8" s="1519"/>
      <c r="H8" s="310"/>
      <c r="I8" s="3454"/>
      <c r="J8" s="312"/>
      <c r="K8" s="313"/>
      <c r="L8" s="308" t="s">
        <v>1131</v>
      </c>
      <c r="M8" s="309">
        <f ca="1">INDIRECT("'数据-取费表'!ai"&amp;$G$1)</f>
        <v>365</v>
      </c>
    </row>
    <row r="9" spans="1:37" ht="18" customHeight="1">
      <c r="A9" s="310"/>
      <c r="B9" s="3455"/>
      <c r="C9" s="312"/>
      <c r="D9" s="313"/>
      <c r="E9" s="308" t="s">
        <v>1132</v>
      </c>
      <c r="F9" s="318">
        <f ca="1">INDIRECT("'数据-取费表'!w"&amp;$G$1)</f>
        <v>0.1</v>
      </c>
      <c r="G9" s="1519"/>
      <c r="H9" s="310"/>
      <c r="I9" s="3455"/>
      <c r="J9" s="312"/>
      <c r="K9" s="313"/>
      <c r="L9" s="319" t="s">
        <v>1132</v>
      </c>
      <c r="M9" s="320">
        <f ca="1">INDIRECT("'数据-取费表'!ab"&amp;$G$1)</f>
        <v>0</v>
      </c>
    </row>
    <row r="10" spans="1:37" ht="18" customHeight="1">
      <c r="A10" s="1182" t="s">
        <v>826</v>
      </c>
      <c r="B10" s="1500" t="s">
        <v>1133</v>
      </c>
      <c r="C10" s="322">
        <f ca="1">ROUND(IF(F10="押一",C6/12*F11,IF(F10="押二",C6/12*2*F11,IF(F10="押三",C6/12*3*F11,C11*F11))),0)</f>
        <v>13</v>
      </c>
      <c r="D10" s="1501" t="s">
        <v>2617</v>
      </c>
      <c r="E10" s="319" t="s">
        <v>1134</v>
      </c>
      <c r="F10" s="1229" t="s">
        <v>3446</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16386</v>
      </c>
      <c r="D13" s="3237" t="s">
        <v>1139</v>
      </c>
      <c r="E13" s="3237" t="s">
        <v>1140</v>
      </c>
      <c r="F13" s="1195">
        <f ca="1">INDIRECT("'数据-取费表'!y"&amp;$G$1)</f>
        <v>0.83</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13093</v>
      </c>
      <c r="D14" s="3243" t="s">
        <v>1142</v>
      </c>
      <c r="E14" s="3242"/>
      <c r="F14" s="325"/>
      <c r="G14" s="1519"/>
      <c r="H14" s="1094" t="s">
        <v>822</v>
      </c>
      <c r="I14" s="308" t="s">
        <v>1143</v>
      </c>
      <c r="J14" s="24">
        <f ca="1">C29</f>
        <v>19742</v>
      </c>
      <c r="K14" s="3239"/>
      <c r="L14" s="897"/>
      <c r="M14" s="898"/>
    </row>
    <row r="15" spans="1:37" s="1532" customFormat="1" ht="18" customHeight="1" thickBot="1">
      <c r="A15" s="1094" t="s">
        <v>823</v>
      </c>
      <c r="B15" s="308" t="s">
        <v>1144</v>
      </c>
      <c r="C15" s="24">
        <f ca="1">ROUND(C14*F15,0)</f>
        <v>393</v>
      </c>
      <c r="D15" s="3238" t="s">
        <v>1145</v>
      </c>
      <c r="E15" s="3238"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310</v>
      </c>
      <c r="K16" s="1200" t="s">
        <v>1149</v>
      </c>
      <c r="L16" s="3245"/>
      <c r="M16" s="1185"/>
    </row>
    <row r="17" spans="1:37" s="1532" customFormat="1" ht="18" customHeight="1">
      <c r="A17" s="1094" t="s">
        <v>1114</v>
      </c>
      <c r="B17" s="308" t="s">
        <v>1150</v>
      </c>
      <c r="C17" s="24">
        <f ca="1">ROUND(F17*(F43+INDIRECT("'数据-取费表'!S"&amp;$G$1))/10000,0)</f>
        <v>524</v>
      </c>
      <c r="D17" s="308" t="s">
        <v>1151</v>
      </c>
      <c r="E17" s="308" t="s">
        <v>1152</v>
      </c>
      <c r="F17" s="26">
        <f>'数据-取费表'!B35</f>
        <v>200</v>
      </c>
      <c r="G17" s="1531"/>
      <c r="H17" s="1094" t="s">
        <v>822</v>
      </c>
      <c r="I17" s="308" t="s">
        <v>1153</v>
      </c>
      <c r="J17" s="2485">
        <f ca="1">ROUND(IF(AND(项目基本情况!B11="自然人",项目基本情况!B10="北京市"),J6*M17/(1+'数据-取费表'!C42),J18+J19+J20),0)</f>
        <v>14</v>
      </c>
      <c r="K17" s="3243" t="s">
        <v>1154</v>
      </c>
      <c r="L17" s="3244"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196</v>
      </c>
      <c r="D18" s="308" t="s">
        <v>1145</v>
      </c>
      <c r="E18" s="308" t="s">
        <v>1146</v>
      </c>
      <c r="F18" s="328">
        <f>'数据-取费表'!B36</f>
        <v>1.4999999999999999E-2</v>
      </c>
      <c r="G18" s="1531"/>
      <c r="H18" s="1094" t="s">
        <v>821</v>
      </c>
      <c r="I18" s="308" t="s">
        <v>1157</v>
      </c>
      <c r="J18" s="24">
        <f ca="1">ROUND(J6*M18/(1+'数据-取费表'!C42),2)</f>
        <v>0</v>
      </c>
      <c r="K18" s="3244"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14206</v>
      </c>
      <c r="D19" s="136" t="s">
        <v>1160</v>
      </c>
      <c r="E19" s="3247"/>
      <c r="F19" s="26"/>
      <c r="G19" s="1519"/>
      <c r="H19" s="1094" t="s">
        <v>823</v>
      </c>
      <c r="I19" s="308" t="s">
        <v>1161</v>
      </c>
      <c r="J19" s="24">
        <f ca="1">IF(K19="按租金收入计税",ROUND(J6*M19/(1+'数据-取费表'!C42),2),ROUND(C29*M19*0.7,2))</f>
        <v>0</v>
      </c>
      <c r="K19" s="1505" t="s">
        <v>3234</v>
      </c>
      <c r="L19" s="308" t="s">
        <v>1146</v>
      </c>
      <c r="M19" s="328">
        <f>IF(K19="按租金收入计税",'数据-取费表'!B51,'数据-取费表'!B50)</f>
        <v>0.12</v>
      </c>
    </row>
    <row r="20" spans="1:37" s="1532" customFormat="1" ht="18" customHeight="1">
      <c r="A20" s="1094" t="s">
        <v>826</v>
      </c>
      <c r="B20" s="308" t="s">
        <v>1163</v>
      </c>
      <c r="C20" s="24">
        <f ca="1">ROUND(C19*F20,0)</f>
        <v>355</v>
      </c>
      <c r="D20" s="329" t="s">
        <v>1164</v>
      </c>
      <c r="E20" s="308" t="s">
        <v>1146</v>
      </c>
      <c r="F20" s="328">
        <f>'数据-取费表'!B37</f>
        <v>2.5000000000000001E-2</v>
      </c>
      <c r="G20" s="1531"/>
      <c r="H20" s="1094" t="s">
        <v>1113</v>
      </c>
      <c r="I20" s="160" t="s">
        <v>1165</v>
      </c>
      <c r="J20" s="25">
        <f ca="1">ROUND(M20*M21/10000,2)</f>
        <v>14.04</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2.5000000000000001E-2</v>
      </c>
      <c r="G21" s="1531"/>
      <c r="H21" s="332"/>
      <c r="I21" s="317"/>
      <c r="J21" s="29"/>
      <c r="K21" s="333"/>
      <c r="L21" s="308" t="s">
        <v>1171</v>
      </c>
      <c r="M21" s="309">
        <f ca="1">INDIRECT("'数据-取费表'!r"&amp;$G$1)</f>
        <v>11699.93</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3247"/>
      <c r="F22" s="26"/>
      <c r="G22" s="1519"/>
      <c r="H22" s="1094" t="s">
        <v>826</v>
      </c>
      <c r="I22" s="308" t="s">
        <v>1173</v>
      </c>
      <c r="J22" s="24">
        <f ca="1">ROUND(J14*M22,1)</f>
        <v>296.10000000000002</v>
      </c>
      <c r="K22" s="3244" t="s">
        <v>1174</v>
      </c>
      <c r="L22" s="308" t="s">
        <v>1146</v>
      </c>
      <c r="M22" s="334">
        <f ca="1">INDIRECT("'数据-取费表'!Ak"&amp;$G$1)</f>
        <v>1.4999999999999999E-2</v>
      </c>
    </row>
    <row r="23" spans="1:37" s="1532" customFormat="1" ht="18" customHeight="1">
      <c r="A23" s="1094" t="s">
        <v>821</v>
      </c>
      <c r="B23" s="308" t="s">
        <v>1175</v>
      </c>
      <c r="C23" s="24">
        <f ca="1">IF('数据-取费表'!B22&lt;=1,ROUND(C19*F24*F23/2,0)+ROUND(C20*F24*F23/2,0),ROUND(C19*(POWER((1+F24),F23/2)-1),0)+ROUND(C20*(POWER((1+F24),F23/2)-1),0))</f>
        <v>605</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3244" t="s">
        <v>1178</v>
      </c>
      <c r="L23" s="308" t="s">
        <v>1179</v>
      </c>
      <c r="M23" s="336">
        <f ca="1">INDIRECT("'数据-取费表'!Al"&amp;$G$1)</f>
        <v>1.5E-3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3247"/>
      <c r="F25" s="26"/>
      <c r="G25" s="1519"/>
      <c r="H25" s="1192" t="s">
        <v>818</v>
      </c>
      <c r="I25" s="1207" t="s">
        <v>1187</v>
      </c>
      <c r="J25" s="316">
        <f ca="1">J5-J16</f>
        <v>-310</v>
      </c>
      <c r="K25" s="1208" t="s">
        <v>1188</v>
      </c>
      <c r="L25" s="1209"/>
      <c r="M25" s="1210"/>
    </row>
    <row r="26" spans="1:37">
      <c r="A26" s="1094" t="s">
        <v>821</v>
      </c>
      <c r="B26" s="308" t="s">
        <v>1189</v>
      </c>
      <c r="C26" s="24">
        <f ca="1">ROUND((C19+C20)*F26,0)</f>
        <v>2912</v>
      </c>
      <c r="D26" s="329" t="s">
        <v>1190</v>
      </c>
      <c r="E26" s="319" t="s">
        <v>1191</v>
      </c>
      <c r="F26" s="318">
        <f ca="1">INDIRECT("'数据-取费表'!q"&amp;$G$1)</f>
        <v>0.2</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5.0000000000000001E-3</v>
      </c>
      <c r="D27" s="329" t="s">
        <v>1196</v>
      </c>
      <c r="E27" s="3238"/>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19742</v>
      </c>
      <c r="D29" s="1205"/>
      <c r="E29" s="1203"/>
      <c r="F29" s="1206"/>
      <c r="G29" s="1531"/>
      <c r="H29" s="340" t="s">
        <v>820</v>
      </c>
      <c r="I29" s="341" t="s">
        <v>1203</v>
      </c>
      <c r="J29" s="342">
        <f ca="1">ROUND(J26/(1+F40)^F41,0)</f>
        <v>0</v>
      </c>
      <c r="K29" s="343" t="s">
        <v>1204</v>
      </c>
      <c r="L29" s="344"/>
      <c r="M29" s="345">
        <f ca="1">INDIRECT("'数据-取费表'!k"&amp;$G$1)</f>
        <v>26186.700000000004</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1226</v>
      </c>
      <c r="D30" s="1200" t="s">
        <v>1149</v>
      </c>
      <c r="E30" s="3245"/>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855</v>
      </c>
      <c r="D31" s="3243" t="s">
        <v>1154</v>
      </c>
      <c r="E31" s="3244"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IF(项目基本情况!B11="自然人","——",ROUND(C6*F32/(1+'数据-取费表'!C42),2))</f>
        <v>267.47000000000003</v>
      </c>
      <c r="D32" s="3244"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573.14</v>
      </c>
      <c r="D33" s="1505" t="s">
        <v>3234</v>
      </c>
      <c r="E33" s="308" t="s">
        <v>1146</v>
      </c>
      <c r="F33" s="328">
        <f>IF(D33="按票据","——",IF(D33="按租金收入计税",'数据-取费表'!B51,'数据-取费表'!B50))</f>
        <v>0.12</v>
      </c>
      <c r="G33" s="1519"/>
      <c r="H33" s="2878"/>
      <c r="I33" s="1533"/>
      <c r="J33" s="1534"/>
      <c r="K33" s="2879"/>
      <c r="L33" s="2878"/>
      <c r="M33" s="2878"/>
    </row>
    <row r="34" spans="1:18" ht="18" customHeight="1">
      <c r="A34" s="1182" t="s">
        <v>1113</v>
      </c>
      <c r="B34" s="160" t="s">
        <v>1165</v>
      </c>
      <c r="C34" s="25">
        <f ca="1">IF(项目基本情况!B11="自然人","——",ROUND(F34*F35/10000,2))</f>
        <v>14.04</v>
      </c>
      <c r="D34" s="330" t="s">
        <v>1166</v>
      </c>
      <c r="E34" s="308" t="s">
        <v>1167</v>
      </c>
      <c r="F34" s="331">
        <f>'数据-取费表'!B52</f>
        <v>12</v>
      </c>
      <c r="G34" s="1519"/>
      <c r="H34" s="2875"/>
      <c r="I34" s="1533"/>
      <c r="J34" s="1534"/>
      <c r="K34" s="2880"/>
      <c r="L34" s="2881"/>
      <c r="M34" s="2881"/>
    </row>
    <row r="35" spans="1:18" ht="18" customHeight="1">
      <c r="A35" s="1216"/>
      <c r="B35" s="1214"/>
      <c r="C35" s="29"/>
      <c r="D35" s="333"/>
      <c r="E35" s="308" t="s">
        <v>1171</v>
      </c>
      <c r="F35" s="309">
        <f ca="1">INDIRECT("'数据-取费表'!r"&amp;$G$1)</f>
        <v>11699.93</v>
      </c>
      <c r="G35" s="1519"/>
      <c r="H35" s="2875"/>
      <c r="I35" s="1533"/>
      <c r="J35" s="1534"/>
      <c r="K35" s="2879"/>
      <c r="L35" s="2878"/>
      <c r="M35" s="2878"/>
    </row>
    <row r="36" spans="1:18" ht="18" customHeight="1">
      <c r="A36" s="1215" t="s">
        <v>826</v>
      </c>
      <c r="B36" s="308" t="s">
        <v>1173</v>
      </c>
      <c r="C36" s="24">
        <f ca="1">ROUND(C29*F36,1)</f>
        <v>296.10000000000002</v>
      </c>
      <c r="D36" s="3244" t="s">
        <v>1206</v>
      </c>
      <c r="E36" s="308" t="s">
        <v>1146</v>
      </c>
      <c r="F36" s="334">
        <f ca="1">INDIRECT("'数据-取费表'!Ak"&amp;$G$1)</f>
        <v>1.4999999999999999E-2</v>
      </c>
      <c r="G36" s="1519"/>
      <c r="H36" s="2878"/>
      <c r="I36" s="1533"/>
      <c r="J36" s="1534"/>
      <c r="K36" s="2719"/>
      <c r="L36" s="2878"/>
      <c r="M36" s="2878"/>
    </row>
    <row r="37" spans="1:18" ht="18" customHeight="1">
      <c r="A37" s="1094" t="s">
        <v>862</v>
      </c>
      <c r="B37" s="308" t="s">
        <v>1177</v>
      </c>
      <c r="C37" s="24">
        <f ca="1">ROUND(C13*F37,1)</f>
        <v>24.6</v>
      </c>
      <c r="D37" s="3244" t="s">
        <v>1178</v>
      </c>
      <c r="E37" s="308" t="s">
        <v>1179</v>
      </c>
      <c r="F37" s="336">
        <f ca="1">INDIRECT("'数据-取费表'!Al"&amp;$G$1)</f>
        <v>1.5E-3</v>
      </c>
      <c r="G37" s="1519"/>
      <c r="H37" s="2878"/>
      <c r="I37" s="1533"/>
      <c r="J37" s="1534"/>
      <c r="K37" s="2719"/>
      <c r="L37" s="2878"/>
      <c r="M37" s="2878"/>
    </row>
    <row r="38" spans="1:18" ht="18" customHeight="1" thickBot="1">
      <c r="A38" s="1202" t="s">
        <v>1117</v>
      </c>
      <c r="B38" s="1203" t="s">
        <v>1163</v>
      </c>
      <c r="C38" s="1204">
        <f ca="1">ROUND(C5*F38,1)</f>
        <v>50.3</v>
      </c>
      <c r="D38" s="1205" t="s">
        <v>1183</v>
      </c>
      <c r="E38" s="1203" t="s">
        <v>1179</v>
      </c>
      <c r="F38" s="1199">
        <f ca="1">INDIRECT("'数据-取费表'!Am"&amp;$G$1)</f>
        <v>0.01</v>
      </c>
      <c r="G38" s="1519"/>
      <c r="H38" s="2878"/>
      <c r="I38" s="1533"/>
      <c r="J38" s="1534"/>
      <c r="K38" s="2882"/>
      <c r="L38" s="2878"/>
      <c r="M38" s="2878"/>
    </row>
    <row r="39" spans="1:18" ht="24.6" customHeight="1" thickTop="1">
      <c r="A39" s="1192" t="s">
        <v>818</v>
      </c>
      <c r="B39" s="1207" t="s">
        <v>1207</v>
      </c>
      <c r="C39" s="316">
        <f ca="1">C5-C30</f>
        <v>3802</v>
      </c>
      <c r="D39" s="1208" t="s">
        <v>1208</v>
      </c>
      <c r="E39" s="1209"/>
      <c r="F39" s="1210"/>
      <c r="G39" s="1519"/>
      <c r="H39" s="2878"/>
      <c r="I39" s="1533"/>
      <c r="J39" s="1534"/>
      <c r="K39" s="2882"/>
      <c r="L39" s="2878"/>
      <c r="M39" s="2878"/>
    </row>
    <row r="40" spans="1:18" ht="18" customHeight="1">
      <c r="A40" s="305" t="s">
        <v>819</v>
      </c>
      <c r="B40" s="306" t="s">
        <v>1209</v>
      </c>
      <c r="C40" s="307">
        <f ca="1">ROUND(C39*(1-((1+F42)/(1+F40))^F41)/(F40-F42),0)</f>
        <v>58377</v>
      </c>
      <c r="D40" s="330" t="s">
        <v>1193</v>
      </c>
      <c r="E40" s="308" t="s">
        <v>1194</v>
      </c>
      <c r="F40" s="318">
        <f ca="1">INDIRECT("'数据-取费表'!I"&amp;$G$1)</f>
        <v>5.5E-2</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21.4</v>
      </c>
      <c r="G41" s="1519"/>
      <c r="H41" s="1306"/>
      <c r="I41" s="1533"/>
      <c r="J41" s="1534"/>
      <c r="K41" s="2719"/>
      <c r="L41" s="1306"/>
      <c r="M41" s="1306"/>
    </row>
    <row r="42" spans="1:18" ht="18" customHeight="1">
      <c r="A42" s="314"/>
      <c r="B42" s="315"/>
      <c r="C42" s="316"/>
      <c r="D42" s="333"/>
      <c r="E42" s="308" t="s">
        <v>1201</v>
      </c>
      <c r="F42" s="318">
        <f ca="1">INDIRECT("'数据-取费表'!v"&amp;$G$1)</f>
        <v>2.5000000000000001E-2</v>
      </c>
      <c r="G42" s="1519"/>
      <c r="H42" s="1306"/>
      <c r="I42" s="1533"/>
      <c r="J42" s="1534"/>
      <c r="K42" s="2719"/>
      <c r="L42" s="1306"/>
      <c r="M42" s="1306"/>
    </row>
    <row r="43" spans="1:18" ht="18" customHeight="1" thickBot="1">
      <c r="A43" s="340" t="s">
        <v>820</v>
      </c>
      <c r="B43" s="341" t="s">
        <v>1211</v>
      </c>
      <c r="C43" s="342">
        <f ca="1">ROUND(C40*10000/F43,0)</f>
        <v>22293</v>
      </c>
      <c r="D43" s="343" t="s">
        <v>1212</v>
      </c>
      <c r="E43" s="344" t="s">
        <v>1213</v>
      </c>
      <c r="F43" s="345">
        <f ca="1">INDIRECT("'数据-取费表'!k"&amp;$G$1)</f>
        <v>26186.700000000004</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-83091</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3231</v>
      </c>
      <c r="K47" s="1551" t="s">
        <v>1251</v>
      </c>
      <c r="L47" s="1552">
        <f ca="1">INDIRECT("'数据-取费表'!d"&amp;$G$1)</f>
        <v>40</v>
      </c>
      <c r="M47" s="1515" t="str">
        <f>IF(ISNUMBER(FIND("住宅",C1)),"住宅","非住宅")</f>
        <v>非住宅</v>
      </c>
      <c r="O47" s="1553" t="s">
        <v>827</v>
      </c>
      <c r="P47" s="1554" t="s">
        <v>1252</v>
      </c>
      <c r="Q47" s="1555">
        <f ca="1">C40+J29</f>
        <v>58377</v>
      </c>
      <c r="R47" s="1555" t="s">
        <v>1253</v>
      </c>
    </row>
    <row r="48" spans="1:18" s="1519" customFormat="1" ht="28.5" thickBot="1">
      <c r="A48" s="1223" t="s">
        <v>863</v>
      </c>
      <c r="B48" s="306" t="s">
        <v>1125</v>
      </c>
      <c r="C48" s="3246">
        <f ca="1">C49+C53+C55</f>
        <v>0</v>
      </c>
      <c r="D48" s="1225"/>
      <c r="E48" s="1226"/>
      <c r="F48" s="1074"/>
      <c r="G48" s="731"/>
      <c r="H48" s="732"/>
      <c r="I48" s="1556" t="s">
        <v>1254</v>
      </c>
      <c r="J48" s="1557" t="s">
        <v>3232</v>
      </c>
      <c r="K48" s="1558" t="s">
        <v>1255</v>
      </c>
      <c r="L48" s="1559">
        <f ca="1">INDIRECT("'数据-取费表'!f"&amp;$G$1)</f>
        <v>21.4</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2007</v>
      </c>
      <c r="K49" s="1558" t="s">
        <v>1259</v>
      </c>
      <c r="L49" s="1562"/>
      <c r="O49" s="1563" t="s">
        <v>829</v>
      </c>
      <c r="P49" s="1554" t="s">
        <v>1260</v>
      </c>
      <c r="Q49" s="1555">
        <f ca="1">C29</f>
        <v>19742</v>
      </c>
      <c r="R49" s="1555" t="s">
        <v>1253</v>
      </c>
    </row>
    <row r="50" spans="1:18" s="1519" customFormat="1" ht="13.5" thickBot="1">
      <c r="A50" s="1088"/>
      <c r="B50" s="1091"/>
      <c r="C50" s="1231"/>
      <c r="D50" s="1065"/>
      <c r="E50" s="1168" t="s">
        <v>1130</v>
      </c>
      <c r="F50" s="1169">
        <f ca="1">F7</f>
        <v>26186.700000000004</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45</v>
      </c>
      <c r="K51" s="1569" t="s">
        <v>1265</v>
      </c>
      <c r="L51" s="1570">
        <f ca="1">ROUND(-PV(INDIRECT("'数据-取费表'!h"&amp;$G$1),J51,(C39-C13*C76),0),0)</f>
        <v>47190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21.4</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21.4</v>
      </c>
      <c r="K53" s="3456" t="s">
        <v>1272</v>
      </c>
      <c r="L53" s="3457"/>
      <c r="O53" s="1553" t="s">
        <v>833</v>
      </c>
      <c r="P53" s="1554" t="s">
        <v>1273</v>
      </c>
      <c r="Q53" s="1555">
        <f ca="1">Q47+Q48</f>
        <v>58377</v>
      </c>
      <c r="R53" s="1555" t="s">
        <v>834</v>
      </c>
    </row>
    <row r="54" spans="1:18" s="1519" customFormat="1" ht="13.5" thickBot="1">
      <c r="A54" s="1268"/>
      <c r="B54" s="1502" t="s">
        <v>1112</v>
      </c>
      <c r="C54" s="1071"/>
      <c r="D54" s="1501"/>
      <c r="E54" s="3241"/>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3241"/>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16386</v>
      </c>
      <c r="D56" s="1582"/>
      <c r="E56" s="1583"/>
      <c r="F56" s="1575"/>
      <c r="I56" s="1584" t="s">
        <v>1278</v>
      </c>
      <c r="J56" s="1585" t="s">
        <v>3227</v>
      </c>
      <c r="K56" s="1556" t="s">
        <v>1279</v>
      </c>
      <c r="L56" s="1559" t="str">
        <f ca="1">IF(L48&lt;J51,"——",L48-J53)</f>
        <v>——</v>
      </c>
      <c r="O56" s="1553" t="s">
        <v>827</v>
      </c>
      <c r="P56" s="1554" t="s">
        <v>1252</v>
      </c>
      <c r="Q56" s="1555">
        <f ca="1">C40+J29</f>
        <v>58377</v>
      </c>
      <c r="R56" s="1555" t="s">
        <v>1253</v>
      </c>
    </row>
    <row r="57" spans="1:18" s="1519" customFormat="1" ht="24.75" thickBot="1">
      <c r="A57" s="1586"/>
      <c r="B57" s="1062" t="s">
        <v>1202</v>
      </c>
      <c r="C57" s="244">
        <f ca="1">C29</f>
        <v>19742</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1993</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1672</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1658.33</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14.04</v>
      </c>
      <c r="D62" s="1077" t="s">
        <v>1221</v>
      </c>
      <c r="E62" s="1062" t="s">
        <v>1222</v>
      </c>
      <c r="F62" s="331">
        <f t="shared" si="0"/>
        <v>12</v>
      </c>
      <c r="I62" s="1597" t="s">
        <v>1294</v>
      </c>
      <c r="J62" s="1598" t="s">
        <v>1295</v>
      </c>
      <c r="K62" s="1598" t="s">
        <v>1296</v>
      </c>
      <c r="L62" s="1598" t="s">
        <v>1297</v>
      </c>
      <c r="M62" s="1599" t="s">
        <v>1298</v>
      </c>
      <c r="O62" s="1553" t="s">
        <v>833</v>
      </c>
      <c r="P62" s="1554" t="s">
        <v>1299</v>
      </c>
      <c r="Q62" s="1555">
        <f ca="1">Q56+Q57</f>
        <v>58377</v>
      </c>
      <c r="R62" s="1555" t="s">
        <v>834</v>
      </c>
    </row>
    <row r="63" spans="1:18" s="1519" customFormat="1" ht="13.5" thickBot="1">
      <c r="A63" s="332"/>
      <c r="B63" s="1068"/>
      <c r="C63" s="29"/>
      <c r="D63" s="1078"/>
      <c r="E63" s="1062" t="s">
        <v>1223</v>
      </c>
      <c r="F63" s="309">
        <f t="shared" ca="1" si="0"/>
        <v>11699.93</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296.10000000000002</v>
      </c>
      <c r="D64" s="1076" t="s">
        <v>1226</v>
      </c>
      <c r="E64" s="1062" t="s">
        <v>1218</v>
      </c>
      <c r="F64" s="334">
        <f t="shared" ca="1" si="0"/>
        <v>1.4999999999999999E-2</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24.6</v>
      </c>
      <c r="D65" s="1076" t="s">
        <v>1178</v>
      </c>
      <c r="E65" s="1062" t="s">
        <v>1179</v>
      </c>
      <c r="F65" s="336">
        <f t="shared" ca="1" si="0"/>
        <v>1.5E-3</v>
      </c>
      <c r="I65" s="1597" t="s">
        <v>1303</v>
      </c>
      <c r="J65" s="1598">
        <v>40</v>
      </c>
      <c r="K65" s="1598">
        <v>30</v>
      </c>
      <c r="L65" s="1598">
        <v>50</v>
      </c>
      <c r="M65" s="1600">
        <v>0.02</v>
      </c>
      <c r="O65" s="1553" t="s">
        <v>827</v>
      </c>
      <c r="P65" s="1554" t="s">
        <v>1304</v>
      </c>
      <c r="Q65" s="1555">
        <f ca="1">C40+J29</f>
        <v>58377</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-1993</v>
      </c>
      <c r="D67" s="1075" t="s">
        <v>1188</v>
      </c>
      <c r="E67" s="1080"/>
      <c r="F67" s="1081"/>
      <c r="O67" s="1563" t="s">
        <v>829</v>
      </c>
      <c r="P67" s="1554" t="s">
        <v>1286</v>
      </c>
      <c r="Q67" s="1601">
        <f ca="1">L51</f>
        <v>47190</v>
      </c>
      <c r="R67" s="1555" t="s">
        <v>1306</v>
      </c>
    </row>
    <row r="68" spans="1:18" s="1519" customFormat="1" ht="16.5" thickBot="1">
      <c r="A68" s="1059" t="s">
        <v>819</v>
      </c>
      <c r="B68" s="1060" t="s">
        <v>1209</v>
      </c>
      <c r="C68" s="307">
        <f ca="1">ROUND(C67*(1-((1+F70)/(1+F68))^F69)/(F68-F70),0)</f>
        <v>-24714</v>
      </c>
      <c r="D68" s="1077" t="s">
        <v>1193</v>
      </c>
      <c r="E68" s="1062" t="s">
        <v>1194</v>
      </c>
      <c r="F68" s="318">
        <f ca="1">F40</f>
        <v>5.5E-2</v>
      </c>
      <c r="O68" s="1563" t="s">
        <v>830</v>
      </c>
      <c r="P68" s="1602" t="s">
        <v>1307</v>
      </c>
      <c r="Q68" s="1555">
        <f ca="1">ROUND(Q69-Q70*Q71,0)</f>
        <v>2655</v>
      </c>
      <c r="R68" s="1555" t="s">
        <v>838</v>
      </c>
    </row>
    <row r="69" spans="1:18" s="1519" customFormat="1" ht="13.5" thickBot="1">
      <c r="A69" s="1063"/>
      <c r="B69" s="1064"/>
      <c r="C69" s="312"/>
      <c r="D69" s="1082" t="s">
        <v>1197</v>
      </c>
      <c r="E69" s="1062" t="s">
        <v>1198</v>
      </c>
      <c r="F69" s="339">
        <f ca="1">F41</f>
        <v>21.4</v>
      </c>
      <c r="O69" s="1563" t="s">
        <v>835</v>
      </c>
      <c r="P69" s="1602" t="s">
        <v>1308</v>
      </c>
      <c r="Q69" s="1555">
        <f ca="1">C39</f>
        <v>3802</v>
      </c>
      <c r="R69" s="1555" t="s">
        <v>1253</v>
      </c>
    </row>
    <row r="70" spans="1:18" s="1519" customFormat="1" ht="13.5" thickBot="1">
      <c r="A70" s="1066"/>
      <c r="B70" s="1067"/>
      <c r="C70" s="316"/>
      <c r="D70" s="1078"/>
      <c r="E70" s="1062" t="s">
        <v>1201</v>
      </c>
      <c r="F70" s="1166"/>
      <c r="O70" s="1563" t="s">
        <v>836</v>
      </c>
      <c r="P70" s="1602" t="s">
        <v>1309</v>
      </c>
      <c r="Q70" s="1555">
        <f ca="1">C13</f>
        <v>16386</v>
      </c>
      <c r="R70" s="1555" t="s">
        <v>1253</v>
      </c>
    </row>
    <row r="71" spans="1:18" s="1519" customFormat="1" ht="13.5" thickBot="1">
      <c r="A71" s="1083" t="s">
        <v>820</v>
      </c>
      <c r="B71" s="1084" t="s">
        <v>1211</v>
      </c>
      <c r="C71" s="342">
        <f ca="1">ROUND(C68*10000/F71,0)</f>
        <v>-9438</v>
      </c>
      <c r="D71" s="1085" t="s">
        <v>1212</v>
      </c>
      <c r="E71" s="1086" t="s">
        <v>1213</v>
      </c>
      <c r="F71" s="345">
        <f ca="1">F43</f>
        <v>26186.700000000004</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1147</v>
      </c>
      <c r="D75" s="1519"/>
      <c r="E75" s="1519"/>
      <c r="F75" s="1519"/>
      <c r="K75" s="1537"/>
      <c r="L75" s="1519"/>
      <c r="O75" s="1553" t="s">
        <v>833</v>
      </c>
      <c r="P75" s="1554" t="s">
        <v>1273</v>
      </c>
      <c r="Q75" s="1555">
        <f ca="1">Q65+Q66</f>
        <v>58377</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0.69799999999999995</v>
      </c>
    </row>
    <row r="80" spans="1:18">
      <c r="B80" s="346" t="s">
        <v>1235</v>
      </c>
      <c r="C80" s="280">
        <f ca="1">ROUND(C75/C39,3)</f>
        <v>0.30199999999999999</v>
      </c>
    </row>
    <row r="81" spans="2:3">
      <c r="B81" s="276" t="s">
        <v>1236</v>
      </c>
      <c r="C81" s="244"/>
    </row>
    <row r="82" spans="2:3">
      <c r="B82" s="279" t="s">
        <v>1237</v>
      </c>
      <c r="C82" s="281">
        <f ca="1">1-C83</f>
        <v>0.71899999999999997</v>
      </c>
    </row>
    <row r="83" spans="2:3">
      <c r="B83" s="279" t="s">
        <v>1238</v>
      </c>
      <c r="C83" s="280">
        <f ca="1">ROUND(C13/C40,3)</f>
        <v>0.28100000000000003</v>
      </c>
    </row>
  </sheetData>
  <sheetProtection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E3" sqref="E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48</v>
      </c>
      <c r="D1" s="1497" t="s">
        <v>70</v>
      </c>
      <c r="E1" s="1498" t="s">
        <v>1111</v>
      </c>
      <c r="F1" s="1174">
        <f ca="1">J53</f>
        <v>31.41</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4417</v>
      </c>
      <c r="C2" s="1522" t="s">
        <v>1240</v>
      </c>
      <c r="D2" s="1522"/>
      <c r="E2" s="1523"/>
      <c r="F2" s="3260"/>
      <c r="G2" s="2884"/>
      <c r="H2" s="2873"/>
      <c r="I2" s="2873"/>
      <c r="J2" s="2873"/>
      <c r="K2" s="2874"/>
      <c r="L2" s="2873"/>
      <c r="M2" s="2873"/>
    </row>
    <row r="3" spans="1:37" ht="18" customHeight="1" thickBot="1">
      <c r="A3" s="1525" t="s">
        <v>1241</v>
      </c>
      <c r="B3" s="1526">
        <f ca="1">IF(ISERROR(B2*10000/F43),0,ROUND(B2*10000/F43,0))</f>
        <v>3103</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374</v>
      </c>
      <c r="D5" s="1499" t="s">
        <v>1126</v>
      </c>
      <c r="E5" s="1184"/>
      <c r="F5" s="1185"/>
      <c r="G5" s="1519"/>
      <c r="H5" s="305">
        <v>1</v>
      </c>
      <c r="I5" s="306" t="s">
        <v>1125</v>
      </c>
      <c r="J5" s="1183">
        <f ca="1">J6+J10+J12</f>
        <v>0</v>
      </c>
      <c r="K5" s="1499" t="s">
        <v>1126</v>
      </c>
      <c r="L5" s="1184"/>
      <c r="M5" s="1185"/>
    </row>
    <row r="6" spans="1:37" ht="18" customHeight="1">
      <c r="A6" s="1182" t="s">
        <v>822</v>
      </c>
      <c r="B6" s="3453" t="s">
        <v>1127</v>
      </c>
      <c r="C6" s="1187">
        <f ca="1">ROUND(F6*F8*F7*(1-F9)/10000,0)</f>
        <v>374</v>
      </c>
      <c r="D6" s="160" t="s">
        <v>2609</v>
      </c>
      <c r="E6" s="308" t="s">
        <v>1129</v>
      </c>
      <c r="F6" s="309">
        <f ca="1">INDIRECT("'数据-取费表'!u"&amp;$G$1)</f>
        <v>0.8</v>
      </c>
      <c r="G6" s="1519"/>
      <c r="H6" s="1182" t="s">
        <v>822</v>
      </c>
      <c r="I6" s="3453" t="s">
        <v>1127</v>
      </c>
      <c r="J6" s="307">
        <f ca="1">ROUND(M6*M8*M7*(1-M9)/10000,0)</f>
        <v>0</v>
      </c>
      <c r="K6" s="160" t="s">
        <v>2608</v>
      </c>
      <c r="L6" s="308" t="s">
        <v>1129</v>
      </c>
      <c r="M6" s="309">
        <f ca="1">INDIRECT("'数据-取费表'!z"&amp;$G$1)</f>
        <v>0</v>
      </c>
    </row>
    <row r="7" spans="1:37" ht="18" customHeight="1">
      <c r="A7" s="1186"/>
      <c r="B7" s="3454"/>
      <c r="C7" s="1188"/>
      <c r="D7" s="313"/>
      <c r="E7" s="1189" t="s">
        <v>1130</v>
      </c>
      <c r="F7" s="309">
        <f ca="1">IF(INDIRECT("'数据-取费表'!ah"&amp;$G$1)="",INDIRECT("'数据-取费表'!k"&amp;$G$1),INDIRECT("'数据-取费表'!ah"&amp;$G$1))</f>
        <v>14235.169999999998</v>
      </c>
      <c r="G7" s="1519"/>
      <c r="H7" s="310"/>
      <c r="I7" s="3454"/>
      <c r="J7" s="312"/>
      <c r="K7" s="313"/>
      <c r="L7" s="308" t="s">
        <v>1130</v>
      </c>
      <c r="M7" s="309">
        <f ca="1">F7</f>
        <v>14235.169999999998</v>
      </c>
    </row>
    <row r="8" spans="1:37" ht="18" customHeight="1">
      <c r="A8" s="310"/>
      <c r="B8" s="3454"/>
      <c r="C8" s="312"/>
      <c r="D8" s="313"/>
      <c r="E8" s="308" t="s">
        <v>1131</v>
      </c>
      <c r="F8" s="309">
        <f ca="1">INDIRECT("'数据-取费表'!ai"&amp;$G$1)</f>
        <v>365</v>
      </c>
      <c r="G8" s="1519"/>
      <c r="H8" s="310"/>
      <c r="I8" s="3454"/>
      <c r="J8" s="312"/>
      <c r="K8" s="313"/>
      <c r="L8" s="308" t="s">
        <v>1131</v>
      </c>
      <c r="M8" s="309">
        <f ca="1">INDIRECT("'数据-取费表'!ai"&amp;$G$1)</f>
        <v>365</v>
      </c>
    </row>
    <row r="9" spans="1:37" ht="18" customHeight="1">
      <c r="A9" s="310"/>
      <c r="B9" s="3455"/>
      <c r="C9" s="312"/>
      <c r="D9" s="313"/>
      <c r="E9" s="308" t="s">
        <v>1132</v>
      </c>
      <c r="F9" s="318">
        <f ca="1">INDIRECT("'数据-取费表'!w"&amp;$G$1)</f>
        <v>0.1</v>
      </c>
      <c r="G9" s="1519"/>
      <c r="H9" s="310"/>
      <c r="I9" s="3455"/>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t="s">
        <v>3233</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7048</v>
      </c>
      <c r="D13" s="1194" t="s">
        <v>1139</v>
      </c>
      <c r="E13" s="1194" t="s">
        <v>1140</v>
      </c>
      <c r="F13" s="1195">
        <f ca="1">INDIRECT("'数据-取费表'!y"&amp;$G$1)</f>
        <v>0.83</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6406</v>
      </c>
      <c r="D14" s="1480" t="s">
        <v>1142</v>
      </c>
      <c r="E14" s="1477"/>
      <c r="F14" s="325"/>
      <c r="G14" s="1519"/>
      <c r="H14" s="1094" t="s">
        <v>822</v>
      </c>
      <c r="I14" s="308" t="s">
        <v>1143</v>
      </c>
      <c r="J14" s="24">
        <f ca="1">C29</f>
        <v>8492</v>
      </c>
      <c r="K14" s="15"/>
      <c r="L14" s="897"/>
      <c r="M14" s="898"/>
    </row>
    <row r="15" spans="1:37" s="1532" customFormat="1" ht="18" customHeight="1" thickBot="1">
      <c r="A15" s="1094" t="s">
        <v>823</v>
      </c>
      <c r="B15" s="308" t="s">
        <v>1144</v>
      </c>
      <c r="C15" s="24">
        <f ca="1">ROUND(C14*F15,0)</f>
        <v>192</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164</v>
      </c>
      <c r="K16" s="1200" t="s">
        <v>1149</v>
      </c>
      <c r="L16" s="1201"/>
      <c r="M16" s="1185"/>
    </row>
    <row r="17" spans="1:37" s="1532" customFormat="1" ht="18" customHeight="1">
      <c r="A17" s="1094" t="s">
        <v>1114</v>
      </c>
      <c r="B17" s="308" t="s">
        <v>1150</v>
      </c>
      <c r="C17" s="24">
        <f ca="1">ROUND(F17*(F43+INDIRECT("'数据-取费表'!S"&amp;$G$1))/10000,0)</f>
        <v>285</v>
      </c>
      <c r="D17" s="308" t="s">
        <v>1151</v>
      </c>
      <c r="E17" s="308" t="s">
        <v>1152</v>
      </c>
      <c r="F17" s="26">
        <f>'数据-取费表'!B35</f>
        <v>200</v>
      </c>
      <c r="G17" s="1531"/>
      <c r="H17" s="1094" t="s">
        <v>822</v>
      </c>
      <c r="I17" s="308" t="s">
        <v>1153</v>
      </c>
      <c r="J17" s="2485">
        <f ca="1">ROUND(IF(AND(项目基本情况!B11="自然人",项目基本情况!B10="北京市"),J6*M17/(1+'数据-取费表'!C42),J18+J19+J20),0)</f>
        <v>79</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96</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6979</v>
      </c>
      <c r="D19" s="136" t="s">
        <v>1160</v>
      </c>
      <c r="E19" s="1495"/>
      <c r="F19" s="26"/>
      <c r="G19" s="1519"/>
      <c r="H19" s="1094" t="s">
        <v>823</v>
      </c>
      <c r="I19" s="308" t="s">
        <v>1161</v>
      </c>
      <c r="J19" s="24">
        <f ca="1">IF(K19="按租金收入计税",ROUND(J6*M19/(1+'数据-取费表'!C42),2),ROUND(C29*M19*0.7,2))</f>
        <v>71.33</v>
      </c>
      <c r="K19" s="1505" t="s">
        <v>1162</v>
      </c>
      <c r="L19" s="308" t="s">
        <v>1146</v>
      </c>
      <c r="M19" s="328">
        <f>IF(K19="按租金收入计税",'数据-取费表'!B51,'数据-取费表'!B50)</f>
        <v>1.2E-2</v>
      </c>
    </row>
    <row r="20" spans="1:37" s="1532" customFormat="1" ht="18" customHeight="1">
      <c r="A20" s="1094" t="s">
        <v>826</v>
      </c>
      <c r="B20" s="308" t="s">
        <v>1163</v>
      </c>
      <c r="C20" s="24">
        <f ca="1">ROUND(C19*F20,0)</f>
        <v>174</v>
      </c>
      <c r="D20" s="329" t="s">
        <v>1164</v>
      </c>
      <c r="E20" s="308" t="s">
        <v>1146</v>
      </c>
      <c r="F20" s="328">
        <f>'数据-取费表'!B37</f>
        <v>2.5000000000000001E-2</v>
      </c>
      <c r="G20" s="1531"/>
      <c r="H20" s="1094" t="s">
        <v>1113</v>
      </c>
      <c r="I20" s="160" t="s">
        <v>1165</v>
      </c>
      <c r="J20" s="25">
        <f ca="1">ROUND(M20*M21/10000,2)</f>
        <v>7.63</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2.5000000000000001E-2</v>
      </c>
      <c r="G21" s="1531"/>
      <c r="H21" s="332"/>
      <c r="I21" s="317"/>
      <c r="J21" s="29"/>
      <c r="K21" s="333"/>
      <c r="L21" s="308" t="s">
        <v>1171</v>
      </c>
      <c r="M21" s="309">
        <f ca="1">INDIRECT("'数据-取费表'!r"&amp;$G$1)</f>
        <v>6360.12</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ROUND(J14*M22,1)</f>
        <v>84.9</v>
      </c>
      <c r="K22" s="1479" t="s">
        <v>1174</v>
      </c>
      <c r="L22" s="308" t="s">
        <v>1146</v>
      </c>
      <c r="M22" s="334">
        <f ca="1">INDIRECT("'数据-取费表'!Ak"&amp;$G$1)</f>
        <v>0.01</v>
      </c>
    </row>
    <row r="23" spans="1:37" s="1532" customFormat="1" ht="18" customHeight="1">
      <c r="A23" s="1094" t="s">
        <v>821</v>
      </c>
      <c r="B23" s="308" t="s">
        <v>1175</v>
      </c>
      <c r="C23" s="24">
        <f ca="1">IF('数据-取费表'!B22&lt;=1,ROUND(C19*F24*F23/2,0)+ROUND(C20*F24*F23/2,0),ROUND(C19*(POWER((1+F24),F23/2)-1),0)+ROUND(C20*(POWER((1+F24),F23/2)-1),0))</f>
        <v>297</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-164</v>
      </c>
      <c r="K25" s="1208" t="s">
        <v>1188</v>
      </c>
      <c r="L25" s="1209"/>
      <c r="M25" s="1210"/>
    </row>
    <row r="26" spans="1:37">
      <c r="A26" s="1094" t="s">
        <v>821</v>
      </c>
      <c r="B26" s="308" t="s">
        <v>1189</v>
      </c>
      <c r="C26" s="24">
        <f ca="1">ROUND((C19+C20)*F26,0)</f>
        <v>358</v>
      </c>
      <c r="D26" s="329" t="s">
        <v>1190</v>
      </c>
      <c r="E26" s="319" t="s">
        <v>1191</v>
      </c>
      <c r="F26" s="318">
        <f ca="1">INDIRECT("'数据-取费表'!q"&amp;$G$1)</f>
        <v>0.05</v>
      </c>
      <c r="G26" s="1519"/>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1.2999999999999999E-3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8492</v>
      </c>
      <c r="D29" s="1205"/>
      <c r="E29" s="1203"/>
      <c r="F29" s="1206"/>
      <c r="G29" s="1531"/>
      <c r="H29" s="340" t="s">
        <v>820</v>
      </c>
      <c r="I29" s="341" t="s">
        <v>1203</v>
      </c>
      <c r="J29" s="342">
        <f ca="1">ROUND(J26/(1+F40)^F41,0)</f>
        <v>0</v>
      </c>
      <c r="K29" s="343" t="s">
        <v>1204</v>
      </c>
      <c r="L29" s="344"/>
      <c r="M29" s="345">
        <f ca="1">INDIRECT("'数据-取费表'!k"&amp;$G$1)</f>
        <v>14235.169999999998</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166</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70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IF(项目基本情况!B11="自然人","——",ROUND(C6*F32/(1+'数据-取费表'!C42),2))</f>
        <v>19.95</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42.74</v>
      </c>
      <c r="D33" s="1505" t="s">
        <v>3234</v>
      </c>
      <c r="E33" s="308" t="s">
        <v>1146</v>
      </c>
      <c r="F33" s="328">
        <f>IF(D33="按票据","——",IF(D33="按租金收入计税",'数据-取费表'!B51,'数据-取费表'!B50))</f>
        <v>0.12</v>
      </c>
      <c r="G33" s="1519"/>
      <c r="H33" s="2878"/>
      <c r="I33" s="1533"/>
      <c r="J33" s="1534"/>
      <c r="K33" s="2879"/>
      <c r="L33" s="2878"/>
      <c r="M33" s="2878"/>
    </row>
    <row r="34" spans="1:18" ht="18" customHeight="1">
      <c r="A34" s="1182" t="s">
        <v>1113</v>
      </c>
      <c r="B34" s="160" t="s">
        <v>1165</v>
      </c>
      <c r="C34" s="25">
        <f ca="1">IF(项目基本情况!B11="自然人","——",ROUND(F34*F35/10000,2))</f>
        <v>7.63</v>
      </c>
      <c r="D34" s="330" t="s">
        <v>1166</v>
      </c>
      <c r="E34" s="308" t="s">
        <v>1167</v>
      </c>
      <c r="F34" s="331">
        <f>'数据-取费表'!B52</f>
        <v>12</v>
      </c>
      <c r="G34" s="1519"/>
      <c r="H34" s="2875"/>
      <c r="I34" s="1533"/>
      <c r="J34" s="1534"/>
      <c r="K34" s="2880"/>
      <c r="L34" s="2881"/>
      <c r="M34" s="2881"/>
    </row>
    <row r="35" spans="1:18" ht="18" customHeight="1">
      <c r="A35" s="1216"/>
      <c r="B35" s="1214"/>
      <c r="C35" s="29"/>
      <c r="D35" s="333"/>
      <c r="E35" s="308" t="s">
        <v>1171</v>
      </c>
      <c r="F35" s="309">
        <f ca="1">INDIRECT("'数据-取费表'!r"&amp;$G$1)</f>
        <v>6360.12</v>
      </c>
      <c r="G35" s="1519"/>
      <c r="H35" s="2875"/>
      <c r="I35" s="1533"/>
      <c r="J35" s="1534"/>
      <c r="K35" s="2879"/>
      <c r="L35" s="2878"/>
      <c r="M35" s="2878"/>
    </row>
    <row r="36" spans="1:18" ht="18" customHeight="1">
      <c r="A36" s="1215" t="s">
        <v>826</v>
      </c>
      <c r="B36" s="308" t="s">
        <v>1173</v>
      </c>
      <c r="C36" s="24">
        <f ca="1">ROUND(C29*F36,1)</f>
        <v>84.9</v>
      </c>
      <c r="D36" s="1479" t="s">
        <v>1206</v>
      </c>
      <c r="E36" s="308" t="s">
        <v>1146</v>
      </c>
      <c r="F36" s="334">
        <f ca="1">INDIRECT("'数据-取费表'!Ak"&amp;$G$1)</f>
        <v>0.01</v>
      </c>
      <c r="G36" s="1519"/>
      <c r="H36" s="2878"/>
      <c r="I36" s="1533"/>
      <c r="J36" s="1534"/>
      <c r="K36" s="2719"/>
      <c r="L36" s="2878"/>
      <c r="M36" s="2878"/>
    </row>
    <row r="37" spans="1:18" ht="18" customHeight="1">
      <c r="A37" s="1094" t="s">
        <v>862</v>
      </c>
      <c r="B37" s="308" t="s">
        <v>1177</v>
      </c>
      <c r="C37" s="24">
        <f ca="1">ROUND(C13*F37,1)</f>
        <v>7</v>
      </c>
      <c r="D37" s="1479" t="s">
        <v>1178</v>
      </c>
      <c r="E37" s="308" t="s">
        <v>1179</v>
      </c>
      <c r="F37" s="336">
        <f ca="1">INDIRECT("'数据-取费表'!Al"&amp;$G$1)</f>
        <v>1E-3</v>
      </c>
      <c r="G37" s="1519"/>
      <c r="H37" s="2878"/>
      <c r="I37" s="1533"/>
      <c r="J37" s="1534"/>
      <c r="K37" s="2719"/>
      <c r="L37" s="2878"/>
      <c r="M37" s="2878"/>
    </row>
    <row r="38" spans="1:18" ht="18" customHeight="1" thickBot="1">
      <c r="A38" s="1202" t="s">
        <v>1117</v>
      </c>
      <c r="B38" s="1203" t="s">
        <v>1163</v>
      </c>
      <c r="C38" s="1204">
        <f ca="1">ROUND(C5*F38,1)</f>
        <v>3.7</v>
      </c>
      <c r="D38" s="1205" t="s">
        <v>1183</v>
      </c>
      <c r="E38" s="1203" t="s">
        <v>1179</v>
      </c>
      <c r="F38" s="1199">
        <f ca="1">INDIRECT("'数据-取费表'!Am"&amp;$G$1)</f>
        <v>0.01</v>
      </c>
      <c r="G38" s="1519"/>
      <c r="H38" s="2878"/>
      <c r="I38" s="1533"/>
      <c r="J38" s="1534"/>
      <c r="K38" s="2882"/>
      <c r="L38" s="2878"/>
      <c r="M38" s="2878"/>
    </row>
    <row r="39" spans="1:18" ht="24.6" customHeight="1" thickTop="1">
      <c r="A39" s="1192" t="s">
        <v>818</v>
      </c>
      <c r="B39" s="1207" t="s">
        <v>1207</v>
      </c>
      <c r="C39" s="316">
        <f ca="1">C5-C30</f>
        <v>208</v>
      </c>
      <c r="D39" s="1208" t="s">
        <v>1208</v>
      </c>
      <c r="E39" s="1209"/>
      <c r="F39" s="1210"/>
      <c r="G39" s="1519"/>
      <c r="H39" s="2878"/>
      <c r="I39" s="1533"/>
      <c r="J39" s="1534"/>
      <c r="K39" s="2882"/>
      <c r="L39" s="2878"/>
      <c r="M39" s="2878"/>
    </row>
    <row r="40" spans="1:18" ht="18" customHeight="1">
      <c r="A40" s="305" t="s">
        <v>819</v>
      </c>
      <c r="B40" s="306" t="s">
        <v>1209</v>
      </c>
      <c r="C40" s="307">
        <f ca="1">ROUND(C39*(1-((1+F42)/(1+F40))^F41)/(F40-F42),0)</f>
        <v>4417</v>
      </c>
      <c r="D40" s="330" t="s">
        <v>1193</v>
      </c>
      <c r="E40" s="308" t="s">
        <v>1194</v>
      </c>
      <c r="F40" s="318">
        <f ca="1">INDIRECT("'数据-取费表'!I"&amp;$G$1)</f>
        <v>0.05</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31.41</v>
      </c>
      <c r="G41" s="1519"/>
      <c r="H41" s="1306"/>
      <c r="I41" s="1533"/>
      <c r="J41" s="1534"/>
      <c r="K41" s="2719"/>
      <c r="L41" s="1306"/>
      <c r="M41" s="1306"/>
    </row>
    <row r="42" spans="1:18" ht="18" customHeight="1">
      <c r="A42" s="314"/>
      <c r="B42" s="315"/>
      <c r="C42" s="316"/>
      <c r="D42" s="333"/>
      <c r="E42" s="308" t="s">
        <v>1201</v>
      </c>
      <c r="F42" s="318">
        <f ca="1">INDIRECT("'数据-取费表'!v"&amp;$G$1)</f>
        <v>2.5000000000000001E-2</v>
      </c>
      <c r="G42" s="1519"/>
      <c r="H42" s="1306"/>
      <c r="I42" s="1533"/>
      <c r="J42" s="1534"/>
      <c r="K42" s="2719"/>
      <c r="L42" s="1306"/>
      <c r="M42" s="1306"/>
    </row>
    <row r="43" spans="1:18" ht="18" customHeight="1" thickBot="1">
      <c r="A43" s="340" t="s">
        <v>820</v>
      </c>
      <c r="B43" s="341" t="s">
        <v>1211</v>
      </c>
      <c r="C43" s="342">
        <f ca="1">ROUND(C40*10000/F43,0)</f>
        <v>3103</v>
      </c>
      <c r="D43" s="343" t="s">
        <v>1212</v>
      </c>
      <c r="E43" s="344" t="s">
        <v>1213</v>
      </c>
      <c r="F43" s="345">
        <f ca="1">INDIRECT("'数据-取费表'!k"&amp;$G$1)</f>
        <v>14235.169999999998</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-17165</v>
      </c>
      <c r="D46" s="1541" t="str">
        <f>C2</f>
        <v>万元</v>
      </c>
      <c r="E46" s="1535"/>
      <c r="F46" s="1535"/>
      <c r="I46" s="1542" t="s">
        <v>1245</v>
      </c>
      <c r="J46" s="1543"/>
      <c r="K46" s="1544"/>
      <c r="L46" s="1545" t="str">
        <f ca="1">IF(M47="住宅",0,IF(L48&gt;J51,L60,J60))</f>
        <v>0</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3231</v>
      </c>
      <c r="K47" s="1551" t="s">
        <v>1251</v>
      </c>
      <c r="L47" s="1552">
        <f ca="1">INDIRECT("'数据-取费表'!d"&amp;$G$1)</f>
        <v>50</v>
      </c>
      <c r="M47" s="1515" t="str">
        <f>IF(ISNUMBER(FIND("住宅",C1)),"住宅","非住宅")</f>
        <v>非住宅</v>
      </c>
      <c r="O47" s="1553" t="s">
        <v>827</v>
      </c>
      <c r="P47" s="1554" t="s">
        <v>1252</v>
      </c>
      <c r="Q47" s="1555">
        <f ca="1">C40+J29</f>
        <v>4417</v>
      </c>
      <c r="R47" s="1555" t="s">
        <v>1253</v>
      </c>
    </row>
    <row r="48" spans="1:18" s="1519" customFormat="1" ht="28.5" thickBot="1">
      <c r="A48" s="1223" t="s">
        <v>863</v>
      </c>
      <c r="B48" s="306" t="s">
        <v>1125</v>
      </c>
      <c r="C48" s="1494">
        <f ca="1">C49+C53+C55</f>
        <v>0</v>
      </c>
      <c r="D48" s="1225"/>
      <c r="E48" s="1226"/>
      <c r="F48" s="1074"/>
      <c r="G48" s="731"/>
      <c r="H48" s="732"/>
      <c r="I48" s="1556" t="s">
        <v>1254</v>
      </c>
      <c r="J48" s="1557" t="s">
        <v>3232</v>
      </c>
      <c r="K48" s="1558" t="s">
        <v>1255</v>
      </c>
      <c r="L48" s="1559">
        <f ca="1">INDIRECT("'数据-取费表'!f"&amp;$G$1)</f>
        <v>31.41</v>
      </c>
      <c r="O48" s="1553" t="s">
        <v>828</v>
      </c>
      <c r="P48" s="1554" t="s">
        <v>1256</v>
      </c>
      <c r="Q48" s="1555" t="str">
        <f ca="1">J60</f>
        <v>0</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2007</v>
      </c>
      <c r="K49" s="1558" t="s">
        <v>1259</v>
      </c>
      <c r="L49" s="1562"/>
      <c r="O49" s="1563" t="s">
        <v>829</v>
      </c>
      <c r="P49" s="1554" t="s">
        <v>1260</v>
      </c>
      <c r="Q49" s="1555">
        <f ca="1">C29</f>
        <v>8492</v>
      </c>
      <c r="R49" s="1555" t="s">
        <v>1253</v>
      </c>
    </row>
    <row r="50" spans="1:18" s="1519" customFormat="1" ht="13.5" thickBot="1">
      <c r="A50" s="1088"/>
      <c r="B50" s="1091"/>
      <c r="C50" s="1231"/>
      <c r="D50" s="1065"/>
      <c r="E50" s="1168" t="s">
        <v>1130</v>
      </c>
      <c r="F50" s="1169">
        <f ca="1">F7</f>
        <v>14235.169999999998</v>
      </c>
      <c r="H50" s="732"/>
      <c r="I50" s="1556" t="s">
        <v>1261</v>
      </c>
      <c r="J50" s="1564">
        <f>SUMPRODUCT((I63:I65=J47)*(J62:L62=J48)*(J63:L65))</f>
        <v>60</v>
      </c>
      <c r="K50" s="1558" t="s">
        <v>1262</v>
      </c>
      <c r="L50" s="1562"/>
      <c r="M50" s="1565"/>
      <c r="O50" s="1563" t="s">
        <v>830</v>
      </c>
      <c r="P50" s="1554" t="s">
        <v>1263</v>
      </c>
      <c r="Q50" s="1566" t="e">
        <f ca="1">J58</f>
        <v>#VALUE!</v>
      </c>
      <c r="R50" s="1555"/>
    </row>
    <row r="51" spans="1:18" s="1519" customFormat="1" ht="13.5" thickBot="1">
      <c r="A51" s="1089"/>
      <c r="B51" s="1091"/>
      <c r="C51" s="1092"/>
      <c r="D51" s="1065"/>
      <c r="E51" s="1093" t="s">
        <v>1131</v>
      </c>
      <c r="F51" s="309">
        <f ca="1">F8</f>
        <v>365</v>
      </c>
      <c r="I51" s="1567" t="s">
        <v>1264</v>
      </c>
      <c r="J51" s="1568">
        <f>IF(J49="",J50,J49+J50-YEAR('数据-取费表'!B2))</f>
        <v>45</v>
      </c>
      <c r="K51" s="1569" t="s">
        <v>1265</v>
      </c>
      <c r="L51" s="1570">
        <f ca="1">ROUND(-PV(INDIRECT("'数据-取费表'!h"&amp;$G$1),J51,(C39-C13*C76),0),0)</f>
        <v>-5466</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31.41</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31.41</v>
      </c>
      <c r="K53" s="3456" t="s">
        <v>1272</v>
      </c>
      <c r="L53" s="3457"/>
      <c r="O53" s="1553" t="s">
        <v>833</v>
      </c>
      <c r="P53" s="1554" t="s">
        <v>1273</v>
      </c>
      <c r="Q53" s="1555">
        <f ca="1">Q47+Q48</f>
        <v>4417</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#VALUE!</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7048</v>
      </c>
      <c r="D56" s="1582"/>
      <c r="E56" s="1583"/>
      <c r="F56" s="1575"/>
      <c r="I56" s="1584" t="s">
        <v>1278</v>
      </c>
      <c r="J56" s="1585" t="s">
        <v>3227</v>
      </c>
      <c r="K56" s="1556" t="s">
        <v>1279</v>
      </c>
      <c r="L56" s="1559" t="str">
        <f ca="1">IF(L48&lt;J51,"——",L48-J53)</f>
        <v>——</v>
      </c>
      <c r="O56" s="1553" t="s">
        <v>827</v>
      </c>
      <c r="P56" s="1554" t="s">
        <v>1252</v>
      </c>
      <c r="Q56" s="1555">
        <f ca="1">C40+J29</f>
        <v>4417</v>
      </c>
      <c r="R56" s="1555" t="s">
        <v>1253</v>
      </c>
    </row>
    <row r="57" spans="1:18" s="1519" customFormat="1" ht="24.75" thickBot="1">
      <c r="A57" s="1586"/>
      <c r="B57" s="1062" t="s">
        <v>1202</v>
      </c>
      <c r="C57" s="244">
        <f ca="1">C29</f>
        <v>8492</v>
      </c>
      <c r="D57" s="1587"/>
      <c r="E57" s="1588"/>
      <c r="F57" s="1589"/>
      <c r="I57" s="1590" t="s">
        <v>1280</v>
      </c>
      <c r="J57" s="1591" t="str">
        <f ca="1">IF(OR(M47="住宅",J51&lt;L48,J56="是"),"——",J51-L48)</f>
        <v>——</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813</v>
      </c>
      <c r="D58" s="1072" t="s">
        <v>1149</v>
      </c>
      <c r="E58" s="1073"/>
      <c r="F58" s="1074"/>
      <c r="I58" s="1590" t="s">
        <v>1284</v>
      </c>
      <c r="J58" s="1592" t="e">
        <f ca="1">IF(J55&lt;0.4,0.4,J55)</f>
        <v>#VALUE!</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721</v>
      </c>
      <c r="D59" s="1075" t="s">
        <v>1154</v>
      </c>
      <c r="E59" s="1076" t="s">
        <v>1155</v>
      </c>
      <c r="F59" s="2484" t="str">
        <f>IF(项目基本情况!B11="企业","——",IF('数据-取费表'!B10="住宅",IF(F49*F50*F51/12/(1+'数据-取费表'!F30)&gt;100000,4%,2.5%),IF(F49*F50*F51/12/(1+'数据-取费表'!F30)&gt;100000,12%,7%)))</f>
        <v>——</v>
      </c>
      <c r="I59" s="1590" t="s">
        <v>1287</v>
      </c>
      <c r="J59" s="1591" t="str">
        <f ca="1">IF(OR(M47="住宅",J51&lt;L48,J56="是"),"——",ROUND(C29*J58,0))</f>
        <v>——</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3" t="s">
        <v>1289</v>
      </c>
      <c r="J60" s="1594" t="str">
        <f ca="1">IF(OR(M47="住宅",J51&lt;L48,J56="是"),"0",ROUND(J59/(1+J52)^J53,0))</f>
        <v>0</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713.33</v>
      </c>
      <c r="D61" s="1505" t="s">
        <v>1162</v>
      </c>
      <c r="E61" s="1062" t="s">
        <v>1218</v>
      </c>
      <c r="F61" s="328">
        <f t="shared" si="0"/>
        <v>0.12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7.63</v>
      </c>
      <c r="D62" s="1077" t="s">
        <v>1221</v>
      </c>
      <c r="E62" s="1062" t="s">
        <v>1222</v>
      </c>
      <c r="F62" s="331">
        <f t="shared" si="0"/>
        <v>12</v>
      </c>
      <c r="I62" s="1597" t="s">
        <v>1294</v>
      </c>
      <c r="J62" s="1598" t="s">
        <v>1295</v>
      </c>
      <c r="K62" s="1598" t="s">
        <v>1296</v>
      </c>
      <c r="L62" s="1598" t="s">
        <v>1297</v>
      </c>
      <c r="M62" s="1599" t="s">
        <v>1298</v>
      </c>
      <c r="O62" s="1553" t="s">
        <v>833</v>
      </c>
      <c r="P62" s="1554" t="s">
        <v>1299</v>
      </c>
      <c r="Q62" s="1555">
        <f ca="1">Q56+Q57</f>
        <v>4417</v>
      </c>
      <c r="R62" s="1555" t="s">
        <v>834</v>
      </c>
    </row>
    <row r="63" spans="1:18" s="1519" customFormat="1" ht="13.5" thickBot="1">
      <c r="A63" s="332"/>
      <c r="B63" s="1068"/>
      <c r="C63" s="29"/>
      <c r="D63" s="1078"/>
      <c r="E63" s="1062" t="s">
        <v>1223</v>
      </c>
      <c r="F63" s="309">
        <f t="shared" ca="1" si="0"/>
        <v>6360.12</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84.9</v>
      </c>
      <c r="D64" s="1076" t="s">
        <v>1226</v>
      </c>
      <c r="E64" s="1062" t="s">
        <v>1218</v>
      </c>
      <c r="F64" s="334">
        <f t="shared" ca="1" si="0"/>
        <v>0.01</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7</v>
      </c>
      <c r="D65" s="1076" t="s">
        <v>1178</v>
      </c>
      <c r="E65" s="1062" t="s">
        <v>1179</v>
      </c>
      <c r="F65" s="336">
        <f t="shared" ca="1" si="0"/>
        <v>1E-3</v>
      </c>
      <c r="I65" s="1597" t="s">
        <v>1303</v>
      </c>
      <c r="J65" s="1598">
        <v>40</v>
      </c>
      <c r="K65" s="1598">
        <v>30</v>
      </c>
      <c r="L65" s="1598">
        <v>50</v>
      </c>
      <c r="M65" s="1600">
        <v>0.02</v>
      </c>
      <c r="O65" s="1553" t="s">
        <v>827</v>
      </c>
      <c r="P65" s="1554" t="s">
        <v>1304</v>
      </c>
      <c r="Q65" s="1555">
        <f ca="1">C40+J29</f>
        <v>4417</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-813</v>
      </c>
      <c r="D67" s="1075" t="s">
        <v>1188</v>
      </c>
      <c r="E67" s="1080"/>
      <c r="F67" s="1081"/>
      <c r="O67" s="1563" t="s">
        <v>829</v>
      </c>
      <c r="P67" s="1554" t="s">
        <v>1286</v>
      </c>
      <c r="Q67" s="1601">
        <f ca="1">L51</f>
        <v>-5466</v>
      </c>
      <c r="R67" s="1555" t="s">
        <v>1306</v>
      </c>
    </row>
    <row r="68" spans="1:18" s="1519" customFormat="1" ht="16.5" thickBot="1">
      <c r="A68" s="1059" t="s">
        <v>819</v>
      </c>
      <c r="B68" s="1060" t="s">
        <v>1209</v>
      </c>
      <c r="C68" s="307">
        <f ca="1">ROUND(C67*(1-((1+F70)/(1+F68))^F69)/(F68-F70),0)</f>
        <v>-12748</v>
      </c>
      <c r="D68" s="1077" t="s">
        <v>1193</v>
      </c>
      <c r="E68" s="1062" t="s">
        <v>1194</v>
      </c>
      <c r="F68" s="318">
        <f ca="1">F40</f>
        <v>0.05</v>
      </c>
      <c r="O68" s="1563" t="s">
        <v>830</v>
      </c>
      <c r="P68" s="1602" t="s">
        <v>1307</v>
      </c>
      <c r="Q68" s="1555">
        <f ca="1">ROUND(Q69-Q70*Q71,0)</f>
        <v>-285</v>
      </c>
      <c r="R68" s="1555" t="s">
        <v>838</v>
      </c>
    </row>
    <row r="69" spans="1:18" s="1519" customFormat="1" ht="13.5" thickBot="1">
      <c r="A69" s="1063"/>
      <c r="B69" s="1064"/>
      <c r="C69" s="312"/>
      <c r="D69" s="1082" t="s">
        <v>1197</v>
      </c>
      <c r="E69" s="1062" t="s">
        <v>1198</v>
      </c>
      <c r="F69" s="339">
        <f ca="1">F41</f>
        <v>31.41</v>
      </c>
      <c r="O69" s="1563" t="s">
        <v>835</v>
      </c>
      <c r="P69" s="1602" t="s">
        <v>1308</v>
      </c>
      <c r="Q69" s="1555">
        <f ca="1">C39</f>
        <v>208</v>
      </c>
      <c r="R69" s="1555" t="s">
        <v>1253</v>
      </c>
    </row>
    <row r="70" spans="1:18" s="1519" customFormat="1" ht="13.5" thickBot="1">
      <c r="A70" s="1066"/>
      <c r="B70" s="1067"/>
      <c r="C70" s="316"/>
      <c r="D70" s="1078"/>
      <c r="E70" s="1062" t="s">
        <v>1201</v>
      </c>
      <c r="F70" s="1166"/>
      <c r="O70" s="1563" t="s">
        <v>836</v>
      </c>
      <c r="P70" s="1602" t="s">
        <v>1309</v>
      </c>
      <c r="Q70" s="1555">
        <f ca="1">C13</f>
        <v>7048</v>
      </c>
      <c r="R70" s="1555" t="s">
        <v>1253</v>
      </c>
    </row>
    <row r="71" spans="1:18" s="1519" customFormat="1" ht="13.5" thickBot="1">
      <c r="A71" s="1083" t="s">
        <v>820</v>
      </c>
      <c r="B71" s="1084" t="s">
        <v>1211</v>
      </c>
      <c r="C71" s="342">
        <f ca="1">ROUND(C68*10000/F71,0)</f>
        <v>-8955</v>
      </c>
      <c r="D71" s="1085" t="s">
        <v>1212</v>
      </c>
      <c r="E71" s="1086" t="s">
        <v>1213</v>
      </c>
      <c r="F71" s="345">
        <f ca="1">F43</f>
        <v>14235.169999999998</v>
      </c>
      <c r="O71" s="1563" t="s">
        <v>837</v>
      </c>
      <c r="P71" s="1602" t="s">
        <v>1310</v>
      </c>
      <c r="Q71" s="1566">
        <f ca="1">C76</f>
        <v>7.0000000000000007E-2</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493</v>
      </c>
      <c r="D75" s="1519"/>
      <c r="E75" s="1519"/>
      <c r="F75" s="1519"/>
      <c r="K75" s="1537"/>
      <c r="L75" s="1519"/>
      <c r="O75" s="1553" t="s">
        <v>833</v>
      </c>
      <c r="P75" s="1554" t="s">
        <v>1273</v>
      </c>
      <c r="Q75" s="1555">
        <f ca="1">Q65+Q66</f>
        <v>4417</v>
      </c>
      <c r="R75" s="1555" t="s">
        <v>834</v>
      </c>
    </row>
    <row r="76" spans="1:18">
      <c r="B76" s="348" t="s">
        <v>1231</v>
      </c>
      <c r="C76" s="349">
        <f ca="1">INDIRECT("'数据-取费表'!j"&amp;$G$1)</f>
        <v>7.0000000000000007E-2</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-1.37</v>
      </c>
    </row>
    <row r="80" spans="1:18">
      <c r="B80" s="346" t="s">
        <v>1235</v>
      </c>
      <c r="C80" s="280">
        <f ca="1">ROUND(C75/C39,3)</f>
        <v>2.37</v>
      </c>
    </row>
    <row r="81" spans="2:3">
      <c r="B81" s="276" t="s">
        <v>1236</v>
      </c>
      <c r="C81" s="244"/>
    </row>
    <row r="82" spans="2:3">
      <c r="B82" s="279" t="s">
        <v>1237</v>
      </c>
      <c r="C82" s="281">
        <f ca="1">1-C83</f>
        <v>-0.59600000000000009</v>
      </c>
    </row>
    <row r="83" spans="2:3">
      <c r="B83" s="279" t="s">
        <v>1238</v>
      </c>
      <c r="C83" s="280">
        <f ca="1">ROUND(C13/C40,3)</f>
        <v>1.5960000000000001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8</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4"/>
      <c r="H2" s="2873"/>
      <c r="I2" s="2873"/>
      <c r="J2" s="2873"/>
      <c r="K2" s="2874"/>
      <c r="L2" s="2873"/>
      <c r="M2" s="2873"/>
    </row>
    <row r="3" spans="1:37" ht="18" customHeight="1" thickBot="1">
      <c r="A3" s="1525" t="s">
        <v>1317</v>
      </c>
      <c r="B3" s="1526">
        <f ca="1">IF(ISERROR(D2/F43),0,ROUND(D2/F43,0))</f>
        <v>0</v>
      </c>
      <c r="C3" s="1522" t="s">
        <v>1318</v>
      </c>
      <c r="D3" s="1522"/>
      <c r="E3" s="1523"/>
      <c r="F3" s="1524"/>
      <c r="G3" s="288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53" t="s">
        <v>1127</v>
      </c>
      <c r="C6" s="1187">
        <f ca="1">ROUND(F6*F8*F7*(1-F9),0)</f>
        <v>0</v>
      </c>
      <c r="D6" s="160" t="s">
        <v>2606</v>
      </c>
      <c r="E6" s="308" t="s">
        <v>1129</v>
      </c>
      <c r="F6" s="309">
        <f ca="1">INDIRECT("'数据-取费表'!u"&amp;$G$1)</f>
        <v>0</v>
      </c>
      <c r="G6" s="1519"/>
      <c r="H6" s="1182" t="s">
        <v>822</v>
      </c>
      <c r="I6" s="3453" t="s">
        <v>1127</v>
      </c>
      <c r="J6" s="307">
        <f ca="1">ROUND(M6*M8*M7*(1-M9),0)</f>
        <v>0</v>
      </c>
      <c r="K6" s="1511" t="s">
        <v>2607</v>
      </c>
      <c r="L6" s="308" t="s">
        <v>1129</v>
      </c>
      <c r="M6" s="309">
        <f ca="1">INDIRECT("'数据-取费表'!z"&amp;$G$1)</f>
        <v>0</v>
      </c>
    </row>
    <row r="7" spans="1:37" ht="18" customHeight="1">
      <c r="A7" s="1186"/>
      <c r="B7" s="3454"/>
      <c r="C7" s="1188"/>
      <c r="D7" s="313"/>
      <c r="E7" s="1189" t="s">
        <v>1130</v>
      </c>
      <c r="F7" s="309">
        <f ca="1">IF(INDIRECT("'数据-取费表'!ah"&amp;$G$1)="",INDIRECT("'数据-取费表'!k"&amp;$G$1),INDIRECT("'数据-取费表'!ah"&amp;$G$1))</f>
        <v>0</v>
      </c>
      <c r="G7" s="1519"/>
      <c r="H7" s="310"/>
      <c r="I7" s="3454"/>
      <c r="J7" s="312"/>
      <c r="K7" s="313"/>
      <c r="L7" s="308" t="s">
        <v>1130</v>
      </c>
      <c r="M7" s="309">
        <f ca="1">F7</f>
        <v>0</v>
      </c>
    </row>
    <row r="8" spans="1:37" ht="18" customHeight="1">
      <c r="A8" s="310"/>
      <c r="B8" s="3454"/>
      <c r="C8" s="312"/>
      <c r="D8" s="313"/>
      <c r="E8" s="308" t="s">
        <v>1131</v>
      </c>
      <c r="F8" s="309">
        <f ca="1">INDIRECT("'数据-取费表'!ai"&amp;$G$1)</f>
        <v>0</v>
      </c>
      <c r="G8" s="1519"/>
      <c r="H8" s="310"/>
      <c r="I8" s="3454"/>
      <c r="J8" s="312"/>
      <c r="K8" s="313"/>
      <c r="L8" s="308" t="s">
        <v>1131</v>
      </c>
      <c r="M8" s="309">
        <f ca="1">INDIRECT("'数据-取费表'!ai"&amp;$G$1)</f>
        <v>0</v>
      </c>
    </row>
    <row r="9" spans="1:37" ht="18" customHeight="1">
      <c r="A9" s="310"/>
      <c r="B9" s="3455"/>
      <c r="C9" s="312"/>
      <c r="D9" s="313"/>
      <c r="E9" s="308" t="s">
        <v>1132</v>
      </c>
      <c r="F9" s="318">
        <f ca="1">INDIRECT("'数据-取费表'!w"&amp;$G$1)</f>
        <v>0</v>
      </c>
      <c r="G9" s="1519"/>
      <c r="H9" s="310"/>
      <c r="I9" s="3455"/>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5.6000000000000001E-2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2.5000000000000001E-2</v>
      </c>
      <c r="G20" s="1531"/>
      <c r="H20" s="1094" t="s">
        <v>1113</v>
      </c>
      <c r="I20" s="160" t="s">
        <v>1165</v>
      </c>
      <c r="J20" s="25">
        <f ca="1">ROUND(M20*M21,0)</f>
        <v>0</v>
      </c>
      <c r="K20" s="330" t="s">
        <v>1166</v>
      </c>
      <c r="L20" s="308" t="s">
        <v>1167</v>
      </c>
      <c r="M20" s="331">
        <f>'数据-取费表'!B52</f>
        <v>12</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2.5000000000000001E-2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1E-3</v>
      </c>
      <c r="D24" s="335" t="str">
        <f>IF(F23&lt;=1,"销售费用×利率×(建设周期÷2)","销售费用×((1+利率)^(建设周期÷2)-1)")</f>
        <v>销售费用×((1+利率)^(建设周期÷2)-1)</v>
      </c>
      <c r="E24" s="308" t="s">
        <v>1182</v>
      </c>
      <c r="F24" s="337">
        <f ca="1">'数据-取费表'!B40</f>
        <v>4.1499999999999995E-2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5.33E-2</v>
      </c>
      <c r="D28" s="329" t="s">
        <v>1200</v>
      </c>
      <c r="E28" s="308" t="s">
        <v>1146</v>
      </c>
      <c r="F28" s="328">
        <f>'数据-取费表'!B41</f>
        <v>5.6000000000000001E-2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0"/>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0"/>
      <c r="L31" s="2876"/>
      <c r="M31" s="2877"/>
    </row>
    <row r="32" spans="1:37" ht="18" customHeight="1">
      <c r="A32" s="1094" t="s">
        <v>821</v>
      </c>
      <c r="B32" s="308" t="s">
        <v>1157</v>
      </c>
      <c r="C32" s="24">
        <f ca="1">IF(项目基本情况!B11="自然人","——",ROUND(C6*F32/(1+'数据-取费表'!C42),0))</f>
        <v>0</v>
      </c>
      <c r="D32" s="1479" t="s">
        <v>1158</v>
      </c>
      <c r="E32" s="308" t="s">
        <v>1146</v>
      </c>
      <c r="F32" s="337">
        <f>'数据-取费表'!B41</f>
        <v>5.6000000000000001E-2</v>
      </c>
      <c r="G32" s="1519"/>
      <c r="H32" s="2875"/>
      <c r="I32" s="1533"/>
      <c r="J32" s="1534"/>
      <c r="K32" s="2650"/>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f>
        <v>0</v>
      </c>
      <c r="D34" s="330" t="s">
        <v>1166</v>
      </c>
      <c r="E34" s="308" t="s">
        <v>1167</v>
      </c>
      <c r="F34" s="331">
        <f>'数据-取费表'!B52</f>
        <v>12</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ROUND(C29*F36,0)</f>
        <v>0</v>
      </c>
      <c r="D36" s="1479" t="s">
        <v>1206</v>
      </c>
      <c r="E36" s="308" t="s">
        <v>1146</v>
      </c>
      <c r="F36" s="334">
        <f ca="1">INDIRECT("'数据-取费表'!Ak"&amp;$G$1)</f>
        <v>0</v>
      </c>
      <c r="G36" s="1519"/>
      <c r="H36" s="2878"/>
      <c r="I36" s="1533"/>
      <c r="J36" s="1534"/>
      <c r="K36" s="2719"/>
      <c r="L36" s="2878"/>
      <c r="M36" s="2878"/>
    </row>
    <row r="37" spans="1:18" ht="18" customHeight="1">
      <c r="A37" s="1094" t="s">
        <v>862</v>
      </c>
      <c r="B37" s="308" t="s">
        <v>1177</v>
      </c>
      <c r="C37" s="24">
        <f ca="1">ROUND(C13*F37,0)</f>
        <v>0</v>
      </c>
      <c r="D37" s="1479" t="s">
        <v>1178</v>
      </c>
      <c r="E37" s="308" t="s">
        <v>1179</v>
      </c>
      <c r="F37" s="336">
        <f ca="1">INDIRECT("'数据-取费表'!Al"&amp;$G$1)</f>
        <v>0</v>
      </c>
      <c r="G37" s="1519"/>
      <c r="H37" s="2878"/>
      <c r="I37" s="1533"/>
      <c r="J37" s="1534"/>
      <c r="K37" s="2719"/>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19"/>
      <c r="L41" s="1306"/>
      <c r="M41" s="1306"/>
    </row>
    <row r="42" spans="1:18" ht="18" customHeight="1">
      <c r="A42" s="314"/>
      <c r="B42" s="315"/>
      <c r="C42" s="316"/>
      <c r="D42" s="333"/>
      <c r="E42" s="308" t="s">
        <v>1201</v>
      </c>
      <c r="F42" s="318">
        <f ca="1">INDIRECT("'数据-取费表'!v"&amp;$G$1)</f>
        <v>0</v>
      </c>
      <c r="G42" s="1519"/>
      <c r="H42" s="1306"/>
      <c r="I42" s="1533"/>
      <c r="J42" s="1534"/>
      <c r="K42" s="2719"/>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19"/>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56" t="s">
        <v>1272</v>
      </c>
      <c r="L53" s="3457"/>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12</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2940</v>
      </c>
      <c r="B1" s="3012"/>
      <c r="C1" s="3024"/>
      <c r="D1" s="3024"/>
      <c r="E1" s="3013"/>
      <c r="F1" s="3014"/>
      <c r="G1" s="3015"/>
      <c r="J1" s="3018" t="s">
        <v>2819</v>
      </c>
      <c r="K1" s="3019"/>
      <c r="L1" s="3019"/>
      <c r="M1" s="3019"/>
      <c r="N1" s="3019"/>
      <c r="O1" s="3019"/>
      <c r="P1" s="3019"/>
      <c r="Q1" s="3019"/>
      <c r="R1" s="3020"/>
      <c r="S1" s="3021"/>
      <c r="T1" s="3021"/>
      <c r="U1" s="3021"/>
    </row>
    <row r="2" spans="1:22" s="3033" customFormat="1" ht="13.15" customHeight="1">
      <c r="A2" s="1520" t="s">
        <v>2820</v>
      </c>
      <c r="B2" s="3023" t="e">
        <f>C40</f>
        <v>#DIV/0!</v>
      </c>
      <c r="C2" s="3024" t="s">
        <v>2821</v>
      </c>
      <c r="D2" s="3024"/>
      <c r="E2" s="3025"/>
      <c r="F2" s="3026"/>
      <c r="G2" s="3027"/>
      <c r="H2" s="3028"/>
      <c r="I2" s="3029"/>
      <c r="J2" s="3464" t="s">
        <v>2822</v>
      </c>
      <c r="K2" s="3465"/>
      <c r="L2" s="3030" t="s">
        <v>2823</v>
      </c>
      <c r="M2" s="3030" t="s">
        <v>2824</v>
      </c>
      <c r="N2" s="3030" t="s">
        <v>2825</v>
      </c>
      <c r="O2" s="3030" t="s">
        <v>2826</v>
      </c>
      <c r="P2" s="3030" t="s">
        <v>2827</v>
      </c>
      <c r="Q2" s="3031" t="s">
        <v>2828</v>
      </c>
      <c r="R2" s="3032" t="s">
        <v>2829</v>
      </c>
      <c r="S2" s="3021"/>
      <c r="T2" s="3021"/>
      <c r="U2" s="3021"/>
      <c r="V2" s="3029"/>
    </row>
    <row r="3" spans="1:22" s="3033" customFormat="1" ht="13.15" customHeight="1">
      <c r="A3" s="3034" t="s">
        <v>2830</v>
      </c>
      <c r="B3" s="3035" t="e">
        <f>ROUND(B2*10000/B4,0)</f>
        <v>#DIV/0!</v>
      </c>
      <c r="C3" s="3024" t="s">
        <v>2831</v>
      </c>
      <c r="D3" s="3024"/>
      <c r="E3" s="3025"/>
      <c r="F3" s="3026"/>
      <c r="G3" s="3027"/>
      <c r="H3" s="3028"/>
      <c r="I3" s="3029"/>
      <c r="J3" s="3466" t="s">
        <v>2832</v>
      </c>
      <c r="K3" s="3467"/>
      <c r="L3" s="3036"/>
      <c r="M3" s="3036"/>
      <c r="N3" s="3036"/>
      <c r="O3" s="3036"/>
      <c r="P3" s="3036"/>
      <c r="Q3" s="3037"/>
      <c r="R3" s="3038">
        <f>SUM(L3:Q3)</f>
        <v>0</v>
      </c>
      <c r="S3" s="3021"/>
      <c r="T3" s="3021"/>
      <c r="U3" s="3021"/>
      <c r="V3" s="3029"/>
    </row>
    <row r="4" spans="1:22" s="3033" customFormat="1" ht="13.15" customHeight="1">
      <c r="A4" s="3039" t="s">
        <v>2833</v>
      </c>
      <c r="B4" s="3040"/>
      <c r="C4" s="3024"/>
      <c r="D4" s="3024"/>
      <c r="E4" s="3025"/>
      <c r="F4" s="3026"/>
      <c r="G4" s="3027"/>
      <c r="H4" s="3028"/>
      <c r="I4" s="3029"/>
      <c r="J4" s="3466" t="s">
        <v>2834</v>
      </c>
      <c r="K4" s="3467"/>
      <c r="L4" s="3041"/>
      <c r="M4" s="3041"/>
      <c r="N4" s="3041"/>
      <c r="O4" s="3041"/>
      <c r="P4" s="3041"/>
      <c r="Q4" s="3042"/>
      <c r="R4" s="3043">
        <f>SUM(L4:Q4)</f>
        <v>0</v>
      </c>
      <c r="S4" s="3021"/>
      <c r="T4" s="3021"/>
      <c r="U4" s="3021"/>
      <c r="V4" s="3029"/>
    </row>
    <row r="5" spans="1:22" s="3033" customFormat="1" ht="13.15" customHeight="1" thickBot="1">
      <c r="A5" s="3044" t="s">
        <v>2835</v>
      </c>
      <c r="B5" s="3045"/>
      <c r="C5" s="3024"/>
      <c r="D5" s="3046"/>
      <c r="E5" s="3026"/>
      <c r="F5" s="3026"/>
      <c r="G5" s="3027"/>
      <c r="H5" s="3028"/>
      <c r="I5" s="3029"/>
      <c r="J5" s="3047" t="s">
        <v>2836</v>
      </c>
      <c r="K5" s="3048"/>
      <c r="L5" s="3048"/>
      <c r="M5" s="3049"/>
      <c r="N5" s="3049"/>
      <c r="O5" s="3049"/>
      <c r="P5" s="3049"/>
      <c r="Q5" s="3049"/>
      <c r="R5" s="3032">
        <f>SUM(R14,R19,R24,R25,R27,R28)</f>
        <v>0</v>
      </c>
      <c r="S5" s="3021"/>
      <c r="T5" s="3021" t="s">
        <v>2837</v>
      </c>
      <c r="U5" s="3021" t="e">
        <f>ROUND(R5*10000/365/R3,1)</f>
        <v>#DIV/0!</v>
      </c>
      <c r="V5" s="3029"/>
    </row>
    <row r="6" spans="1:22" s="3033" customFormat="1" ht="13.15" customHeight="1" thickBot="1">
      <c r="A6" s="3472" t="s">
        <v>2838</v>
      </c>
      <c r="B6" s="3473"/>
      <c r="C6" s="3474"/>
      <c r="D6" s="3050"/>
      <c r="E6" s="3051"/>
      <c r="F6" s="3052"/>
      <c r="G6" s="3053"/>
      <c r="H6" s="3028"/>
      <c r="I6" s="3029"/>
      <c r="J6" s="3458">
        <v>1</v>
      </c>
      <c r="K6" s="3459" t="s">
        <v>2839</v>
      </c>
      <c r="L6" s="3054" t="s">
        <v>2840</v>
      </c>
      <c r="M6" s="3055" t="s">
        <v>2841</v>
      </c>
      <c r="N6" s="3055" t="s">
        <v>2842</v>
      </c>
      <c r="O6" s="3055" t="s">
        <v>2843</v>
      </c>
      <c r="P6" s="3055" t="s">
        <v>2844</v>
      </c>
      <c r="Q6" s="3055" t="s">
        <v>2845</v>
      </c>
      <c r="R6" s="3038" t="s">
        <v>2846</v>
      </c>
      <c r="S6" s="3021"/>
      <c r="T6" s="3021" t="s">
        <v>2847</v>
      </c>
      <c r="U6" s="3021"/>
      <c r="V6" s="3029"/>
    </row>
    <row r="7" spans="1:22" s="3033" customFormat="1" ht="13.15" customHeight="1">
      <c r="A7" s="3056" t="s">
        <v>2848</v>
      </c>
      <c r="B7" s="3057"/>
      <c r="C7" s="3058"/>
      <c r="D7" s="3059">
        <f>SUM(D9,D10,D11,D17,0)</f>
        <v>0</v>
      </c>
      <c r="E7" s="3060" t="e">
        <f>E9+E10+E11+E17</f>
        <v>#DIV/0!</v>
      </c>
      <c r="F7" s="3061"/>
      <c r="G7" s="3062"/>
      <c r="H7" s="3028"/>
      <c r="I7" s="3029"/>
      <c r="J7" s="3458"/>
      <c r="K7" s="3460"/>
      <c r="L7" s="3063" t="s">
        <v>2849</v>
      </c>
      <c r="M7" s="3064"/>
      <c r="N7" s="3040"/>
      <c r="O7" s="3065"/>
      <c r="P7" s="3065"/>
      <c r="Q7" s="3066">
        <v>365</v>
      </c>
      <c r="R7" s="3067">
        <f>ROUND(M7*N7*O7*P7*Q7/10000,0)</f>
        <v>0</v>
      </c>
      <c r="S7" s="3021"/>
      <c r="T7" s="3021" t="s">
        <v>2850</v>
      </c>
      <c r="U7" s="3021"/>
      <c r="V7" s="3029"/>
    </row>
    <row r="8" spans="1:22" s="3033" customFormat="1" ht="13.15" customHeight="1">
      <c r="A8" s="3068" t="s">
        <v>2851</v>
      </c>
      <c r="B8" s="3475" t="s">
        <v>2852</v>
      </c>
      <c r="C8" s="3476"/>
      <c r="D8" s="3069" t="s">
        <v>2853</v>
      </c>
      <c r="E8" s="3070" t="s">
        <v>2854</v>
      </c>
      <c r="F8" s="3071" t="s">
        <v>2855</v>
      </c>
      <c r="G8" s="3072"/>
      <c r="H8" s="3028"/>
      <c r="I8" s="3029"/>
      <c r="J8" s="3458"/>
      <c r="K8" s="3460"/>
      <c r="L8" s="3063" t="s">
        <v>2856</v>
      </c>
      <c r="M8" s="3064"/>
      <c r="N8" s="3040"/>
      <c r="O8" s="3065"/>
      <c r="P8" s="3065"/>
      <c r="Q8" s="3066">
        <v>365</v>
      </c>
      <c r="R8" s="3067">
        <f t="shared" ref="R8:R13" si="0">ROUND(M8*N8*O8*P8*Q8/10000,0)</f>
        <v>0</v>
      </c>
      <c r="S8" s="3021"/>
      <c r="T8" s="3021" t="s">
        <v>2857</v>
      </c>
      <c r="U8" s="3021"/>
      <c r="V8" s="3029"/>
    </row>
    <row r="9" spans="1:22" s="3033" customFormat="1" ht="13.15" customHeight="1">
      <c r="A9" s="3068">
        <v>1</v>
      </c>
      <c r="B9" s="3475" t="s">
        <v>2858</v>
      </c>
      <c r="C9" s="3476"/>
      <c r="D9" s="3069">
        <f>ROUND(D6*E9,0)</f>
        <v>0</v>
      </c>
      <c r="E9" s="3073"/>
      <c r="F9" s="3074" t="s">
        <v>2859</v>
      </c>
      <c r="G9" s="3053"/>
      <c r="H9" s="3028"/>
      <c r="I9" s="3029"/>
      <c r="J9" s="3458"/>
      <c r="K9" s="3460"/>
      <c r="L9" s="3063" t="s">
        <v>2860</v>
      </c>
      <c r="M9" s="3064"/>
      <c r="N9" s="3040"/>
      <c r="O9" s="3065"/>
      <c r="P9" s="3065"/>
      <c r="Q9" s="3066">
        <v>365</v>
      </c>
      <c r="R9" s="3067">
        <f t="shared" si="0"/>
        <v>0</v>
      </c>
      <c r="S9" s="3021"/>
      <c r="T9" s="3021"/>
      <c r="U9" s="3021"/>
      <c r="V9" s="3029"/>
    </row>
    <row r="10" spans="1:22" s="3033" customFormat="1" ht="13.15" customHeight="1">
      <c r="A10" s="3068">
        <v>2</v>
      </c>
      <c r="B10" s="3475" t="s">
        <v>2861</v>
      </c>
      <c r="C10" s="3476"/>
      <c r="D10" s="3069">
        <f>ROUND(D6*E10,0)</f>
        <v>0</v>
      </c>
      <c r="E10" s="3073"/>
      <c r="F10" s="3074" t="s">
        <v>2862</v>
      </c>
      <c r="G10" s="3053"/>
      <c r="H10" s="3028"/>
      <c r="I10" s="3029"/>
      <c r="J10" s="3458"/>
      <c r="K10" s="3460"/>
      <c r="L10" s="3063" t="s">
        <v>2863</v>
      </c>
      <c r="M10" s="3064"/>
      <c r="N10" s="3040"/>
      <c r="O10" s="3065"/>
      <c r="P10" s="3065"/>
      <c r="Q10" s="3066">
        <v>365</v>
      </c>
      <c r="R10" s="3067">
        <f t="shared" si="0"/>
        <v>0</v>
      </c>
      <c r="S10" s="3021"/>
      <c r="T10" s="3021"/>
      <c r="U10" s="3021"/>
      <c r="V10" s="3029"/>
    </row>
    <row r="11" spans="1:22" s="3033" customFormat="1" ht="13.15" customHeight="1">
      <c r="A11" s="3068">
        <v>3</v>
      </c>
      <c r="B11" s="3475" t="s">
        <v>2864</v>
      </c>
      <c r="C11" s="3476"/>
      <c r="D11" s="3069">
        <f>D12+D14+D15+D16</f>
        <v>0</v>
      </c>
      <c r="E11" s="3075" t="e">
        <f>D11/D6</f>
        <v>#DIV/0!</v>
      </c>
      <c r="F11" s="3071"/>
      <c r="G11" s="3072"/>
      <c r="H11" s="3028"/>
      <c r="I11" s="3029"/>
      <c r="J11" s="3458"/>
      <c r="K11" s="3460"/>
      <c r="L11" s="3063" t="s">
        <v>2865</v>
      </c>
      <c r="M11" s="3064"/>
      <c r="N11" s="3040"/>
      <c r="O11" s="3065"/>
      <c r="P11" s="3065"/>
      <c r="Q11" s="3066">
        <v>365</v>
      </c>
      <c r="R11" s="3067">
        <f t="shared" si="0"/>
        <v>0</v>
      </c>
      <c r="S11" s="3021"/>
      <c r="T11" s="3021"/>
      <c r="U11" s="3021"/>
      <c r="V11" s="3029"/>
    </row>
    <row r="12" spans="1:22" s="3033" customFormat="1" ht="13.15" customHeight="1">
      <c r="A12" s="3076" t="s">
        <v>2866</v>
      </c>
      <c r="B12" s="3468" t="s">
        <v>2867</v>
      </c>
      <c r="C12" s="3469"/>
      <c r="D12" s="3077">
        <f>ROUND(D13*1.2%*(1-30%),0)</f>
        <v>0</v>
      </c>
      <c r="E12" s="3078">
        <v>1.2E-2</v>
      </c>
      <c r="F12" s="3071" t="s">
        <v>2868</v>
      </c>
      <c r="G12" s="3072"/>
      <c r="H12" s="3028"/>
      <c r="I12" s="3029"/>
      <c r="J12" s="3458"/>
      <c r="K12" s="3460"/>
      <c r="L12" s="3063" t="s">
        <v>2869</v>
      </c>
      <c r="M12" s="3064"/>
      <c r="N12" s="3040"/>
      <c r="O12" s="3065"/>
      <c r="P12" s="3065"/>
      <c r="Q12" s="3066">
        <v>365</v>
      </c>
      <c r="R12" s="3067">
        <f t="shared" si="0"/>
        <v>0</v>
      </c>
      <c r="S12" s="3021"/>
      <c r="T12" s="3021"/>
      <c r="U12" s="3021"/>
      <c r="V12" s="3029"/>
    </row>
    <row r="13" spans="1:22" s="3033" customFormat="1" ht="13.15" customHeight="1">
      <c r="A13" s="3076"/>
      <c r="B13" s="3079"/>
      <c r="C13" s="3080" t="s">
        <v>2870</v>
      </c>
      <c r="D13" s="3081"/>
      <c r="E13" s="3082"/>
      <c r="F13" s="3071"/>
      <c r="G13" s="3072"/>
      <c r="H13" s="3028"/>
      <c r="I13" s="3029"/>
      <c r="J13" s="3458"/>
      <c r="K13" s="3460"/>
      <c r="L13" s="3063" t="s">
        <v>2871</v>
      </c>
      <c r="M13" s="3064"/>
      <c r="N13" s="3040"/>
      <c r="O13" s="3065"/>
      <c r="P13" s="3065"/>
      <c r="Q13" s="3066">
        <v>365</v>
      </c>
      <c r="R13" s="3067">
        <f t="shared" si="0"/>
        <v>0</v>
      </c>
      <c r="S13" s="3021"/>
      <c r="T13" s="3021"/>
      <c r="U13" s="3021"/>
      <c r="V13" s="3029"/>
    </row>
    <row r="14" spans="1:22" s="3033" customFormat="1" ht="13.15" customHeight="1">
      <c r="A14" s="3076" t="s">
        <v>2872</v>
      </c>
      <c r="B14" s="3468" t="s">
        <v>2873</v>
      </c>
      <c r="C14" s="3469"/>
      <c r="D14" s="3077">
        <f>ROUND(E14*B5/10000,0)</f>
        <v>0</v>
      </c>
      <c r="E14" s="3066"/>
      <c r="F14" s="3071" t="s">
        <v>2874</v>
      </c>
      <c r="G14" s="3072"/>
      <c r="H14" s="3028"/>
      <c r="I14" s="3029"/>
      <c r="J14" s="3458"/>
      <c r="K14" s="3461"/>
      <c r="L14" s="3083" t="s">
        <v>2875</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2876</v>
      </c>
      <c r="B15" s="3468" t="s">
        <v>2877</v>
      </c>
      <c r="C15" s="3469"/>
      <c r="D15" s="3077">
        <f>ROUND(D6*E15,0)</f>
        <v>0</v>
      </c>
      <c r="E15" s="3078">
        <v>5.5E-2</v>
      </c>
      <c r="F15" s="3071" t="s">
        <v>2878</v>
      </c>
      <c r="G15" s="3053"/>
      <c r="H15" s="3028"/>
      <c r="I15" s="3029"/>
      <c r="J15" s="3458">
        <v>2</v>
      </c>
      <c r="K15" s="3459" t="s">
        <v>2879</v>
      </c>
      <c r="L15" s="3063" t="s">
        <v>2880</v>
      </c>
      <c r="M15" s="3064" t="s">
        <v>2881</v>
      </c>
      <c r="N15" s="3064" t="s">
        <v>2882</v>
      </c>
      <c r="O15" s="3065" t="s">
        <v>2883</v>
      </c>
      <c r="P15" s="3065" t="s">
        <v>2845</v>
      </c>
      <c r="Q15" s="3040" t="s">
        <v>2884</v>
      </c>
      <c r="R15" s="3087" t="s">
        <v>2846</v>
      </c>
      <c r="S15" s="3021"/>
      <c r="T15" s="3021"/>
      <c r="U15" s="3021"/>
      <c r="V15" s="3029"/>
    </row>
    <row r="16" spans="1:22" s="3033" customFormat="1" ht="13.15" customHeight="1">
      <c r="A16" s="3076" t="s">
        <v>2885</v>
      </c>
      <c r="B16" s="3468" t="s">
        <v>2886</v>
      </c>
      <c r="C16" s="3469"/>
      <c r="D16" s="3088">
        <f>D6*E16</f>
        <v>0</v>
      </c>
      <c r="E16" s="3089"/>
      <c r="F16" s="3074" t="s">
        <v>2887</v>
      </c>
      <c r="G16" s="3053"/>
      <c r="H16" s="3028"/>
      <c r="I16" s="3029"/>
      <c r="J16" s="3458"/>
      <c r="K16" s="3460"/>
      <c r="L16" s="3063" t="s">
        <v>2888</v>
      </c>
      <c r="M16" s="3064"/>
      <c r="N16" s="3064"/>
      <c r="O16" s="3065"/>
      <c r="P16" s="3066">
        <v>365</v>
      </c>
      <c r="Q16" s="3040"/>
      <c r="R16" s="3087">
        <f>ROUND(M16*N16*O16*P16/10000,0)</f>
        <v>0</v>
      </c>
      <c r="S16" s="3021"/>
      <c r="T16" s="3021"/>
      <c r="U16" s="3021"/>
      <c r="V16" s="3029"/>
    </row>
    <row r="17" spans="1:22" s="3033" customFormat="1" ht="13.15" customHeight="1" thickBot="1">
      <c r="A17" s="3090">
        <v>4</v>
      </c>
      <c r="B17" s="3470" t="s">
        <v>2889</v>
      </c>
      <c r="C17" s="3471"/>
      <c r="D17" s="3091">
        <f>ROUND(D6*E17,0)</f>
        <v>0</v>
      </c>
      <c r="E17" s="3092"/>
      <c r="F17" s="3093" t="s">
        <v>2890</v>
      </c>
      <c r="G17" s="3053"/>
      <c r="H17" s="3028"/>
      <c r="I17" s="3029"/>
      <c r="J17" s="3458"/>
      <c r="K17" s="3460"/>
      <c r="L17" s="3063" t="s">
        <v>2891</v>
      </c>
      <c r="M17" s="3064"/>
      <c r="N17" s="3064"/>
      <c r="O17" s="3065"/>
      <c r="P17" s="3066">
        <v>365</v>
      </c>
      <c r="Q17" s="3040"/>
      <c r="R17" s="3087">
        <f>ROUND(M17*N17*O17*P17/10000,0)</f>
        <v>0</v>
      </c>
      <c r="S17" s="3021"/>
      <c r="T17" s="3021"/>
      <c r="U17" s="3021"/>
      <c r="V17" s="3029"/>
    </row>
    <row r="18" spans="1:22" s="3033" customFormat="1" ht="13.15" customHeight="1" thickBot="1">
      <c r="A18" s="3056" t="s">
        <v>2892</v>
      </c>
      <c r="B18" s="3057"/>
      <c r="C18" s="3057"/>
      <c r="D18" s="3094">
        <f>ROUND(D6*E18,0)</f>
        <v>0</v>
      </c>
      <c r="E18" s="3095"/>
      <c r="F18" s="3096" t="s">
        <v>2893</v>
      </c>
      <c r="G18" s="3053"/>
      <c r="H18" s="3028"/>
      <c r="I18" s="3029"/>
      <c r="J18" s="3458"/>
      <c r="K18" s="3460"/>
      <c r="L18" s="3063" t="s">
        <v>2894</v>
      </c>
      <c r="M18" s="3064"/>
      <c r="N18" s="3064"/>
      <c r="O18" s="3065"/>
      <c r="P18" s="3066">
        <v>365</v>
      </c>
      <c r="Q18" s="3040"/>
      <c r="R18" s="3087">
        <f>ROUND(M18*N18*O18*P18/10000,0)</f>
        <v>0</v>
      </c>
      <c r="S18" s="3021"/>
      <c r="T18" s="3021"/>
      <c r="U18" s="3021"/>
      <c r="V18" s="3029"/>
    </row>
    <row r="19" spans="1:22" s="3033" customFormat="1" ht="13.15" customHeight="1" thickBot="1">
      <c r="A19" s="3097" t="s">
        <v>2895</v>
      </c>
      <c r="B19" s="3051"/>
      <c r="C19" s="3051"/>
      <c r="D19" s="3051"/>
      <c r="E19" s="3051"/>
      <c r="F19" s="3052"/>
      <c r="G19" s="3072"/>
      <c r="H19" s="3028"/>
      <c r="I19" s="3029"/>
      <c r="J19" s="3458"/>
      <c r="K19" s="3461"/>
      <c r="L19" s="3083" t="s">
        <v>2875</v>
      </c>
      <c r="M19" s="3084"/>
      <c r="N19" s="3084">
        <f>SUM(N16:N18)</f>
        <v>0</v>
      </c>
      <c r="O19" s="3085"/>
      <c r="P19" s="3098" t="s">
        <v>2939</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58">
        <v>3</v>
      </c>
      <c r="K20" s="3459" t="s">
        <v>2896</v>
      </c>
      <c r="L20" s="3063" t="s">
        <v>2897</v>
      </c>
      <c r="M20" s="3064" t="s">
        <v>2898</v>
      </c>
      <c r="N20" s="3101" t="s">
        <v>2899</v>
      </c>
      <c r="O20" s="3065" t="s">
        <v>2900</v>
      </c>
      <c r="P20" s="3066" t="s">
        <v>2901</v>
      </c>
      <c r="Q20" s="3040" t="s">
        <v>2902</v>
      </c>
      <c r="R20" s="3087" t="s">
        <v>2903</v>
      </c>
      <c r="S20" s="3102"/>
      <c r="T20" s="3102"/>
      <c r="U20" s="3102"/>
      <c r="V20" s="3029"/>
    </row>
    <row r="21" spans="1:22" s="3033" customFormat="1" ht="13.15" customHeight="1">
      <c r="A21" s="3056"/>
      <c r="B21" s="3057"/>
      <c r="C21" s="3103" t="s">
        <v>2904</v>
      </c>
      <c r="D21" s="3104" t="s">
        <v>2905</v>
      </c>
      <c r="E21" s="3105" t="s">
        <v>2906</v>
      </c>
      <c r="F21" s="3100"/>
      <c r="G21" s="3072"/>
      <c r="H21" s="3028"/>
      <c r="I21" s="3029"/>
      <c r="J21" s="3458"/>
      <c r="K21" s="3460"/>
      <c r="L21" s="3063" t="s">
        <v>2907</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2908</v>
      </c>
      <c r="D22" s="3108" t="s">
        <v>2909</v>
      </c>
      <c r="E22" s="3109" t="s">
        <v>2910</v>
      </c>
      <c r="F22" s="3100"/>
      <c r="G22" s="3110"/>
      <c r="H22" s="3028"/>
      <c r="I22" s="3029"/>
      <c r="J22" s="3458"/>
      <c r="K22" s="3460"/>
      <c r="L22" s="3063" t="s">
        <v>2911</v>
      </c>
      <c r="M22" s="3064"/>
      <c r="N22" s="3064"/>
      <c r="O22" s="3065"/>
      <c r="P22" s="3066">
        <v>365</v>
      </c>
      <c r="Q22" s="3040"/>
      <c r="R22" s="3106">
        <f>ROUND(M22*N22*O22*P22/10000,0)</f>
        <v>0</v>
      </c>
      <c r="S22" s="3102"/>
      <c r="T22" s="3102"/>
      <c r="U22" s="3102"/>
      <c r="V22" s="3029"/>
    </row>
    <row r="23" spans="1:22" s="3033" customFormat="1" ht="13.15" customHeight="1">
      <c r="A23" s="3111">
        <v>1</v>
      </c>
      <c r="B23" s="3112" t="s">
        <v>2912</v>
      </c>
      <c r="C23" s="3113">
        <f>D6</f>
        <v>0</v>
      </c>
      <c r="D23" s="3114">
        <f>C23*(1+D24)</f>
        <v>0</v>
      </c>
      <c r="E23" s="3115">
        <f>D23*(1+E24)</f>
        <v>0</v>
      </c>
      <c r="F23" s="3116"/>
      <c r="G23" s="3117"/>
      <c r="H23" s="3028"/>
      <c r="I23" s="3029"/>
      <c r="J23" s="3458"/>
      <c r="K23" s="3460"/>
      <c r="L23" s="3063" t="s">
        <v>2913</v>
      </c>
      <c r="M23" s="3064"/>
      <c r="N23" s="3064"/>
      <c r="O23" s="3065"/>
      <c r="P23" s="3066">
        <v>365</v>
      </c>
      <c r="Q23" s="3040"/>
      <c r="R23" s="3106">
        <f>ROUND(M23*N23*O23*P23/10000,0)</f>
        <v>0</v>
      </c>
      <c r="S23" s="3021"/>
      <c r="T23" s="3021"/>
      <c r="U23" s="3021"/>
      <c r="V23" s="3029"/>
    </row>
    <row r="24" spans="1:22" s="3033" customFormat="1" ht="13.15" customHeight="1">
      <c r="A24" s="3118"/>
      <c r="B24" s="3119" t="s">
        <v>2914</v>
      </c>
      <c r="C24" s="3120"/>
      <c r="D24" s="3121"/>
      <c r="E24" s="3122"/>
      <c r="F24" s="3123"/>
      <c r="G24" s="3117"/>
      <c r="H24" s="3028"/>
      <c r="I24" s="3029"/>
      <c r="J24" s="3458"/>
      <c r="K24" s="3461"/>
      <c r="L24" s="3083" t="s">
        <v>2875</v>
      </c>
      <c r="M24" s="3084">
        <f>SUM(M21:M23)</f>
        <v>0</v>
      </c>
      <c r="N24" s="3084"/>
      <c r="O24" s="3085"/>
      <c r="P24" s="3098" t="s">
        <v>2939</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2915</v>
      </c>
      <c r="L25" s="3126"/>
      <c r="M25" s="3126"/>
      <c r="N25" s="3126"/>
      <c r="O25" s="3126"/>
      <c r="P25" s="3127"/>
      <c r="Q25" s="3128">
        <v>0</v>
      </c>
      <c r="R25" s="3099">
        <f>ROUND(R14*Q25,0)</f>
        <v>0</v>
      </c>
      <c r="S25" s="3021"/>
      <c r="T25" s="3021"/>
      <c r="U25" s="3021"/>
      <c r="V25" s="3129"/>
    </row>
    <row r="26" spans="1:22" s="3130" customFormat="1" ht="13.15" customHeight="1">
      <c r="A26" s="3111">
        <v>2</v>
      </c>
      <c r="B26" s="3112" t="s">
        <v>2916</v>
      </c>
      <c r="C26" s="3113">
        <f>D7</f>
        <v>0</v>
      </c>
      <c r="D26" s="3114">
        <f>D23*D27</f>
        <v>0</v>
      </c>
      <c r="E26" s="3115">
        <f>E23*E27</f>
        <v>0</v>
      </c>
      <c r="F26" s="3116"/>
      <c r="G26" s="3117"/>
      <c r="H26" s="3028"/>
      <c r="I26" s="3029"/>
      <c r="J26" s="3462">
        <v>5</v>
      </c>
      <c r="K26" s="3131" t="s">
        <v>2917</v>
      </c>
      <c r="L26" s="3132"/>
      <c r="M26" s="3133"/>
      <c r="N26" s="3134" t="s">
        <v>2918</v>
      </c>
      <c r="O26" s="3134" t="s">
        <v>2919</v>
      </c>
      <c r="P26" s="3135" t="s">
        <v>2920</v>
      </c>
      <c r="Q26" s="3135" t="s">
        <v>2921</v>
      </c>
      <c r="R26" s="3038" t="s">
        <v>2846</v>
      </c>
      <c r="S26" s="3136"/>
      <c r="T26" s="3136"/>
      <c r="U26" s="3136"/>
      <c r="V26" s="3129"/>
    </row>
    <row r="27" spans="1:22" s="3033" customFormat="1" ht="13.15" customHeight="1">
      <c r="A27" s="3118"/>
      <c r="B27" s="3119" t="s">
        <v>2922</v>
      </c>
      <c r="C27" s="3137" t="e">
        <f>E7</f>
        <v>#DIV/0!</v>
      </c>
      <c r="D27" s="3121"/>
      <c r="E27" s="3122"/>
      <c r="F27" s="3123"/>
      <c r="G27" s="3117"/>
      <c r="H27" s="3138"/>
      <c r="I27" s="3129"/>
      <c r="J27" s="3463"/>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2923</v>
      </c>
      <c r="F28" s="3123"/>
      <c r="G28" s="3110"/>
      <c r="H28" s="3138"/>
      <c r="I28" s="3129"/>
      <c r="J28" s="3144">
        <v>6</v>
      </c>
      <c r="K28" s="3145" t="s">
        <v>2924</v>
      </c>
      <c r="L28" s="3146" t="s">
        <v>2925</v>
      </c>
      <c r="M28" s="3147"/>
      <c r="N28" s="3146" t="s">
        <v>2926</v>
      </c>
      <c r="O28" s="3148"/>
      <c r="P28" s="3146" t="s">
        <v>2927</v>
      </c>
      <c r="Q28" s="3149">
        <v>1.4999999999999999E-2</v>
      </c>
      <c r="R28" s="3150"/>
      <c r="S28" s="3102"/>
      <c r="T28" s="3102"/>
      <c r="U28" s="3102"/>
      <c r="V28" s="3129"/>
    </row>
    <row r="29" spans="1:22" s="3130" customFormat="1" ht="13.15" customHeight="1">
      <c r="A29" s="3111">
        <v>3</v>
      </c>
      <c r="B29" s="3112" t="s">
        <v>2928</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2922</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2929</v>
      </c>
      <c r="K31" s="3019"/>
      <c r="L31" s="3019"/>
      <c r="M31" s="3019"/>
      <c r="N31" s="3019"/>
      <c r="O31" s="3019"/>
      <c r="P31" s="3019"/>
      <c r="Q31" s="3019"/>
      <c r="R31" s="3020"/>
      <c r="S31" s="3102"/>
      <c r="T31" s="3021"/>
      <c r="U31" s="3021"/>
      <c r="V31" s="3129"/>
    </row>
    <row r="32" spans="1:22" s="3130" customFormat="1" ht="13.15" customHeight="1">
      <c r="A32" s="3111">
        <v>4</v>
      </c>
      <c r="B32" s="3112" t="s">
        <v>2930</v>
      </c>
      <c r="C32" s="3113">
        <f>C23-C26-C29</f>
        <v>0</v>
      </c>
      <c r="D32" s="3114">
        <f>D23-D26-D29</f>
        <v>0</v>
      </c>
      <c r="E32" s="3115">
        <f>E23-E26-E29</f>
        <v>0</v>
      </c>
      <c r="F32" s="3116"/>
      <c r="G32" s="3110"/>
      <c r="H32" s="3028"/>
      <c r="I32" s="3029"/>
      <c r="J32" s="3464" t="s">
        <v>2822</v>
      </c>
      <c r="K32" s="3465"/>
      <c r="L32" s="3030" t="s">
        <v>2823</v>
      </c>
      <c r="M32" s="3030" t="s">
        <v>2824</v>
      </c>
      <c r="N32" s="3030" t="s">
        <v>2825</v>
      </c>
      <c r="O32" s="3030" t="s">
        <v>2826</v>
      </c>
      <c r="P32" s="3030" t="s">
        <v>2827</v>
      </c>
      <c r="Q32" s="3031" t="s">
        <v>2828</v>
      </c>
      <c r="R32" s="3153" t="s">
        <v>2829</v>
      </c>
      <c r="S32" s="3102"/>
      <c r="T32" s="3021"/>
      <c r="U32" s="3021"/>
      <c r="V32" s="3129"/>
    </row>
    <row r="33" spans="1:23" s="3033" customFormat="1" ht="13.15" customHeight="1">
      <c r="A33" s="3111"/>
      <c r="B33" s="3112"/>
      <c r="C33" s="3113"/>
      <c r="D33" s="3154"/>
      <c r="E33" s="3155"/>
      <c r="F33" s="3116"/>
      <c r="G33" s="3110"/>
      <c r="H33" s="3138"/>
      <c r="I33" s="3129"/>
      <c r="J33" s="3466" t="s">
        <v>2832</v>
      </c>
      <c r="K33" s="3467"/>
      <c r="L33" s="3036"/>
      <c r="M33" s="3036"/>
      <c r="N33" s="3036"/>
      <c r="O33" s="3036"/>
      <c r="P33" s="3036"/>
      <c r="Q33" s="3037"/>
      <c r="R33" s="3156">
        <f>SUM(L33:Q33)</f>
        <v>0</v>
      </c>
      <c r="S33" s="3102"/>
      <c r="T33" s="3021"/>
      <c r="U33" s="3021"/>
      <c r="V33" s="3029"/>
    </row>
    <row r="34" spans="1:23" s="3033" customFormat="1" ht="13.15" customHeight="1">
      <c r="A34" s="3111">
        <v>5</v>
      </c>
      <c r="B34" s="3112" t="s">
        <v>2931</v>
      </c>
      <c r="C34" s="3157"/>
      <c r="D34" s="3158"/>
      <c r="E34" s="3159"/>
      <c r="F34" s="3116"/>
      <c r="G34" s="3110"/>
      <c r="H34" s="3138"/>
      <c r="I34" s="3129"/>
      <c r="J34" s="3466" t="s">
        <v>2834</v>
      </c>
      <c r="K34" s="3467"/>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2932</v>
      </c>
      <c r="C35" s="3161"/>
      <c r="D35" s="3162"/>
      <c r="E35" s="3163"/>
      <c r="F35" s="3116"/>
      <c r="G35" s="3164"/>
      <c r="H35" s="3028"/>
      <c r="I35" s="3129"/>
      <c r="J35" s="3047" t="s">
        <v>2836</v>
      </c>
      <c r="K35" s="3048"/>
      <c r="L35" s="3048"/>
      <c r="M35" s="3049"/>
      <c r="N35" s="3049"/>
      <c r="O35" s="3049"/>
      <c r="P35" s="3049"/>
      <c r="Q35" s="3049"/>
      <c r="R35" s="3165">
        <f>R40+R41+R43</f>
        <v>0</v>
      </c>
      <c r="S35" s="3102"/>
      <c r="T35" s="3021" t="s">
        <v>2837</v>
      </c>
      <c r="U35" s="3021"/>
      <c r="V35" s="3029"/>
    </row>
    <row r="36" spans="1:23" s="3033" customFormat="1" ht="13.15" customHeight="1" thickBot="1">
      <c r="A36" s="3111">
        <v>7</v>
      </c>
      <c r="B36" s="3166" t="s">
        <v>2933</v>
      </c>
      <c r="C36" s="3167"/>
      <c r="D36" s="3168"/>
      <c r="E36" s="3169"/>
      <c r="F36" s="3170">
        <f>C36+D36+E36</f>
        <v>0</v>
      </c>
      <c r="G36" s="3110"/>
      <c r="H36" s="3028"/>
      <c r="I36" s="3029"/>
      <c r="J36" s="3458">
        <v>1</v>
      </c>
      <c r="K36" s="3459" t="s">
        <v>2934</v>
      </c>
      <c r="L36" s="3054"/>
      <c r="M36" s="3055"/>
      <c r="N36" s="3055"/>
      <c r="O36" s="3055"/>
      <c r="P36" s="3055"/>
      <c r="Q36" s="3055"/>
      <c r="R36" s="3038" t="s">
        <v>2846</v>
      </c>
      <c r="S36" s="3102"/>
      <c r="T36" s="3021" t="s">
        <v>2847</v>
      </c>
      <c r="U36" s="3021"/>
      <c r="V36" s="3029"/>
    </row>
    <row r="37" spans="1:23" s="3033" customFormat="1" ht="13.15" customHeight="1">
      <c r="A37" s="3111"/>
      <c r="B37" s="3112"/>
      <c r="C37" s="3112"/>
      <c r="D37" s="3112"/>
      <c r="E37" s="3112"/>
      <c r="F37" s="3116"/>
      <c r="G37" s="3110"/>
      <c r="H37" s="3028"/>
      <c r="I37" s="3029"/>
      <c r="J37" s="3458"/>
      <c r="K37" s="3460"/>
      <c r="L37" s="3063"/>
      <c r="M37" s="3064"/>
      <c r="N37" s="3040"/>
      <c r="O37" s="3065"/>
      <c r="P37" s="3065"/>
      <c r="Q37" s="3066"/>
      <c r="R37" s="3067"/>
      <c r="S37" s="3102"/>
      <c r="T37" s="3021" t="s">
        <v>2850</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58"/>
      <c r="K38" s="3460"/>
      <c r="L38" s="3063"/>
      <c r="M38" s="3064"/>
      <c r="N38" s="3040"/>
      <c r="O38" s="3065"/>
      <c r="P38" s="3065"/>
      <c r="Q38" s="3066"/>
      <c r="R38" s="3067"/>
      <c r="S38" s="3102"/>
      <c r="T38" s="3021" t="s">
        <v>2857</v>
      </c>
      <c r="U38" s="3021"/>
      <c r="V38" s="3029"/>
    </row>
    <row r="39" spans="1:23" s="3033" customFormat="1" ht="13.15" customHeight="1">
      <c r="A39" s="3111">
        <v>9</v>
      </c>
      <c r="B39" s="3112" t="s">
        <v>2935</v>
      </c>
      <c r="C39" s="3077" t="e">
        <f>C38</f>
        <v>#DIV/0!</v>
      </c>
      <c r="D39" s="3112">
        <f>D38/(1+D34)^C36</f>
        <v>0</v>
      </c>
      <c r="E39" s="3112">
        <f>E38/(1+E34)^(C36+D36)</f>
        <v>0</v>
      </c>
      <c r="F39" s="3116"/>
      <c r="G39" s="3171"/>
      <c r="H39" s="3028"/>
      <c r="I39" s="3029"/>
      <c r="J39" s="3458"/>
      <c r="K39" s="3460"/>
      <c r="L39" s="3063"/>
      <c r="M39" s="3064"/>
      <c r="N39" s="3040"/>
      <c r="O39" s="3065"/>
      <c r="P39" s="3065"/>
      <c r="Q39" s="3066"/>
      <c r="R39" s="3067"/>
      <c r="S39" s="3102"/>
      <c r="T39" s="3021"/>
      <c r="U39" s="3021"/>
      <c r="V39" s="3029"/>
    </row>
    <row r="40" spans="1:23" s="3033" customFormat="1" ht="13.15" customHeight="1">
      <c r="A40" s="3172">
        <v>10</v>
      </c>
      <c r="B40" s="3112" t="s">
        <v>2936</v>
      </c>
      <c r="C40" s="3173" t="e">
        <f>C39+D39+E39</f>
        <v>#DIV/0!</v>
      </c>
      <c r="D40" s="3174"/>
      <c r="E40" s="3174"/>
      <c r="F40" s="3175"/>
      <c r="G40" s="3110"/>
      <c r="H40" s="3028"/>
      <c r="I40" s="3029"/>
      <c r="J40" s="3458"/>
      <c r="K40" s="3461"/>
      <c r="L40" s="3083" t="s">
        <v>2875</v>
      </c>
      <c r="M40" s="3084"/>
      <c r="N40" s="3084"/>
      <c r="O40" s="3085"/>
      <c r="P40" s="3085"/>
      <c r="Q40" s="3086"/>
      <c r="R40" s="3032">
        <f>SUM(R37:R39)</f>
        <v>0</v>
      </c>
      <c r="S40" s="3102"/>
      <c r="T40" s="3021"/>
      <c r="U40" s="3021"/>
      <c r="V40" s="3029"/>
    </row>
    <row r="41" spans="1:23" s="3033" customFormat="1" ht="13.15" customHeight="1" thickBot="1">
      <c r="A41" s="3176">
        <v>11</v>
      </c>
      <c r="B41" s="3177" t="s">
        <v>2937</v>
      </c>
      <c r="C41" s="3177" t="e">
        <f>ROUND(C40*10000/B4,0)</f>
        <v>#DIV/0!</v>
      </c>
      <c r="D41" s="3178"/>
      <c r="E41" s="3178"/>
      <c r="F41" s="3179"/>
      <c r="G41" s="3180"/>
      <c r="H41" s="3028"/>
      <c r="I41" s="3029"/>
      <c r="J41" s="3124">
        <v>2</v>
      </c>
      <c r="K41" s="3125" t="s">
        <v>2915</v>
      </c>
      <c r="L41" s="3126"/>
      <c r="M41" s="3126"/>
      <c r="N41" s="3126"/>
      <c r="O41" s="3126"/>
      <c r="P41" s="3127"/>
      <c r="Q41" s="3128"/>
      <c r="R41" s="3099">
        <f>ROUND(R40*Q41,0)</f>
        <v>0</v>
      </c>
      <c r="S41" s="3102"/>
      <c r="T41" s="3021"/>
      <c r="U41" s="3136"/>
      <c r="V41" s="3029"/>
    </row>
    <row r="42" spans="1:23" s="3033" customFormat="1" ht="13.15" customHeight="1">
      <c r="G42" s="3180"/>
      <c r="H42" s="3028"/>
      <c r="I42" s="3029"/>
      <c r="J42" s="3462">
        <v>3</v>
      </c>
      <c r="K42" s="3131" t="s">
        <v>2917</v>
      </c>
      <c r="L42" s="3132"/>
      <c r="M42" s="3133"/>
      <c r="N42" s="3134" t="s">
        <v>2918</v>
      </c>
      <c r="O42" s="3134" t="s">
        <v>2919</v>
      </c>
      <c r="P42" s="3135" t="s">
        <v>2920</v>
      </c>
      <c r="Q42" s="3135" t="s">
        <v>2921</v>
      </c>
      <c r="R42" s="3038" t="s">
        <v>2846</v>
      </c>
      <c r="S42" s="3136"/>
      <c r="T42" s="3136"/>
      <c r="U42" s="3021"/>
      <c r="V42" s="3029"/>
    </row>
    <row r="43" spans="1:23" ht="13.15" customHeight="1">
      <c r="A43" s="3033"/>
      <c r="B43" s="3033"/>
      <c r="C43" s="3033"/>
      <c r="D43" s="3033"/>
      <c r="E43" s="3033"/>
      <c r="F43" s="3033"/>
      <c r="I43" s="3016"/>
      <c r="J43" s="3463"/>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2924</v>
      </c>
      <c r="L44" s="3184" t="s">
        <v>2925</v>
      </c>
      <c r="M44" s="3147"/>
      <c r="N44" s="3184" t="s">
        <v>2926</v>
      </c>
      <c r="O44" s="3147"/>
      <c r="P44" s="3184" t="s">
        <v>2927</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B8" sqref="B8"/>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5"/>
      <c r="G1" s="1625"/>
      <c r="H1" s="1625"/>
      <c r="I1" s="1625"/>
      <c r="J1" s="1625"/>
      <c r="K1" s="1625"/>
      <c r="L1" s="1625"/>
      <c r="M1" s="1625"/>
      <c r="N1" s="1625"/>
      <c r="O1" s="1625"/>
      <c r="P1" s="1625"/>
      <c r="Q1" s="1625"/>
      <c r="R1" s="1625"/>
      <c r="S1" s="1625"/>
    </row>
    <row r="2" spans="1:22" ht="15.75">
      <c r="A2" s="2007" t="s">
        <v>1907</v>
      </c>
      <c r="B2" s="2008">
        <f ca="1">SUMIF(B6:B13,"&lt;&gt;#ref!",B6:B13)</f>
        <v>51460</v>
      </c>
      <c r="C2" s="2009" t="s">
        <v>2099</v>
      </c>
      <c r="D2" s="2010" t="s">
        <v>2100</v>
      </c>
      <c r="E2" s="2782">
        <f>SUM(E6:E13)</f>
        <v>40421.870000000003</v>
      </c>
      <c r="F2" s="2885"/>
      <c r="G2" s="1625"/>
      <c r="H2" s="1625"/>
      <c r="I2" s="1625"/>
      <c r="J2" s="1625"/>
      <c r="K2" s="1625"/>
      <c r="L2" s="1625"/>
      <c r="M2" s="1625"/>
      <c r="N2" s="1625"/>
      <c r="O2" s="1625"/>
      <c r="P2" s="1625"/>
      <c r="Q2" s="1625"/>
      <c r="R2" s="1625"/>
      <c r="S2" s="1625"/>
    </row>
    <row r="3" spans="1:22" ht="15.75">
      <c r="A3" s="2007" t="s">
        <v>1119</v>
      </c>
      <c r="B3" s="2776">
        <f ca="1">ROUND(B2*10000/E2,0)</f>
        <v>12731</v>
      </c>
      <c r="C3" s="2009" t="s">
        <v>2107</v>
      </c>
      <c r="D3" s="2887"/>
      <c r="E3" s="2889"/>
      <c r="F3" s="2885"/>
      <c r="G3" s="1625"/>
      <c r="H3" s="1625"/>
      <c r="I3" s="1625"/>
      <c r="J3" s="1625"/>
      <c r="K3" s="1625"/>
      <c r="L3" s="1625"/>
      <c r="M3" s="1625"/>
      <c r="N3" s="1625"/>
      <c r="O3" s="1625"/>
      <c r="P3" s="1625"/>
      <c r="Q3" s="1625"/>
      <c r="R3" s="1625"/>
      <c r="S3" s="1625"/>
    </row>
    <row r="4" spans="1:22" ht="15.75">
      <c r="A4" s="2890"/>
      <c r="B4" s="2887"/>
      <c r="C4" s="2887"/>
      <c r="D4" s="2887"/>
      <c r="E4" s="2889"/>
      <c r="F4" s="2885"/>
      <c r="G4" s="1625"/>
      <c r="H4" s="1625"/>
      <c r="I4" s="1625"/>
      <c r="J4" s="1625"/>
      <c r="K4" s="1625"/>
      <c r="L4" s="1625"/>
      <c r="M4" s="1625"/>
      <c r="N4" s="1625"/>
      <c r="O4" s="1625"/>
      <c r="P4" s="1625"/>
      <c r="Q4" s="1625"/>
      <c r="R4" s="1625"/>
      <c r="S4" s="1625"/>
    </row>
    <row r="5" spans="1:22" ht="15">
      <c r="A5" s="2778" t="s">
        <v>2101</v>
      </c>
      <c r="B5" s="3477" t="s">
        <v>2102</v>
      </c>
      <c r="C5" s="3478"/>
      <c r="D5" s="2886"/>
      <c r="E5" s="2011" t="s">
        <v>2103</v>
      </c>
      <c r="F5" s="2012" t="s">
        <v>2104</v>
      </c>
      <c r="G5" s="1625"/>
      <c r="H5" s="1625"/>
      <c r="I5" s="1625"/>
      <c r="J5" s="1625"/>
      <c r="K5" s="1625"/>
      <c r="L5" s="1625"/>
      <c r="M5" s="1625"/>
      <c r="N5" s="1625"/>
      <c r="O5" s="1625"/>
      <c r="P5" s="1625"/>
      <c r="Q5" s="1625"/>
      <c r="R5" s="1625"/>
      <c r="S5" s="1625"/>
    </row>
    <row r="6" spans="1:22">
      <c r="A6" s="2779" t="str">
        <f>'数据-取费表'!AN6</f>
        <v>收益法-商业</v>
      </c>
      <c r="B6" s="2777">
        <f ca="1">IF(F6="是",'数据-取费表'!AO6,0)</f>
        <v>58377</v>
      </c>
      <c r="C6" s="2009" t="s">
        <v>2099</v>
      </c>
      <c r="D6" s="2887"/>
      <c r="E6" s="2781">
        <f>IF(OR(A6=0,F6="否"),0,'数据-取费表'!K6+'数据-取费表'!S6)</f>
        <v>26186.700000000004</v>
      </c>
      <c r="F6" s="2013" t="s">
        <v>2105</v>
      </c>
      <c r="G6" s="1625"/>
      <c r="H6" s="1625"/>
      <c r="I6" s="1625"/>
      <c r="J6" s="1625"/>
      <c r="K6" s="1625"/>
      <c r="L6" s="1625"/>
      <c r="M6" s="1625"/>
      <c r="N6" s="1625"/>
      <c r="O6" s="1625"/>
      <c r="P6" s="1625"/>
      <c r="Q6" s="1625"/>
      <c r="R6" s="1625"/>
      <c r="S6" s="1625"/>
    </row>
    <row r="7" spans="1:22">
      <c r="A7" s="2779" t="str">
        <f>'数据-取费表'!AN7</f>
        <v>收益法</v>
      </c>
      <c r="B7" s="2777">
        <f ca="1">IF(F7="是",'数据-取费表'!AO7,0)</f>
        <v>4417</v>
      </c>
      <c r="C7" s="2009" t="s">
        <v>2099</v>
      </c>
      <c r="D7" s="2887"/>
      <c r="E7" s="2781">
        <f>IF(OR(A7=0,F7="否"),0,'数据-取费表'!K7+'数据-取费表'!S7)</f>
        <v>14235.169999999998</v>
      </c>
      <c r="F7" s="2013" t="s">
        <v>2105</v>
      </c>
      <c r="G7" s="1625"/>
      <c r="H7" s="1625"/>
      <c r="I7" s="1625"/>
      <c r="J7" s="1625"/>
      <c r="K7" s="1625"/>
      <c r="L7" s="1625"/>
      <c r="M7" s="1625"/>
      <c r="N7" s="1625"/>
      <c r="O7" s="1625"/>
      <c r="P7" s="1625"/>
      <c r="Q7" s="1625"/>
      <c r="R7" s="1625"/>
      <c r="S7" s="1625"/>
    </row>
    <row r="8" spans="1:22">
      <c r="A8" s="2779">
        <f>'数据-取费表'!AN8</f>
        <v>0</v>
      </c>
      <c r="B8" s="2777">
        <f>-面积!J84</f>
        <v>-11334</v>
      </c>
      <c r="C8" s="2009" t="s">
        <v>2099</v>
      </c>
      <c r="D8" s="2887"/>
      <c r="E8" s="2781">
        <f>IF(OR(A8=0,F8="否"),0,'数据-取费表'!K8+'数据-取费表'!S8)</f>
        <v>0</v>
      </c>
      <c r="F8" s="2013" t="s">
        <v>2105</v>
      </c>
      <c r="G8" s="1625"/>
      <c r="H8" s="1625"/>
      <c r="I8" s="1625"/>
      <c r="J8" s="1625"/>
      <c r="K8" s="1625"/>
      <c r="L8" s="1625"/>
      <c r="M8" s="1625"/>
      <c r="N8" s="1625"/>
      <c r="O8" s="1625"/>
      <c r="P8" s="1625"/>
      <c r="Q8" s="1625"/>
      <c r="R8" s="1625"/>
      <c r="S8" s="1625"/>
    </row>
    <row r="9" spans="1:22">
      <c r="A9" s="2779">
        <f>'数据-取费表'!AN9</f>
        <v>0</v>
      </c>
      <c r="B9" s="2777" t="e">
        <f ca="1">IF(F9="是",'数据-取费表'!AO9,0)</f>
        <v>#REF!</v>
      </c>
      <c r="C9" s="2009" t="s">
        <v>2099</v>
      </c>
      <c r="D9" s="2887"/>
      <c r="E9" s="2781">
        <f>IF(OR(A9=0,F9="否"),0,'数据-取费表'!K9+'数据-取费表'!S9)</f>
        <v>0</v>
      </c>
      <c r="F9" s="2013" t="s">
        <v>2105</v>
      </c>
      <c r="G9" s="1625"/>
      <c r="H9" s="1625"/>
      <c r="I9" s="1625"/>
      <c r="J9" s="1625"/>
      <c r="K9" s="1625"/>
      <c r="L9" s="1625"/>
      <c r="M9" s="1625"/>
      <c r="N9" s="1625"/>
      <c r="O9" s="1625"/>
      <c r="P9" s="1625"/>
      <c r="Q9" s="1625"/>
      <c r="R9" s="1625"/>
      <c r="S9" s="1625"/>
    </row>
    <row r="10" spans="1:22">
      <c r="A10" s="2779">
        <f>'数据-取费表'!AN10</f>
        <v>0</v>
      </c>
      <c r="B10" s="2777" t="e">
        <f ca="1">IF(F10="是",'数据-取费表'!AO10,0)</f>
        <v>#REF!</v>
      </c>
      <c r="C10" s="2009" t="s">
        <v>2099</v>
      </c>
      <c r="D10" s="2887"/>
      <c r="E10" s="2781">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79">
        <f>'数据-取费表'!AN11</f>
        <v>0</v>
      </c>
      <c r="B11" s="2777" t="e">
        <f ca="1">IF(F11="是",'数据-取费表'!AO11,0)</f>
        <v>#REF!</v>
      </c>
      <c r="C11" s="2009" t="s">
        <v>2099</v>
      </c>
      <c r="D11" s="2887"/>
      <c r="E11" s="2781">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79">
        <f>'数据-取费表'!AN12</f>
        <v>0</v>
      </c>
      <c r="B12" s="2777" t="e">
        <f ca="1">IF(F12="是",'数据-取费表'!AO12,0)</f>
        <v>#REF!</v>
      </c>
      <c r="C12" s="2009" t="s">
        <v>2099</v>
      </c>
      <c r="D12" s="2887"/>
      <c r="E12" s="2781">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0">
        <f>'数据-取费表'!AN13</f>
        <v>0</v>
      </c>
      <c r="B13" s="2777" t="e">
        <f ca="1">IF(F13="是",'数据-取费表'!AO13,0)</f>
        <v>#REF!</v>
      </c>
      <c r="C13" s="2014" t="s">
        <v>2099</v>
      </c>
      <c r="D13" s="2888"/>
      <c r="E13" s="2781">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1"/>
      <c r="M2" s="2892"/>
      <c r="N2" s="2892"/>
      <c r="O2" s="289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40421.870000000003</v>
      </c>
      <c r="E3" s="1019"/>
      <c r="F3" s="2025"/>
      <c r="G3" s="1019"/>
      <c r="H3" s="1019"/>
      <c r="I3" s="1019"/>
      <c r="J3" s="1019"/>
      <c r="K3" s="2021"/>
      <c r="L3" s="2891"/>
      <c r="M3" s="2892"/>
      <c r="N3" s="2892"/>
      <c r="O3" s="2892"/>
      <c r="P3" s="2022"/>
      <c r="Q3" s="2023"/>
      <c r="R3" s="2023"/>
      <c r="S3" s="2023"/>
      <c r="T3" s="2023"/>
      <c r="U3" s="2023"/>
      <c r="V3" s="2023"/>
      <c r="W3" s="2023"/>
      <c r="X3" s="2023"/>
      <c r="Y3" s="2023"/>
      <c r="Z3" s="2023"/>
      <c r="AA3" s="2023"/>
      <c r="AB3" s="2023"/>
      <c r="AC3" s="1173"/>
    </row>
    <row r="4" spans="1:29" ht="15">
      <c r="A4" s="361" t="s">
        <v>2115</v>
      </c>
      <c r="B4" s="362"/>
      <c r="C4" s="3497" t="s">
        <v>2116</v>
      </c>
      <c r="D4" s="3498"/>
      <c r="E4" s="3499" t="s">
        <v>2117</v>
      </c>
      <c r="F4" s="3500"/>
      <c r="G4" s="3497" t="s">
        <v>2118</v>
      </c>
      <c r="H4" s="3498"/>
      <c r="I4" s="3497" t="s">
        <v>2119</v>
      </c>
      <c r="J4" s="3498"/>
      <c r="K4" s="2026" t="s">
        <v>2120</v>
      </c>
      <c r="L4" s="2893"/>
      <c r="M4" s="2894"/>
      <c r="N4" s="2894"/>
      <c r="O4" s="2894"/>
      <c r="P4" s="3501" t="s">
        <v>2121</v>
      </c>
      <c r="Q4" s="3502"/>
      <c r="R4" s="3507" t="s">
        <v>2117</v>
      </c>
      <c r="S4" s="3508"/>
      <c r="T4" s="3507" t="s">
        <v>2118</v>
      </c>
      <c r="U4" s="3508"/>
      <c r="V4" s="3513" t="s">
        <v>2119</v>
      </c>
      <c r="W4" s="3513"/>
      <c r="X4" s="1490"/>
      <c r="Y4" s="3507" t="s">
        <v>2121</v>
      </c>
      <c r="Z4" s="3508"/>
      <c r="AA4" s="3494" t="s">
        <v>2117</v>
      </c>
      <c r="AB4" s="3494" t="s">
        <v>2118</v>
      </c>
      <c r="AC4" s="3494" t="s">
        <v>2119</v>
      </c>
    </row>
    <row r="5" spans="1:29" ht="15">
      <c r="A5" s="364"/>
      <c r="B5" s="365"/>
      <c r="C5" s="3516" t="s">
        <v>2122</v>
      </c>
      <c r="D5" s="3517"/>
      <c r="E5" s="3523" t="s">
        <v>2123</v>
      </c>
      <c r="F5" s="3524"/>
      <c r="G5" s="3516" t="s">
        <v>2124</v>
      </c>
      <c r="H5" s="3517"/>
      <c r="I5" s="3516" t="s">
        <v>2125</v>
      </c>
      <c r="J5" s="3517"/>
      <c r="K5" s="2027"/>
      <c r="L5" s="2893"/>
      <c r="M5" s="2894"/>
      <c r="N5" s="2894"/>
      <c r="O5" s="2894"/>
      <c r="P5" s="3503"/>
      <c r="Q5" s="3504"/>
      <c r="R5" s="3509"/>
      <c r="S5" s="3510"/>
      <c r="T5" s="3509"/>
      <c r="U5" s="3510"/>
      <c r="V5" s="3513"/>
      <c r="W5" s="3513"/>
      <c r="X5" s="1490"/>
      <c r="Y5" s="3509"/>
      <c r="Z5" s="3510"/>
      <c r="AA5" s="3495"/>
      <c r="AB5" s="3495"/>
      <c r="AC5" s="3495"/>
    </row>
    <row r="6" spans="1:29" ht="15.75" thickBot="1">
      <c r="A6" s="366"/>
      <c r="B6" s="367"/>
      <c r="C6" s="3514" t="s">
        <v>2126</v>
      </c>
      <c r="D6" s="3515"/>
      <c r="E6" s="3521" t="s">
        <v>2126</v>
      </c>
      <c r="F6" s="3522"/>
      <c r="G6" s="3514" t="s">
        <v>2126</v>
      </c>
      <c r="H6" s="3515"/>
      <c r="I6" s="3514" t="s">
        <v>2126</v>
      </c>
      <c r="J6" s="3515"/>
      <c r="K6" s="2027" t="s">
        <v>2127</v>
      </c>
      <c r="L6" s="2893"/>
      <c r="M6" s="2894"/>
      <c r="N6" s="2894"/>
      <c r="O6" s="2894"/>
      <c r="P6" s="3505"/>
      <c r="Q6" s="3506"/>
      <c r="R6" s="3509"/>
      <c r="S6" s="3510"/>
      <c r="T6" s="3511"/>
      <c r="U6" s="3512"/>
      <c r="V6" s="3513"/>
      <c r="W6" s="3513"/>
      <c r="X6" s="1490"/>
      <c r="Y6" s="3511"/>
      <c r="Z6" s="3512"/>
      <c r="AA6" s="3496"/>
      <c r="AB6" s="3496"/>
      <c r="AC6" s="3496"/>
    </row>
    <row r="7" spans="1:29" s="113" customFormat="1" ht="15.75" thickBot="1">
      <c r="A7" s="368" t="s">
        <v>2128</v>
      </c>
      <c r="B7" s="369"/>
      <c r="C7" s="370">
        <f>'数据-取费表'!B2</f>
        <v>44799</v>
      </c>
      <c r="D7" s="371">
        <v>100</v>
      </c>
      <c r="E7" s="372"/>
      <c r="F7" s="373">
        <f>SUMIF(58:58,YEAR(E7)&amp;"-"&amp;MONTH(E7),59:59)</f>
        <v>0</v>
      </c>
      <c r="G7" s="372"/>
      <c r="H7" s="371">
        <f>SUMIF(58:58,YEAR(G7)&amp;"-"&amp;MONTH(G7),59:59)</f>
        <v>0</v>
      </c>
      <c r="I7" s="372"/>
      <c r="J7" s="371">
        <f>SUMIF(58:58,YEAR(I7)&amp;"-"&amp;MONTH(I7),59:59)</f>
        <v>0</v>
      </c>
      <c r="K7" s="2028"/>
      <c r="L7" s="2895"/>
      <c r="M7" s="2896"/>
      <c r="N7" s="2896"/>
      <c r="O7" s="2896"/>
      <c r="P7" s="3518" t="s">
        <v>2129</v>
      </c>
      <c r="Q7" s="3520"/>
      <c r="R7" s="710" t="s">
        <v>23</v>
      </c>
      <c r="S7" s="711">
        <f t="shared" ref="S7:S15" si="0">F7</f>
        <v>0</v>
      </c>
      <c r="T7" s="710" t="s">
        <v>23</v>
      </c>
      <c r="U7" s="711">
        <f t="shared" ref="U7:U15" si="1">H7</f>
        <v>0</v>
      </c>
      <c r="V7" s="710" t="s">
        <v>23</v>
      </c>
      <c r="W7" s="711">
        <f t="shared" ref="W7:W15" si="2">J7</f>
        <v>0</v>
      </c>
      <c r="X7" s="712"/>
      <c r="Y7" s="3518" t="s">
        <v>2129</v>
      </c>
      <c r="Z7" s="3519"/>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5"/>
      <c r="M8" s="2896"/>
      <c r="N8" s="2896"/>
      <c r="O8" s="2896"/>
      <c r="P8" s="3518" t="s">
        <v>2132</v>
      </c>
      <c r="Q8" s="3519"/>
      <c r="R8" s="710" t="s">
        <v>23</v>
      </c>
      <c r="S8" s="711">
        <f t="shared" si="0"/>
        <v>0</v>
      </c>
      <c r="T8" s="710" t="s">
        <v>23</v>
      </c>
      <c r="U8" s="711">
        <f t="shared" si="1"/>
        <v>0</v>
      </c>
      <c r="V8" s="710" t="s">
        <v>23</v>
      </c>
      <c r="W8" s="711">
        <f t="shared" si="2"/>
        <v>0</v>
      </c>
      <c r="X8" s="712"/>
      <c r="Y8" s="3518" t="s">
        <v>2132</v>
      </c>
      <c r="Z8" s="3519"/>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5"/>
      <c r="M9" s="2896"/>
      <c r="N9" s="2896"/>
      <c r="O9" s="2896"/>
      <c r="P9" s="3493" t="s">
        <v>2135</v>
      </c>
      <c r="Q9" s="1478" t="str">
        <f t="shared" ref="Q9:Q15" si="6">B9</f>
        <v>用途</v>
      </c>
      <c r="R9" s="710" t="s">
        <v>17</v>
      </c>
      <c r="S9" s="711">
        <f t="shared" si="0"/>
        <v>100</v>
      </c>
      <c r="T9" s="710" t="s">
        <v>17</v>
      </c>
      <c r="U9" s="711">
        <f t="shared" si="1"/>
        <v>100</v>
      </c>
      <c r="V9" s="710" t="s">
        <v>17</v>
      </c>
      <c r="W9" s="711">
        <f t="shared" si="2"/>
        <v>100</v>
      </c>
      <c r="X9" s="712"/>
      <c r="Y9" s="3354"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93"/>
      <c r="Q10" s="1478"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93"/>
      <c r="Q11" s="1478" t="str">
        <f t="shared" si="6"/>
        <v>容积率</v>
      </c>
      <c r="R11" s="710" t="s">
        <v>21</v>
      </c>
      <c r="S11" s="711" t="e">
        <f t="shared" si="0"/>
        <v>#N/A</v>
      </c>
      <c r="T11" s="710" t="s">
        <v>21</v>
      </c>
      <c r="U11" s="711" t="e">
        <f t="shared" si="1"/>
        <v>#N/A</v>
      </c>
      <c r="V11" s="710" t="s">
        <v>21</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5"/>
      <c r="M12" s="2896"/>
      <c r="N12" s="2896"/>
      <c r="O12" s="2896"/>
      <c r="P12" s="3493"/>
      <c r="Q12" s="1478">
        <f t="shared" si="6"/>
        <v>111</v>
      </c>
      <c r="R12" s="710" t="s">
        <v>21</v>
      </c>
      <c r="S12" s="711">
        <f t="shared" si="0"/>
        <v>100</v>
      </c>
      <c r="T12" s="710" t="s">
        <v>21</v>
      </c>
      <c r="U12" s="711">
        <f t="shared" si="1"/>
        <v>100</v>
      </c>
      <c r="V12" s="710" t="s">
        <v>21</v>
      </c>
      <c r="W12" s="711">
        <f t="shared" si="2"/>
        <v>100</v>
      </c>
      <c r="X12" s="712"/>
      <c r="Y12" s="3354"/>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0"/>
      <c r="M13" s="2894"/>
      <c r="N13" s="2894"/>
      <c r="O13" s="2894"/>
      <c r="P13" s="3493"/>
      <c r="Q13" s="1478">
        <f t="shared" si="6"/>
        <v>111</v>
      </c>
      <c r="R13" s="710" t="s">
        <v>21</v>
      </c>
      <c r="S13" s="711">
        <f t="shared" si="0"/>
        <v>100</v>
      </c>
      <c r="T13" s="710" t="s">
        <v>21</v>
      </c>
      <c r="U13" s="711">
        <f t="shared" si="1"/>
        <v>100</v>
      </c>
      <c r="V13" s="710" t="s">
        <v>21</v>
      </c>
      <c r="W13" s="711">
        <f t="shared" si="2"/>
        <v>100</v>
      </c>
      <c r="X13" s="712"/>
      <c r="Y13" s="3354"/>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0"/>
      <c r="M14" s="2894"/>
      <c r="N14" s="2894"/>
      <c r="O14" s="2894"/>
      <c r="P14" s="3493"/>
      <c r="Q14" s="1478">
        <f t="shared" si="6"/>
        <v>111</v>
      </c>
      <c r="R14" s="710" t="s">
        <v>21</v>
      </c>
      <c r="S14" s="711">
        <f t="shared" si="0"/>
        <v>100</v>
      </c>
      <c r="T14" s="710" t="s">
        <v>21</v>
      </c>
      <c r="U14" s="711">
        <f t="shared" si="1"/>
        <v>100</v>
      </c>
      <c r="V14" s="710" t="s">
        <v>21</v>
      </c>
      <c r="W14" s="711">
        <f t="shared" si="2"/>
        <v>100</v>
      </c>
      <c r="X14" s="712"/>
      <c r="Y14" s="3354"/>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491" t="s">
        <v>2140</v>
      </c>
      <c r="Q15" s="1487" t="str">
        <f t="shared" si="6"/>
        <v>居住社区成熟度</v>
      </c>
      <c r="R15" s="714" t="s">
        <v>21</v>
      </c>
      <c r="S15" s="715">
        <f t="shared" si="0"/>
        <v>100</v>
      </c>
      <c r="T15" s="714" t="s">
        <v>21</v>
      </c>
      <c r="U15" s="715">
        <f t="shared" si="1"/>
        <v>100</v>
      </c>
      <c r="V15" s="714" t="s">
        <v>21</v>
      </c>
      <c r="W15" s="715">
        <f t="shared" si="2"/>
        <v>100</v>
      </c>
      <c r="X15" s="1490"/>
      <c r="Y15" s="3484"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0"/>
      <c r="M16" s="2894"/>
      <c r="N16" s="2894"/>
      <c r="O16" s="2894"/>
      <c r="P16" s="3492"/>
      <c r="Q16" s="1487"/>
      <c r="R16" s="714"/>
      <c r="S16" s="715"/>
      <c r="T16" s="714"/>
      <c r="U16" s="715"/>
      <c r="V16" s="714"/>
      <c r="W16" s="715"/>
      <c r="X16" s="1490"/>
      <c r="Y16" s="3485"/>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492"/>
      <c r="Q17" s="1487" t="str">
        <f>B17</f>
        <v>交通便捷度</v>
      </c>
      <c r="R17" s="714" t="s">
        <v>21</v>
      </c>
      <c r="S17" s="715">
        <f>F17</f>
        <v>100</v>
      </c>
      <c r="T17" s="714" t="s">
        <v>21</v>
      </c>
      <c r="U17" s="715">
        <f>H17</f>
        <v>100</v>
      </c>
      <c r="V17" s="714" t="s">
        <v>21</v>
      </c>
      <c r="W17" s="715">
        <f>J17</f>
        <v>100</v>
      </c>
      <c r="X17" s="1490"/>
      <c r="Y17" s="3485"/>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0"/>
      <c r="M18" s="2894"/>
      <c r="N18" s="2894"/>
      <c r="O18" s="2894"/>
      <c r="P18" s="3492"/>
      <c r="Q18" s="1487"/>
      <c r="R18" s="714"/>
      <c r="S18" s="715"/>
      <c r="T18" s="714"/>
      <c r="U18" s="715"/>
      <c r="V18" s="714"/>
      <c r="W18" s="715"/>
      <c r="X18" s="1490"/>
      <c r="Y18" s="3485"/>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492"/>
      <c r="Q19" s="1487" t="str">
        <f>B19</f>
        <v>公共配套设施</v>
      </c>
      <c r="R19" s="714" t="s">
        <v>21</v>
      </c>
      <c r="S19" s="715">
        <f>F19</f>
        <v>100</v>
      </c>
      <c r="T19" s="714" t="s">
        <v>21</v>
      </c>
      <c r="U19" s="715">
        <f>H19</f>
        <v>100</v>
      </c>
      <c r="V19" s="714" t="s">
        <v>21</v>
      </c>
      <c r="W19" s="715">
        <f>J19</f>
        <v>100</v>
      </c>
      <c r="X19" s="1490"/>
      <c r="Y19" s="3485"/>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0"/>
      <c r="M20" s="2894"/>
      <c r="N20" s="2894"/>
      <c r="O20" s="2894"/>
      <c r="P20" s="3492"/>
      <c r="Q20" s="1487"/>
      <c r="R20" s="714"/>
      <c r="S20" s="715"/>
      <c r="T20" s="714"/>
      <c r="U20" s="715"/>
      <c r="V20" s="714"/>
      <c r="W20" s="715"/>
      <c r="X20" s="1490"/>
      <c r="Y20" s="3485"/>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492"/>
      <c r="Q21" s="1487" t="str">
        <f>B21</f>
        <v>基础设施水平</v>
      </c>
      <c r="R21" s="714" t="s">
        <v>17</v>
      </c>
      <c r="S21" s="715">
        <f>F21</f>
        <v>100</v>
      </c>
      <c r="T21" s="714" t="s">
        <v>17</v>
      </c>
      <c r="U21" s="715">
        <f>H21</f>
        <v>100</v>
      </c>
      <c r="V21" s="714" t="s">
        <v>17</v>
      </c>
      <c r="W21" s="715">
        <f>J21</f>
        <v>100</v>
      </c>
      <c r="X21" s="1490"/>
      <c r="Y21" s="348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0"/>
      <c r="M22" s="2894"/>
      <c r="N22" s="2894"/>
      <c r="O22" s="2894"/>
      <c r="P22" s="3492"/>
      <c r="Q22" s="1487"/>
      <c r="R22" s="714"/>
      <c r="S22" s="715"/>
      <c r="T22" s="714"/>
      <c r="U22" s="715"/>
      <c r="V22" s="714"/>
      <c r="W22" s="715"/>
      <c r="X22" s="1490"/>
      <c r="Y22" s="3485"/>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492"/>
      <c r="Q23" s="1487" t="str">
        <f>B23</f>
        <v>自然及人文环境</v>
      </c>
      <c r="R23" s="714" t="s">
        <v>21</v>
      </c>
      <c r="S23" s="715">
        <f>F23</f>
        <v>100</v>
      </c>
      <c r="T23" s="714" t="s">
        <v>21</v>
      </c>
      <c r="U23" s="715">
        <f>H23</f>
        <v>100</v>
      </c>
      <c r="V23" s="714" t="s">
        <v>21</v>
      </c>
      <c r="W23" s="715">
        <f>J23</f>
        <v>100</v>
      </c>
      <c r="X23" s="1490"/>
      <c r="Y23" s="3485"/>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0"/>
      <c r="M24" s="2894"/>
      <c r="N24" s="2894"/>
      <c r="O24" s="2894"/>
      <c r="P24" s="3492"/>
      <c r="Q24" s="1487"/>
      <c r="R24" s="714"/>
      <c r="S24" s="715"/>
      <c r="T24" s="714"/>
      <c r="U24" s="715"/>
      <c r="V24" s="714"/>
      <c r="W24" s="715"/>
      <c r="X24" s="1490"/>
      <c r="Y24" s="3485"/>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0"/>
      <c r="M25" s="2894"/>
      <c r="N25" s="2894"/>
      <c r="O25" s="2894"/>
      <c r="P25" s="3492"/>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85"/>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0"/>
      <c r="M26" s="2894"/>
      <c r="N26" s="2894"/>
      <c r="O26" s="2894"/>
      <c r="P26" s="3492"/>
      <c r="Q26" s="1487" t="str">
        <f t="shared" si="11"/>
        <v>朝向</v>
      </c>
      <c r="R26" s="714" t="s">
        <v>21</v>
      </c>
      <c r="S26" s="715">
        <f t="shared" si="12"/>
        <v>100</v>
      </c>
      <c r="T26" s="714" t="s">
        <v>21</v>
      </c>
      <c r="U26" s="715">
        <f t="shared" si="13"/>
        <v>100</v>
      </c>
      <c r="V26" s="714" t="s">
        <v>21</v>
      </c>
      <c r="W26" s="715">
        <f t="shared" si="14"/>
        <v>100</v>
      </c>
      <c r="X26" s="1490"/>
      <c r="Y26" s="3485"/>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5"/>
      <c r="M27" s="2896"/>
      <c r="N27" s="2896"/>
      <c r="O27" s="2896"/>
      <c r="P27" s="3492"/>
      <c r="Q27" s="1478">
        <f t="shared" si="11"/>
        <v>111</v>
      </c>
      <c r="R27" s="710" t="s">
        <v>21</v>
      </c>
      <c r="S27" s="711">
        <f t="shared" si="12"/>
        <v>100</v>
      </c>
      <c r="T27" s="710" t="s">
        <v>21</v>
      </c>
      <c r="U27" s="711">
        <f t="shared" si="13"/>
        <v>100</v>
      </c>
      <c r="V27" s="710" t="s">
        <v>21</v>
      </c>
      <c r="W27" s="711">
        <f t="shared" si="14"/>
        <v>100</v>
      </c>
      <c r="X27" s="712"/>
      <c r="Y27" s="3485"/>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0"/>
      <c r="M28" s="2894"/>
      <c r="N28" s="2894"/>
      <c r="O28" s="2894"/>
      <c r="P28" s="3492"/>
      <c r="Q28" s="1487">
        <f t="shared" si="11"/>
        <v>111</v>
      </c>
      <c r="R28" s="714" t="s">
        <v>21</v>
      </c>
      <c r="S28" s="715">
        <f t="shared" si="12"/>
        <v>100</v>
      </c>
      <c r="T28" s="714" t="s">
        <v>21</v>
      </c>
      <c r="U28" s="715">
        <f t="shared" si="13"/>
        <v>100</v>
      </c>
      <c r="V28" s="714" t="s">
        <v>21</v>
      </c>
      <c r="W28" s="715">
        <f t="shared" si="14"/>
        <v>100</v>
      </c>
      <c r="X28" s="1490"/>
      <c r="Y28" s="3485"/>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0"/>
      <c r="M29" s="2894"/>
      <c r="N29" s="2894"/>
      <c r="O29" s="2894"/>
      <c r="P29" s="3492"/>
      <c r="Q29" s="1487">
        <f t="shared" si="11"/>
        <v>111</v>
      </c>
      <c r="R29" s="714" t="s">
        <v>21</v>
      </c>
      <c r="S29" s="715">
        <f t="shared" si="12"/>
        <v>100</v>
      </c>
      <c r="T29" s="714" t="s">
        <v>21</v>
      </c>
      <c r="U29" s="715">
        <f t="shared" si="13"/>
        <v>100</v>
      </c>
      <c r="V29" s="714" t="s">
        <v>21</v>
      </c>
      <c r="W29" s="715">
        <f t="shared" si="14"/>
        <v>100</v>
      </c>
      <c r="X29" s="1490"/>
      <c r="Y29" s="3485"/>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0"/>
      <c r="M30" s="2894"/>
      <c r="N30" s="2894"/>
      <c r="O30" s="2894"/>
      <c r="P30" s="3492"/>
      <c r="Q30" s="1487">
        <f t="shared" si="11"/>
        <v>111</v>
      </c>
      <c r="R30" s="714" t="s">
        <v>21</v>
      </c>
      <c r="S30" s="715">
        <f t="shared" si="12"/>
        <v>100</v>
      </c>
      <c r="T30" s="714" t="s">
        <v>21</v>
      </c>
      <c r="U30" s="715">
        <f t="shared" si="13"/>
        <v>100</v>
      </c>
      <c r="V30" s="714" t="s">
        <v>21</v>
      </c>
      <c r="W30" s="715">
        <f t="shared" si="14"/>
        <v>100</v>
      </c>
      <c r="X30" s="1490"/>
      <c r="Y30" s="3485"/>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0"/>
      <c r="M31" s="2894"/>
      <c r="N31" s="2894"/>
      <c r="O31" s="2894"/>
      <c r="P31" s="3492"/>
      <c r="Q31" s="1487">
        <f t="shared" si="11"/>
        <v>111</v>
      </c>
      <c r="R31" s="714" t="s">
        <v>21</v>
      </c>
      <c r="S31" s="715">
        <f t="shared" si="12"/>
        <v>100</v>
      </c>
      <c r="T31" s="714" t="s">
        <v>21</v>
      </c>
      <c r="U31" s="715">
        <f t="shared" si="13"/>
        <v>100</v>
      </c>
      <c r="V31" s="714" t="s">
        <v>21</v>
      </c>
      <c r="W31" s="715">
        <f t="shared" si="14"/>
        <v>100</v>
      </c>
      <c r="X31" s="1490"/>
      <c r="Y31" s="3485"/>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0"/>
      <c r="M32" s="2894"/>
      <c r="N32" s="2894"/>
      <c r="O32" s="2894"/>
      <c r="P32" s="3486" t="s">
        <v>2145</v>
      </c>
      <c r="Q32" s="1487" t="str">
        <f t="shared" si="11"/>
        <v>建筑类型</v>
      </c>
      <c r="R32" s="714" t="s">
        <v>21</v>
      </c>
      <c r="S32" s="715">
        <f t="shared" si="12"/>
        <v>100</v>
      </c>
      <c r="T32" s="714" t="s">
        <v>21</v>
      </c>
      <c r="U32" s="715">
        <f t="shared" si="13"/>
        <v>100</v>
      </c>
      <c r="V32" s="714" t="s">
        <v>21</v>
      </c>
      <c r="W32" s="715">
        <f t="shared" si="14"/>
        <v>100</v>
      </c>
      <c r="X32" s="1490"/>
      <c r="Y32" s="3489"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9"/>
      <c r="M33" s="2901"/>
      <c r="N33" s="2901"/>
      <c r="O33" s="2901"/>
      <c r="P33" s="3487"/>
      <c r="Q33" s="716" t="str">
        <f t="shared" si="11"/>
        <v>项目建筑规模</v>
      </c>
      <c r="R33" s="717" t="s">
        <v>21</v>
      </c>
      <c r="S33" s="718" t="e">
        <f t="shared" si="12"/>
        <v>#N/A</v>
      </c>
      <c r="T33" s="717" t="s">
        <v>21</v>
      </c>
      <c r="U33" s="718" t="e">
        <f t="shared" si="13"/>
        <v>#N/A</v>
      </c>
      <c r="V33" s="717" t="s">
        <v>21</v>
      </c>
      <c r="W33" s="718" t="e">
        <f t="shared" si="14"/>
        <v>#N/A</v>
      </c>
      <c r="X33" s="719"/>
      <c r="Y33" s="3489"/>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0"/>
      <c r="M34" s="2894"/>
      <c r="N34" s="2894"/>
      <c r="O34" s="2894"/>
      <c r="P34" s="3487"/>
      <c r="Q34" s="1487" t="str">
        <f t="shared" si="11"/>
        <v>建筑结构</v>
      </c>
      <c r="R34" s="714" t="s">
        <v>21</v>
      </c>
      <c r="S34" s="715">
        <f t="shared" si="12"/>
        <v>100</v>
      </c>
      <c r="T34" s="714" t="s">
        <v>21</v>
      </c>
      <c r="U34" s="715">
        <f t="shared" si="13"/>
        <v>100</v>
      </c>
      <c r="V34" s="714" t="s">
        <v>21</v>
      </c>
      <c r="W34" s="715">
        <f t="shared" si="14"/>
        <v>100</v>
      </c>
      <c r="X34" s="1490"/>
      <c r="Y34" s="3489"/>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0"/>
      <c r="M35" s="2894"/>
      <c r="N35" s="2894"/>
      <c r="O35" s="2894"/>
      <c r="P35" s="3487"/>
      <c r="Q35" s="1487" t="str">
        <f t="shared" si="11"/>
        <v>建筑品质</v>
      </c>
      <c r="R35" s="714" t="s">
        <v>21</v>
      </c>
      <c r="S35" s="715">
        <f t="shared" si="12"/>
        <v>100</v>
      </c>
      <c r="T35" s="714" t="s">
        <v>21</v>
      </c>
      <c r="U35" s="715">
        <f t="shared" si="13"/>
        <v>100</v>
      </c>
      <c r="V35" s="714" t="s">
        <v>21</v>
      </c>
      <c r="W35" s="715">
        <f t="shared" si="14"/>
        <v>100</v>
      </c>
      <c r="X35" s="1490"/>
      <c r="Y35" s="3489"/>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0"/>
      <c r="M36" s="2894"/>
      <c r="N36" s="2894"/>
      <c r="O36" s="2894"/>
      <c r="P36" s="3487"/>
      <c r="Q36" s="1487" t="str">
        <f t="shared" si="11"/>
        <v>公共部分装修</v>
      </c>
      <c r="R36" s="714" t="s">
        <v>21</v>
      </c>
      <c r="S36" s="715">
        <f t="shared" si="12"/>
        <v>100</v>
      </c>
      <c r="T36" s="714" t="s">
        <v>21</v>
      </c>
      <c r="U36" s="715">
        <f t="shared" si="13"/>
        <v>100</v>
      </c>
      <c r="V36" s="714" t="s">
        <v>21</v>
      </c>
      <c r="W36" s="715">
        <f t="shared" si="14"/>
        <v>100</v>
      </c>
      <c r="X36" s="1490"/>
      <c r="Y36" s="3489"/>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87"/>
      <c r="Q37" s="1478" t="str">
        <f t="shared" si="11"/>
        <v>成新度</v>
      </c>
      <c r="R37" s="710" t="s">
        <v>21</v>
      </c>
      <c r="S37" s="711" t="e">
        <f t="shared" si="12"/>
        <v>#N/A</v>
      </c>
      <c r="T37" s="710" t="s">
        <v>21</v>
      </c>
      <c r="U37" s="711" t="e">
        <f t="shared" si="13"/>
        <v>#N/A</v>
      </c>
      <c r="V37" s="710" t="s">
        <v>21</v>
      </c>
      <c r="W37" s="711" t="e">
        <f t="shared" si="14"/>
        <v>#N/A</v>
      </c>
      <c r="X37" s="712"/>
      <c r="Y37" s="3489"/>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0"/>
      <c r="M38" s="2894"/>
      <c r="N38" s="2894"/>
      <c r="O38" s="2894"/>
      <c r="P38" s="3487" t="s">
        <v>2145</v>
      </c>
      <c r="Q38" s="1487" t="str">
        <f t="shared" si="11"/>
        <v>物业管理</v>
      </c>
      <c r="R38" s="714" t="s">
        <v>21</v>
      </c>
      <c r="S38" s="715">
        <f t="shared" si="12"/>
        <v>100</v>
      </c>
      <c r="T38" s="714" t="s">
        <v>21</v>
      </c>
      <c r="U38" s="715">
        <f t="shared" si="13"/>
        <v>100</v>
      </c>
      <c r="V38" s="714" t="s">
        <v>21</v>
      </c>
      <c r="W38" s="715">
        <f t="shared" si="14"/>
        <v>100</v>
      </c>
      <c r="X38" s="1490"/>
      <c r="Y38" s="3489"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0"/>
      <c r="M39" s="2894"/>
      <c r="N39" s="2894"/>
      <c r="O39" s="2894"/>
      <c r="P39" s="3487"/>
      <c r="Q39" s="1487" t="str">
        <f t="shared" si="11"/>
        <v>市政基础设施</v>
      </c>
      <c r="R39" s="714" t="s">
        <v>21</v>
      </c>
      <c r="S39" s="715">
        <f t="shared" si="12"/>
        <v>100</v>
      </c>
      <c r="T39" s="714" t="s">
        <v>21</v>
      </c>
      <c r="U39" s="715">
        <f t="shared" si="13"/>
        <v>100</v>
      </c>
      <c r="V39" s="714" t="s">
        <v>21</v>
      </c>
      <c r="W39" s="715">
        <f t="shared" si="14"/>
        <v>100</v>
      </c>
      <c r="X39" s="1490"/>
      <c r="Y39" s="3489"/>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0"/>
      <c r="M40" s="2894"/>
      <c r="N40" s="2894"/>
      <c r="O40" s="2894"/>
      <c r="P40" s="3487"/>
      <c r="Q40" s="1487" t="str">
        <f t="shared" si="11"/>
        <v>房型</v>
      </c>
      <c r="R40" s="714" t="s">
        <v>21</v>
      </c>
      <c r="S40" s="715">
        <f t="shared" si="12"/>
        <v>100</v>
      </c>
      <c r="T40" s="714" t="s">
        <v>21</v>
      </c>
      <c r="U40" s="715">
        <f t="shared" si="13"/>
        <v>100</v>
      </c>
      <c r="V40" s="714" t="s">
        <v>21</v>
      </c>
      <c r="W40" s="715">
        <f t="shared" si="14"/>
        <v>100</v>
      </c>
      <c r="X40" s="1490"/>
      <c r="Y40" s="3489"/>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9"/>
      <c r="M41" s="2901"/>
      <c r="N41" s="2901"/>
      <c r="O41" s="2901"/>
      <c r="P41" s="3487"/>
      <c r="Q41" s="716" t="str">
        <f t="shared" si="11"/>
        <v>单套/主力户型建筑面积</v>
      </c>
      <c r="R41" s="717" t="s">
        <v>21</v>
      </c>
      <c r="S41" s="718">
        <f t="shared" si="12"/>
        <v>100</v>
      </c>
      <c r="T41" s="717" t="s">
        <v>21</v>
      </c>
      <c r="U41" s="718">
        <f t="shared" si="13"/>
        <v>100</v>
      </c>
      <c r="V41" s="717" t="s">
        <v>21</v>
      </c>
      <c r="W41" s="718">
        <f t="shared" si="14"/>
        <v>100</v>
      </c>
      <c r="X41" s="719"/>
      <c r="Y41" s="3489"/>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0"/>
      <c r="M42" s="2894"/>
      <c r="N42" s="2894"/>
      <c r="O42" s="2894"/>
      <c r="P42" s="3487"/>
      <c r="Q42" s="1487" t="str">
        <f t="shared" si="11"/>
        <v>内部装修</v>
      </c>
      <c r="R42" s="714" t="s">
        <v>21</v>
      </c>
      <c r="S42" s="715">
        <f t="shared" si="12"/>
        <v>100</v>
      </c>
      <c r="T42" s="714" t="s">
        <v>21</v>
      </c>
      <c r="U42" s="715">
        <f t="shared" si="13"/>
        <v>100</v>
      </c>
      <c r="V42" s="714" t="s">
        <v>21</v>
      </c>
      <c r="W42" s="715">
        <f t="shared" si="14"/>
        <v>100</v>
      </c>
      <c r="X42" s="1490"/>
      <c r="Y42" s="3489"/>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0"/>
      <c r="M43" s="2894"/>
      <c r="N43" s="2894"/>
      <c r="O43" s="2894"/>
      <c r="P43" s="3487"/>
      <c r="Q43" s="1487" t="str">
        <f t="shared" si="11"/>
        <v>内部装修维护情况</v>
      </c>
      <c r="R43" s="714" t="s">
        <v>21</v>
      </c>
      <c r="S43" s="715">
        <f t="shared" si="12"/>
        <v>100</v>
      </c>
      <c r="T43" s="714" t="s">
        <v>21</v>
      </c>
      <c r="U43" s="715">
        <f t="shared" si="13"/>
        <v>100</v>
      </c>
      <c r="V43" s="714" t="s">
        <v>21</v>
      </c>
      <c r="W43" s="715">
        <f t="shared" si="14"/>
        <v>100</v>
      </c>
      <c r="X43" s="1490"/>
      <c r="Y43" s="3489"/>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5"/>
      <c r="M44" s="2896"/>
      <c r="N44" s="2896"/>
      <c r="O44" s="2896"/>
      <c r="P44" s="3487"/>
      <c r="Q44" s="1478">
        <f t="shared" si="11"/>
        <v>111</v>
      </c>
      <c r="R44" s="710" t="s">
        <v>21</v>
      </c>
      <c r="S44" s="711">
        <f t="shared" si="12"/>
        <v>100</v>
      </c>
      <c r="T44" s="710" t="s">
        <v>21</v>
      </c>
      <c r="U44" s="711">
        <f t="shared" si="13"/>
        <v>100</v>
      </c>
      <c r="V44" s="710" t="s">
        <v>21</v>
      </c>
      <c r="W44" s="711">
        <f t="shared" si="14"/>
        <v>100</v>
      </c>
      <c r="X44" s="712"/>
      <c r="Y44" s="3489"/>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0"/>
      <c r="M45" s="2894"/>
      <c r="N45" s="2894"/>
      <c r="O45" s="2894"/>
      <c r="P45" s="3487"/>
      <c r="Q45" s="1487">
        <f t="shared" si="11"/>
        <v>111</v>
      </c>
      <c r="R45" s="714" t="s">
        <v>21</v>
      </c>
      <c r="S45" s="715">
        <f t="shared" si="12"/>
        <v>100</v>
      </c>
      <c r="T45" s="714" t="s">
        <v>21</v>
      </c>
      <c r="U45" s="715">
        <f t="shared" si="13"/>
        <v>100</v>
      </c>
      <c r="V45" s="714" t="s">
        <v>21</v>
      </c>
      <c r="W45" s="715">
        <f t="shared" si="14"/>
        <v>100</v>
      </c>
      <c r="X45" s="1490"/>
      <c r="Y45" s="3489"/>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0"/>
      <c r="M46" s="2894"/>
      <c r="N46" s="2894"/>
      <c r="O46" s="2894"/>
      <c r="P46" s="3488"/>
      <c r="Q46" s="1487">
        <f t="shared" si="11"/>
        <v>111</v>
      </c>
      <c r="R46" s="714" t="s">
        <v>20</v>
      </c>
      <c r="S46" s="715">
        <f t="shared" si="12"/>
        <v>100</v>
      </c>
      <c r="T46" s="714" t="s">
        <v>20</v>
      </c>
      <c r="U46" s="715">
        <f t="shared" si="13"/>
        <v>100</v>
      </c>
      <c r="V46" s="714" t="s">
        <v>20</v>
      </c>
      <c r="W46" s="715">
        <f t="shared" si="14"/>
        <v>100</v>
      </c>
      <c r="X46" s="1490"/>
      <c r="Y46" s="3490"/>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2"/>
      <c r="M47" s="2903"/>
      <c r="N47" s="2894"/>
      <c r="O47" s="2903"/>
      <c r="P47" s="3482" t="str">
        <f>A47</f>
        <v>成交单价（元/平方米）</v>
      </c>
      <c r="Q47" s="3482"/>
      <c r="R47" s="3483">
        <f>E47</f>
        <v>0</v>
      </c>
      <c r="S47" s="3483"/>
      <c r="T47" s="3483">
        <f>G47</f>
        <v>0</v>
      </c>
      <c r="U47" s="3483"/>
      <c r="V47" s="3483">
        <f>I47</f>
        <v>0</v>
      </c>
      <c r="W47" s="3483"/>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2"/>
      <c r="M48" s="2903"/>
      <c r="N48" s="2903"/>
      <c r="O48" s="2903"/>
      <c r="P48" s="3482" t="str">
        <f>A48</f>
        <v>比较价值（元/平方米）</v>
      </c>
      <c r="Q48" s="3482"/>
      <c r="R48" s="3483" t="e">
        <f>IF(F1="售价",ROUND(PRODUCT(R47,AA7:AA46),0),ROUND(PRODUCT(R47,AA7:AA46),1))</f>
        <v>#DIV/0!</v>
      </c>
      <c r="S48" s="3483"/>
      <c r="T48" s="3483" t="e">
        <f>IF(F1="售价",ROUND(PRODUCT(T47,AB7:AB46),0),ROUND(PRODUCT(T47,AB7:AB46),1))</f>
        <v>#DIV/0!</v>
      </c>
      <c r="U48" s="3483"/>
      <c r="V48" s="3483" t="e">
        <f>IF(F1="售价",ROUND(PRODUCT(V47,AC7:AC46),0),ROUND(PRODUCT(V47,AC7:AC46),1))</f>
        <v>#DIV/0!</v>
      </c>
      <c r="W48" s="3483"/>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2"/>
      <c r="M49" s="2903"/>
      <c r="N49" s="2903"/>
      <c r="O49" s="2903"/>
      <c r="P49" s="3479" t="str">
        <f>A49</f>
        <v>估价对象XX用房的比较价值（楼面单价，元/平方米）</v>
      </c>
      <c r="Q49" s="3480"/>
      <c r="R49" s="3481" t="e">
        <f>IF(F1="售价",ROUND(IF(D48="简单平均",AVERAGE(R48:V48),R48*F48+T48*H48+V48*J48),0),ROUND(IF(D48="简单平均",AVERAGE(R48:V48),R48*F48+T48*H48+V48*J48),1))</f>
        <v>#DIV/0!</v>
      </c>
      <c r="S49" s="3481"/>
      <c r="T49" s="3481"/>
      <c r="U49" s="3481"/>
      <c r="V49" s="3481"/>
      <c r="W49" s="3481"/>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4"/>
    </row>
    <row r="55" spans="1:29" s="459" customFormat="1">
      <c r="A55" s="2906"/>
      <c r="B55" s="2909"/>
      <c r="C55" s="2910"/>
      <c r="D55" s="2906"/>
      <c r="E55" s="2906"/>
      <c r="F55" s="2906"/>
      <c r="G55" s="2906"/>
      <c r="H55" s="2906"/>
      <c r="I55" s="2906"/>
      <c r="J55" s="2906"/>
      <c r="K55" s="2911"/>
      <c r="L55" s="2905"/>
      <c r="M55" s="2906"/>
      <c r="N55" s="2906"/>
      <c r="O55" s="2906"/>
      <c r="P55" s="2054"/>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2022-8</v>
      </c>
      <c r="D58" s="1300">
        <f>EDATE(C58,-1)</f>
        <v>44743</v>
      </c>
      <c r="E58" s="1300">
        <f>EDATE(D58,-1)</f>
        <v>44713</v>
      </c>
      <c r="F58" s="1300">
        <f t="shared" ref="F58:O58" si="19">EDATE(E58,-1)</f>
        <v>44682</v>
      </c>
      <c r="G58" s="1300">
        <f t="shared" si="19"/>
        <v>44652</v>
      </c>
      <c r="H58" s="1300">
        <f t="shared" si="19"/>
        <v>44621</v>
      </c>
      <c r="I58" s="1300">
        <f t="shared" si="19"/>
        <v>44593</v>
      </c>
      <c r="J58" s="1300">
        <f t="shared" si="19"/>
        <v>44562</v>
      </c>
      <c r="K58" s="1300">
        <f t="shared" si="19"/>
        <v>44531</v>
      </c>
      <c r="L58" s="1300">
        <f t="shared" si="19"/>
        <v>44501</v>
      </c>
      <c r="M58" s="1300">
        <f t="shared" si="19"/>
        <v>44470</v>
      </c>
      <c r="N58" s="1300">
        <f t="shared" si="19"/>
        <v>44440</v>
      </c>
      <c r="O58" s="1300">
        <f t="shared" si="19"/>
        <v>44409</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40421.870000000003</v>
      </c>
      <c r="E3" s="2091"/>
      <c r="F3" s="1021"/>
      <c r="G3" s="1020"/>
      <c r="H3" s="1020"/>
      <c r="I3" s="1020"/>
      <c r="J3" s="1020"/>
      <c r="K3" s="1022"/>
      <c r="L3" s="2912"/>
      <c r="M3" s="2913"/>
      <c r="N3" s="2913"/>
      <c r="O3" s="2913"/>
      <c r="P3" s="2089"/>
      <c r="Q3" s="1024"/>
      <c r="R3" s="1024"/>
      <c r="S3" s="1024"/>
      <c r="T3" s="1024"/>
      <c r="U3" s="1024"/>
      <c r="V3" s="1024"/>
      <c r="W3" s="1024"/>
      <c r="X3" s="1024"/>
      <c r="Y3" s="1024"/>
      <c r="Z3" s="1024"/>
      <c r="AA3" s="1024"/>
      <c r="AB3" s="1024"/>
      <c r="AC3" s="2091"/>
    </row>
    <row r="4" spans="1:29" ht="15">
      <c r="A4" s="361" t="s">
        <v>2225</v>
      </c>
      <c r="B4" s="362"/>
      <c r="C4" s="3497" t="s">
        <v>2226</v>
      </c>
      <c r="D4" s="3498"/>
      <c r="E4" s="3499" t="s">
        <v>2227</v>
      </c>
      <c r="F4" s="3500"/>
      <c r="G4" s="3497" t="s">
        <v>2228</v>
      </c>
      <c r="H4" s="3498"/>
      <c r="I4" s="3497" t="s">
        <v>2229</v>
      </c>
      <c r="J4" s="3498"/>
      <c r="K4" s="567" t="s">
        <v>2230</v>
      </c>
      <c r="L4" s="2893"/>
      <c r="M4" s="2894"/>
      <c r="N4" s="2894"/>
      <c r="O4" s="2894"/>
      <c r="P4" s="3501" t="s">
        <v>2231</v>
      </c>
      <c r="Q4" s="3502"/>
      <c r="R4" s="3507" t="s">
        <v>2227</v>
      </c>
      <c r="S4" s="3508"/>
      <c r="T4" s="3507" t="s">
        <v>2228</v>
      </c>
      <c r="U4" s="3508"/>
      <c r="V4" s="3513" t="s">
        <v>2229</v>
      </c>
      <c r="W4" s="3513"/>
      <c r="X4" s="1490"/>
      <c r="Y4" s="3507" t="s">
        <v>2231</v>
      </c>
      <c r="Z4" s="3508"/>
      <c r="AA4" s="3494" t="s">
        <v>2227</v>
      </c>
      <c r="AB4" s="3513" t="s">
        <v>2228</v>
      </c>
      <c r="AC4" s="3494" t="s">
        <v>2229</v>
      </c>
    </row>
    <row r="5" spans="1:29" ht="15">
      <c r="A5" s="364"/>
      <c r="B5" s="365"/>
      <c r="C5" s="3516" t="s">
        <v>2122</v>
      </c>
      <c r="D5" s="3517"/>
      <c r="E5" s="3523" t="s">
        <v>2123</v>
      </c>
      <c r="F5" s="3524"/>
      <c r="G5" s="3516" t="s">
        <v>2124</v>
      </c>
      <c r="H5" s="3517"/>
      <c r="I5" s="3516" t="s">
        <v>2125</v>
      </c>
      <c r="J5" s="3517"/>
      <c r="K5" s="567"/>
      <c r="L5" s="2893"/>
      <c r="M5" s="2894"/>
      <c r="N5" s="2894"/>
      <c r="O5" s="2894"/>
      <c r="P5" s="3503"/>
      <c r="Q5" s="3504"/>
      <c r="R5" s="3509"/>
      <c r="S5" s="3510"/>
      <c r="T5" s="3509"/>
      <c r="U5" s="3510"/>
      <c r="V5" s="3513"/>
      <c r="W5" s="3513"/>
      <c r="X5" s="1490"/>
      <c r="Y5" s="3509"/>
      <c r="Z5" s="3510"/>
      <c r="AA5" s="3495"/>
      <c r="AB5" s="3513"/>
      <c r="AC5" s="3495"/>
    </row>
    <row r="6" spans="1:29" ht="15.75" thickBot="1">
      <c r="A6" s="366"/>
      <c r="B6" s="367"/>
      <c r="C6" s="3514" t="s">
        <v>2126</v>
      </c>
      <c r="D6" s="3515"/>
      <c r="E6" s="3521" t="s">
        <v>2126</v>
      </c>
      <c r="F6" s="3522"/>
      <c r="G6" s="3514" t="s">
        <v>2126</v>
      </c>
      <c r="H6" s="3515"/>
      <c r="I6" s="3514" t="s">
        <v>2126</v>
      </c>
      <c r="J6" s="3515"/>
      <c r="K6" s="567" t="s">
        <v>2127</v>
      </c>
      <c r="L6" s="2893"/>
      <c r="M6" s="2894"/>
      <c r="N6" s="2894"/>
      <c r="O6" s="2894"/>
      <c r="P6" s="3505"/>
      <c r="Q6" s="3506"/>
      <c r="R6" s="3509"/>
      <c r="S6" s="3510"/>
      <c r="T6" s="3511"/>
      <c r="U6" s="3512"/>
      <c r="V6" s="3513"/>
      <c r="W6" s="3513"/>
      <c r="X6" s="1490"/>
      <c r="Y6" s="3511"/>
      <c r="Z6" s="3512"/>
      <c r="AA6" s="3496"/>
      <c r="AB6" s="3513"/>
      <c r="AC6" s="3496"/>
    </row>
    <row r="7" spans="1:29" s="113" customFormat="1" ht="15.75" thickBot="1">
      <c r="A7" s="368" t="s">
        <v>2128</v>
      </c>
      <c r="B7" s="369"/>
      <c r="C7" s="370">
        <f>'数据-取费表'!B2</f>
        <v>44799</v>
      </c>
      <c r="D7" s="371">
        <v>100</v>
      </c>
      <c r="E7" s="372"/>
      <c r="F7" s="373">
        <f>SUMIF(58:58,YEAR(E7)&amp;"-"&amp;MONTH(E7),59:59)</f>
        <v>0</v>
      </c>
      <c r="G7" s="372"/>
      <c r="H7" s="371">
        <f>SUMIF(58:58,YEAR(G7)&amp;"-"&amp;MONTH(G7),59:59)</f>
        <v>0</v>
      </c>
      <c r="I7" s="372"/>
      <c r="J7" s="371">
        <f>SUMIF(58:58,YEAR(I7)&amp;"-"&amp;MONTH(I7),59:59)</f>
        <v>0</v>
      </c>
      <c r="K7" s="568"/>
      <c r="L7" s="2895"/>
      <c r="M7" s="2896"/>
      <c r="N7" s="2896"/>
      <c r="O7" s="2896"/>
      <c r="P7" s="3518" t="s">
        <v>2129</v>
      </c>
      <c r="Q7" s="3520"/>
      <c r="R7" s="710" t="s">
        <v>17</v>
      </c>
      <c r="S7" s="711">
        <f t="shared" ref="S7:S15" si="0">F7</f>
        <v>0</v>
      </c>
      <c r="T7" s="710" t="s">
        <v>17</v>
      </c>
      <c r="U7" s="711">
        <f t="shared" ref="U7:U15" si="1">H7</f>
        <v>0</v>
      </c>
      <c r="V7" s="710" t="s">
        <v>17</v>
      </c>
      <c r="W7" s="711">
        <f t="shared" ref="W7:W15" si="2">J7</f>
        <v>0</v>
      </c>
      <c r="X7" s="712"/>
      <c r="Y7" s="3518" t="s">
        <v>2129</v>
      </c>
      <c r="Z7" s="3519"/>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518" t="s">
        <v>2132</v>
      </c>
      <c r="Q8" s="3519"/>
      <c r="R8" s="710" t="s">
        <v>17</v>
      </c>
      <c r="S8" s="711">
        <f t="shared" si="0"/>
        <v>0</v>
      </c>
      <c r="T8" s="710" t="s">
        <v>17</v>
      </c>
      <c r="U8" s="711">
        <f t="shared" si="1"/>
        <v>0</v>
      </c>
      <c r="V8" s="710" t="s">
        <v>17</v>
      </c>
      <c r="W8" s="711">
        <f t="shared" si="2"/>
        <v>0</v>
      </c>
      <c r="X8" s="712"/>
      <c r="Y8" s="3518" t="s">
        <v>2132</v>
      </c>
      <c r="Z8" s="3519"/>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93" t="s">
        <v>2135</v>
      </c>
      <c r="Q9" s="1478" t="str">
        <f t="shared" ref="Q9:Q15" si="6">B9</f>
        <v>用途</v>
      </c>
      <c r="R9" s="710" t="s">
        <v>17</v>
      </c>
      <c r="S9" s="711">
        <f t="shared" si="0"/>
        <v>100</v>
      </c>
      <c r="T9" s="710" t="s">
        <v>17</v>
      </c>
      <c r="U9" s="711">
        <f t="shared" si="1"/>
        <v>100</v>
      </c>
      <c r="V9" s="710" t="s">
        <v>17</v>
      </c>
      <c r="W9" s="711">
        <f t="shared" si="2"/>
        <v>100</v>
      </c>
      <c r="X9" s="712"/>
      <c r="Y9" s="3354"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93"/>
      <c r="Q10" s="1478"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93"/>
      <c r="Q11" s="1478"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93"/>
      <c r="Q12" s="1478">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93"/>
      <c r="Q13" s="1478">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93"/>
      <c r="Q14" s="1478">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491" t="s">
        <v>2140</v>
      </c>
      <c r="Q15" s="1487" t="str">
        <f t="shared" si="6"/>
        <v>商业繁华度</v>
      </c>
      <c r="R15" s="714" t="s">
        <v>17</v>
      </c>
      <c r="S15" s="715">
        <f t="shared" si="0"/>
        <v>100</v>
      </c>
      <c r="T15" s="714" t="s">
        <v>17</v>
      </c>
      <c r="U15" s="715">
        <f t="shared" si="1"/>
        <v>100</v>
      </c>
      <c r="V15" s="714" t="s">
        <v>17</v>
      </c>
      <c r="W15" s="715">
        <f t="shared" si="2"/>
        <v>100</v>
      </c>
      <c r="X15" s="1490"/>
      <c r="Y15" s="3484"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0"/>
      <c r="M16" s="2894"/>
      <c r="N16" s="2894"/>
      <c r="O16" s="2894"/>
      <c r="P16" s="3492"/>
      <c r="Q16" s="1487"/>
      <c r="R16" s="714"/>
      <c r="S16" s="715"/>
      <c r="T16" s="714"/>
      <c r="U16" s="715"/>
      <c r="V16" s="714"/>
      <c r="W16" s="715"/>
      <c r="X16" s="1490"/>
      <c r="Y16" s="3485"/>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492"/>
      <c r="Q17" s="1487" t="str">
        <f>B17</f>
        <v>交通便捷度</v>
      </c>
      <c r="R17" s="714" t="s">
        <v>17</v>
      </c>
      <c r="S17" s="715">
        <f>F17</f>
        <v>100</v>
      </c>
      <c r="T17" s="714" t="s">
        <v>17</v>
      </c>
      <c r="U17" s="715">
        <f>H17</f>
        <v>100</v>
      </c>
      <c r="V17" s="714" t="s">
        <v>17</v>
      </c>
      <c r="W17" s="715">
        <f>J17</f>
        <v>100</v>
      </c>
      <c r="X17" s="1490"/>
      <c r="Y17" s="3485"/>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0"/>
      <c r="M18" s="2894"/>
      <c r="N18" s="2894"/>
      <c r="O18" s="2894"/>
      <c r="P18" s="3492"/>
      <c r="Q18" s="1487"/>
      <c r="R18" s="714"/>
      <c r="S18" s="715"/>
      <c r="T18" s="714"/>
      <c r="U18" s="715"/>
      <c r="V18" s="714"/>
      <c r="W18" s="715"/>
      <c r="X18" s="1490"/>
      <c r="Y18" s="3485"/>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492"/>
      <c r="Q19" s="1487" t="str">
        <f>B19</f>
        <v>公共配套设施</v>
      </c>
      <c r="R19" s="714" t="s">
        <v>17</v>
      </c>
      <c r="S19" s="715">
        <f>F19</f>
        <v>100</v>
      </c>
      <c r="T19" s="714" t="s">
        <v>17</v>
      </c>
      <c r="U19" s="715">
        <f>H19</f>
        <v>100</v>
      </c>
      <c r="V19" s="714" t="s">
        <v>17</v>
      </c>
      <c r="W19" s="715">
        <f>J19</f>
        <v>100</v>
      </c>
      <c r="X19" s="1490"/>
      <c r="Y19" s="3485"/>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0"/>
      <c r="M20" s="2894"/>
      <c r="N20" s="2894"/>
      <c r="O20" s="2894"/>
      <c r="P20" s="3492"/>
      <c r="Q20" s="1487"/>
      <c r="R20" s="714"/>
      <c r="S20" s="715"/>
      <c r="T20" s="714"/>
      <c r="U20" s="715"/>
      <c r="V20" s="714"/>
      <c r="W20" s="715"/>
      <c r="X20" s="1490"/>
      <c r="Y20" s="3485"/>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492"/>
      <c r="Q21" s="1487" t="str">
        <f>B21</f>
        <v>基础设施水平</v>
      </c>
      <c r="R21" s="714" t="s">
        <v>17</v>
      </c>
      <c r="S21" s="715">
        <f>F21</f>
        <v>100</v>
      </c>
      <c r="T21" s="714" t="s">
        <v>17</v>
      </c>
      <c r="U21" s="715">
        <f>H21</f>
        <v>100</v>
      </c>
      <c r="V21" s="714" t="s">
        <v>17</v>
      </c>
      <c r="W21" s="715">
        <f>J21</f>
        <v>100</v>
      </c>
      <c r="X21" s="1490"/>
      <c r="Y21" s="348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0"/>
      <c r="M22" s="2894"/>
      <c r="N22" s="2894"/>
      <c r="O22" s="2894"/>
      <c r="P22" s="3492"/>
      <c r="Q22" s="1487"/>
      <c r="R22" s="714"/>
      <c r="S22" s="715"/>
      <c r="T22" s="714"/>
      <c r="U22" s="715"/>
      <c r="V22" s="714"/>
      <c r="W22" s="715"/>
      <c r="X22" s="1490"/>
      <c r="Y22" s="3485"/>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492"/>
      <c r="Q23" s="1487" t="str">
        <f>B23</f>
        <v>自然及人文环境</v>
      </c>
      <c r="R23" s="714" t="s">
        <v>17</v>
      </c>
      <c r="S23" s="715">
        <f>F23</f>
        <v>100</v>
      </c>
      <c r="T23" s="714" t="s">
        <v>17</v>
      </c>
      <c r="U23" s="715">
        <f>H23</f>
        <v>100</v>
      </c>
      <c r="V23" s="714" t="s">
        <v>17</v>
      </c>
      <c r="W23" s="715">
        <f>J23</f>
        <v>100</v>
      </c>
      <c r="X23" s="1490"/>
      <c r="Y23" s="3485"/>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0"/>
      <c r="M24" s="2894"/>
      <c r="N24" s="2894"/>
      <c r="O24" s="2894"/>
      <c r="P24" s="3492"/>
      <c r="Q24" s="1487"/>
      <c r="R24" s="714"/>
      <c r="S24" s="715"/>
      <c r="T24" s="714"/>
      <c r="U24" s="715"/>
      <c r="V24" s="714"/>
      <c r="W24" s="715"/>
      <c r="X24" s="1490"/>
      <c r="Y24" s="3485"/>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492"/>
      <c r="Q25" s="1487" t="str">
        <f t="shared" ref="Q25:Q46" si="11">B25</f>
        <v>临街状况</v>
      </c>
      <c r="R25" s="714" t="s">
        <v>17</v>
      </c>
      <c r="S25" s="715">
        <f>F25</f>
        <v>100</v>
      </c>
      <c r="T25" s="714" t="s">
        <v>17</v>
      </c>
      <c r="U25" s="715">
        <f>H25</f>
        <v>100</v>
      </c>
      <c r="V25" s="714" t="s">
        <v>17</v>
      </c>
      <c r="W25" s="715">
        <f>J25</f>
        <v>100</v>
      </c>
      <c r="X25" s="1490"/>
      <c r="Y25" s="3485"/>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492"/>
      <c r="Q26" s="1487" t="str">
        <f t="shared" si="11"/>
        <v>平面位置/可视性</v>
      </c>
      <c r="R26" s="714" t="s">
        <v>17</v>
      </c>
      <c r="S26" s="715">
        <f>F26</f>
        <v>100</v>
      </c>
      <c r="T26" s="714" t="s">
        <v>17</v>
      </c>
      <c r="U26" s="715">
        <f>H26</f>
        <v>100</v>
      </c>
      <c r="V26" s="714" t="s">
        <v>17</v>
      </c>
      <c r="W26" s="715">
        <f>J26</f>
        <v>100</v>
      </c>
      <c r="X26" s="1490"/>
      <c r="Y26" s="3485"/>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5"/>
      <c r="M27" s="2896"/>
      <c r="N27" s="2896"/>
      <c r="O27" s="2896"/>
      <c r="P27" s="3492"/>
      <c r="Q27" s="1478" t="str">
        <f t="shared" si="11"/>
        <v>人流量</v>
      </c>
      <c r="R27" s="710" t="s">
        <v>17</v>
      </c>
      <c r="S27" s="711">
        <f>F27</f>
        <v>100</v>
      </c>
      <c r="T27" s="710" t="s">
        <v>17</v>
      </c>
      <c r="U27" s="711">
        <f>H27</f>
        <v>100</v>
      </c>
      <c r="V27" s="710" t="s">
        <v>17</v>
      </c>
      <c r="W27" s="711">
        <f>J27</f>
        <v>100</v>
      </c>
      <c r="X27" s="712"/>
      <c r="Y27" s="3485"/>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492"/>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85"/>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492"/>
      <c r="Q29" s="1487">
        <f t="shared" si="11"/>
        <v>111</v>
      </c>
      <c r="R29" s="714" t="s">
        <v>17</v>
      </c>
      <c r="S29" s="715">
        <f t="shared" si="12"/>
        <v>100</v>
      </c>
      <c r="T29" s="714" t="s">
        <v>17</v>
      </c>
      <c r="U29" s="715">
        <f t="shared" si="13"/>
        <v>100</v>
      </c>
      <c r="V29" s="714" t="s">
        <v>17</v>
      </c>
      <c r="W29" s="715">
        <f t="shared" si="14"/>
        <v>100</v>
      </c>
      <c r="X29" s="1490"/>
      <c r="Y29" s="3485"/>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492"/>
      <c r="Q30" s="1487">
        <f t="shared" si="11"/>
        <v>111</v>
      </c>
      <c r="R30" s="714" t="s">
        <v>17</v>
      </c>
      <c r="S30" s="715">
        <f t="shared" si="12"/>
        <v>100</v>
      </c>
      <c r="T30" s="714" t="s">
        <v>17</v>
      </c>
      <c r="U30" s="715">
        <f t="shared" si="13"/>
        <v>100</v>
      </c>
      <c r="V30" s="714" t="s">
        <v>17</v>
      </c>
      <c r="W30" s="715">
        <f t="shared" si="14"/>
        <v>100</v>
      </c>
      <c r="X30" s="1490"/>
      <c r="Y30" s="3485"/>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492"/>
      <c r="Q31" s="1487">
        <f t="shared" si="11"/>
        <v>111</v>
      </c>
      <c r="R31" s="714" t="s">
        <v>17</v>
      </c>
      <c r="S31" s="715">
        <f t="shared" si="12"/>
        <v>100</v>
      </c>
      <c r="T31" s="714" t="s">
        <v>17</v>
      </c>
      <c r="U31" s="715">
        <f t="shared" si="13"/>
        <v>100</v>
      </c>
      <c r="V31" s="714" t="s">
        <v>17</v>
      </c>
      <c r="W31" s="715">
        <f t="shared" si="14"/>
        <v>100</v>
      </c>
      <c r="X31" s="1490"/>
      <c r="Y31" s="3485"/>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0"/>
      <c r="M32" s="2894"/>
      <c r="N32" s="2894"/>
      <c r="O32" s="2894"/>
      <c r="P32" s="3486" t="s">
        <v>2145</v>
      </c>
      <c r="Q32" s="1487" t="str">
        <f t="shared" si="11"/>
        <v>商业类型</v>
      </c>
      <c r="R32" s="714" t="s">
        <v>17</v>
      </c>
      <c r="S32" s="715">
        <f t="shared" si="12"/>
        <v>100</v>
      </c>
      <c r="T32" s="714" t="s">
        <v>17</v>
      </c>
      <c r="U32" s="715">
        <f t="shared" si="13"/>
        <v>100</v>
      </c>
      <c r="V32" s="714" t="s">
        <v>17</v>
      </c>
      <c r="W32" s="715">
        <f t="shared" si="14"/>
        <v>100</v>
      </c>
      <c r="X32" s="1490"/>
      <c r="Y32" s="3489"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87"/>
      <c r="Q33" s="716" t="str">
        <f t="shared" si="11"/>
        <v>项目建筑规模</v>
      </c>
      <c r="R33" s="717" t="s">
        <v>17</v>
      </c>
      <c r="S33" s="718" t="e">
        <f t="shared" si="12"/>
        <v>#N/A</v>
      </c>
      <c r="T33" s="717" t="s">
        <v>17</v>
      </c>
      <c r="U33" s="718" t="e">
        <f t="shared" si="13"/>
        <v>#N/A</v>
      </c>
      <c r="V33" s="717" t="s">
        <v>17</v>
      </c>
      <c r="W33" s="718" t="e">
        <f t="shared" si="14"/>
        <v>#N/A</v>
      </c>
      <c r="X33" s="719"/>
      <c r="Y33" s="3489"/>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0"/>
      <c r="M34" s="2894"/>
      <c r="N34" s="2894"/>
      <c r="O34" s="2894"/>
      <c r="P34" s="3487"/>
      <c r="Q34" s="1487" t="str">
        <f t="shared" si="11"/>
        <v>建筑结构</v>
      </c>
      <c r="R34" s="714" t="s">
        <v>17</v>
      </c>
      <c r="S34" s="715">
        <f t="shared" si="12"/>
        <v>100</v>
      </c>
      <c r="T34" s="714" t="s">
        <v>17</v>
      </c>
      <c r="U34" s="715">
        <f t="shared" si="13"/>
        <v>100</v>
      </c>
      <c r="V34" s="714" t="s">
        <v>17</v>
      </c>
      <c r="W34" s="715">
        <f t="shared" si="14"/>
        <v>100</v>
      </c>
      <c r="X34" s="1490"/>
      <c r="Y34" s="3489"/>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0"/>
      <c r="M35" s="2894"/>
      <c r="N35" s="2894"/>
      <c r="O35" s="2894"/>
      <c r="P35" s="3487"/>
      <c r="Q35" s="1487" t="str">
        <f t="shared" si="11"/>
        <v>公共部分装修</v>
      </c>
      <c r="R35" s="714" t="s">
        <v>17</v>
      </c>
      <c r="S35" s="715">
        <f t="shared" si="12"/>
        <v>100</v>
      </c>
      <c r="T35" s="714" t="s">
        <v>17</v>
      </c>
      <c r="U35" s="715">
        <f t="shared" si="13"/>
        <v>100</v>
      </c>
      <c r="V35" s="714" t="s">
        <v>17</v>
      </c>
      <c r="W35" s="715">
        <f t="shared" si="14"/>
        <v>100</v>
      </c>
      <c r="X35" s="1490"/>
      <c r="Y35" s="3489"/>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87"/>
      <c r="Q36" s="1487" t="str">
        <f t="shared" si="11"/>
        <v>成新度</v>
      </c>
      <c r="R36" s="714" t="s">
        <v>17</v>
      </c>
      <c r="S36" s="715" t="e">
        <f t="shared" si="12"/>
        <v>#N/A</v>
      </c>
      <c r="T36" s="714" t="s">
        <v>17</v>
      </c>
      <c r="U36" s="715" t="e">
        <f t="shared" si="13"/>
        <v>#N/A</v>
      </c>
      <c r="V36" s="714" t="s">
        <v>17</v>
      </c>
      <c r="W36" s="715" t="e">
        <f t="shared" si="14"/>
        <v>#N/A</v>
      </c>
      <c r="X36" s="1490"/>
      <c r="Y36" s="3489"/>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5"/>
      <c r="M37" s="2896"/>
      <c r="N37" s="2896"/>
      <c r="O37" s="2896"/>
      <c r="P37" s="3487"/>
      <c r="Q37" s="1478" t="str">
        <f t="shared" si="11"/>
        <v>市政基础设施</v>
      </c>
      <c r="R37" s="710" t="s">
        <v>17</v>
      </c>
      <c r="S37" s="711">
        <f t="shared" si="12"/>
        <v>100</v>
      </c>
      <c r="T37" s="710" t="s">
        <v>17</v>
      </c>
      <c r="U37" s="711">
        <f t="shared" si="13"/>
        <v>100</v>
      </c>
      <c r="V37" s="710" t="s">
        <v>17</v>
      </c>
      <c r="W37" s="711">
        <f t="shared" si="14"/>
        <v>100</v>
      </c>
      <c r="X37" s="712"/>
      <c r="Y37" s="3489"/>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0"/>
      <c r="M38" s="2894"/>
      <c r="N38" s="2894"/>
      <c r="O38" s="2894"/>
      <c r="P38" s="3487" t="s">
        <v>2145</v>
      </c>
      <c r="Q38" s="1487" t="str">
        <f t="shared" si="11"/>
        <v>业态</v>
      </c>
      <c r="R38" s="714" t="s">
        <v>17</v>
      </c>
      <c r="S38" s="715">
        <f t="shared" si="12"/>
        <v>100</v>
      </c>
      <c r="T38" s="714" t="s">
        <v>17</v>
      </c>
      <c r="U38" s="715">
        <f t="shared" si="13"/>
        <v>100</v>
      </c>
      <c r="V38" s="714" t="s">
        <v>17</v>
      </c>
      <c r="W38" s="715">
        <f t="shared" si="14"/>
        <v>100</v>
      </c>
      <c r="X38" s="1490"/>
      <c r="Y38" s="3489"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0"/>
      <c r="M39" s="2894"/>
      <c r="N39" s="2894"/>
      <c r="O39" s="2894"/>
      <c r="P39" s="3487"/>
      <c r="Q39" s="1487" t="str">
        <f t="shared" si="11"/>
        <v>层高</v>
      </c>
      <c r="R39" s="714" t="s">
        <v>17</v>
      </c>
      <c r="S39" s="715">
        <f t="shared" si="12"/>
        <v>100</v>
      </c>
      <c r="T39" s="714" t="s">
        <v>17</v>
      </c>
      <c r="U39" s="715">
        <f t="shared" si="13"/>
        <v>100</v>
      </c>
      <c r="V39" s="714" t="s">
        <v>17</v>
      </c>
      <c r="W39" s="715">
        <f t="shared" si="14"/>
        <v>100</v>
      </c>
      <c r="X39" s="1490"/>
      <c r="Y39" s="3489"/>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87"/>
      <c r="Q40" s="1487" t="str">
        <f t="shared" si="11"/>
        <v>单套建筑面积</v>
      </c>
      <c r="R40" s="714" t="s">
        <v>17</v>
      </c>
      <c r="S40" s="715">
        <f t="shared" si="12"/>
        <v>100</v>
      </c>
      <c r="T40" s="714" t="s">
        <v>17</v>
      </c>
      <c r="U40" s="715">
        <f t="shared" si="13"/>
        <v>100</v>
      </c>
      <c r="V40" s="714" t="s">
        <v>17</v>
      </c>
      <c r="W40" s="715">
        <f t="shared" si="14"/>
        <v>100</v>
      </c>
      <c r="X40" s="1490"/>
      <c r="Y40" s="3489"/>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87"/>
      <c r="Q41" s="716" t="str">
        <f t="shared" si="11"/>
        <v>进深比</v>
      </c>
      <c r="R41" s="717" t="s">
        <v>17</v>
      </c>
      <c r="S41" s="718">
        <f t="shared" si="12"/>
        <v>100</v>
      </c>
      <c r="T41" s="717" t="s">
        <v>17</v>
      </c>
      <c r="U41" s="718">
        <f t="shared" si="13"/>
        <v>100</v>
      </c>
      <c r="V41" s="717" t="s">
        <v>17</v>
      </c>
      <c r="W41" s="718">
        <f t="shared" si="14"/>
        <v>100</v>
      </c>
      <c r="X41" s="719"/>
      <c r="Y41" s="3489"/>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0"/>
      <c r="M42" s="2894"/>
      <c r="N42" s="2894"/>
      <c r="O42" s="2894"/>
      <c r="P42" s="3487"/>
      <c r="Q42" s="1487" t="str">
        <f t="shared" si="11"/>
        <v>内部装修</v>
      </c>
      <c r="R42" s="714" t="s">
        <v>17</v>
      </c>
      <c r="S42" s="715">
        <f t="shared" si="12"/>
        <v>100</v>
      </c>
      <c r="T42" s="714" t="s">
        <v>17</v>
      </c>
      <c r="U42" s="715">
        <f t="shared" si="13"/>
        <v>100</v>
      </c>
      <c r="V42" s="714" t="s">
        <v>17</v>
      </c>
      <c r="W42" s="715">
        <f t="shared" si="14"/>
        <v>100</v>
      </c>
      <c r="X42" s="1490"/>
      <c r="Y42" s="3489"/>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0"/>
      <c r="M43" s="2894"/>
      <c r="N43" s="2894"/>
      <c r="O43" s="2894"/>
      <c r="P43" s="3487"/>
      <c r="Q43" s="1487" t="str">
        <f t="shared" si="11"/>
        <v>内部装修维护情况</v>
      </c>
      <c r="R43" s="714" t="s">
        <v>17</v>
      </c>
      <c r="S43" s="715">
        <f t="shared" si="12"/>
        <v>100</v>
      </c>
      <c r="T43" s="714" t="s">
        <v>17</v>
      </c>
      <c r="U43" s="715">
        <f t="shared" si="13"/>
        <v>100</v>
      </c>
      <c r="V43" s="714" t="s">
        <v>17</v>
      </c>
      <c r="W43" s="715">
        <f t="shared" si="14"/>
        <v>100</v>
      </c>
      <c r="X43" s="1490"/>
      <c r="Y43" s="3489"/>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87"/>
      <c r="Q44" s="1478">
        <f t="shared" si="11"/>
        <v>111</v>
      </c>
      <c r="R44" s="710" t="s">
        <v>17</v>
      </c>
      <c r="S44" s="711">
        <f t="shared" si="12"/>
        <v>100</v>
      </c>
      <c r="T44" s="710" t="s">
        <v>17</v>
      </c>
      <c r="U44" s="711">
        <f t="shared" si="13"/>
        <v>100</v>
      </c>
      <c r="V44" s="710" t="s">
        <v>17</v>
      </c>
      <c r="W44" s="711">
        <f t="shared" si="14"/>
        <v>100</v>
      </c>
      <c r="X44" s="712"/>
      <c r="Y44" s="3489"/>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87"/>
      <c r="Q45" s="1487">
        <f t="shared" si="11"/>
        <v>111</v>
      </c>
      <c r="R45" s="714" t="s">
        <v>17</v>
      </c>
      <c r="S45" s="715">
        <f t="shared" si="12"/>
        <v>100</v>
      </c>
      <c r="T45" s="714" t="s">
        <v>17</v>
      </c>
      <c r="U45" s="715">
        <f t="shared" si="13"/>
        <v>100</v>
      </c>
      <c r="V45" s="714" t="s">
        <v>17</v>
      </c>
      <c r="W45" s="715">
        <f t="shared" si="14"/>
        <v>100</v>
      </c>
      <c r="X45" s="1490"/>
      <c r="Y45" s="3489"/>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88"/>
      <c r="Q46" s="1487">
        <f t="shared" si="11"/>
        <v>111</v>
      </c>
      <c r="R46" s="714" t="s">
        <v>17</v>
      </c>
      <c r="S46" s="715">
        <f t="shared" si="12"/>
        <v>100</v>
      </c>
      <c r="T46" s="714" t="s">
        <v>17</v>
      </c>
      <c r="U46" s="715">
        <f t="shared" si="13"/>
        <v>100</v>
      </c>
      <c r="V46" s="714" t="s">
        <v>17</v>
      </c>
      <c r="W46" s="715">
        <f t="shared" si="14"/>
        <v>100</v>
      </c>
      <c r="X46" s="1490"/>
      <c r="Y46" s="3490"/>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2"/>
      <c r="M47" s="2903"/>
      <c r="N47" s="2894"/>
      <c r="O47" s="2903"/>
      <c r="P47" s="3482" t="str">
        <f>A47</f>
        <v>成交单价（元/平方米）</v>
      </c>
      <c r="Q47" s="3482"/>
      <c r="R47" s="3513">
        <f>E47</f>
        <v>0</v>
      </c>
      <c r="S47" s="3513"/>
      <c r="T47" s="3513">
        <f>G47</f>
        <v>0</v>
      </c>
      <c r="U47" s="3513"/>
      <c r="V47" s="3513">
        <f>I47</f>
        <v>0</v>
      </c>
      <c r="W47" s="3513"/>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2"/>
      <c r="M48" s="2903"/>
      <c r="N48" s="2894"/>
      <c r="O48" s="2903"/>
      <c r="P48" s="3482" t="str">
        <f>A48</f>
        <v>比较价值（元/平方米）</v>
      </c>
      <c r="Q48" s="3482"/>
      <c r="R48" s="3483" t="e">
        <f>IF(F1="售价",ROUND(PRODUCT(R47,AA7:AA46),0),ROUND(PRODUCT(R47,AA7:AA46),1))</f>
        <v>#DIV/0!</v>
      </c>
      <c r="S48" s="3483"/>
      <c r="T48" s="3483" t="e">
        <f>IF(F1="售价",ROUND(PRODUCT(T47,AB7:AB46),0),ROUND(PRODUCT(T47,AB7:AB46),1))</f>
        <v>#DIV/0!</v>
      </c>
      <c r="U48" s="3483"/>
      <c r="V48" s="3483" t="e">
        <f>IF(F1="售价",ROUND(PRODUCT(V47,AC7:AC46),0),ROUND(PRODUCT(V47,AC7:AC46),1))</f>
        <v>#DIV/0!</v>
      </c>
      <c r="W48" s="3483"/>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479" t="str">
        <f>A49</f>
        <v>估价对象XX用房的比较价值（楼面单价，元/平方米）</v>
      </c>
      <c r="Q49" s="3480"/>
      <c r="R49" s="3481" t="e">
        <f>IF(F1="售价",ROUND(IF(D48="简单平均",AVERAGE(R48:V48),R48*F48+T48*H48+V48*J48),0),ROUND(IF(D48="简单平均",AVERAGE(R48:V48),R48*F48+T48*H48+V48*J48),1))</f>
        <v>#DIV/0!</v>
      </c>
      <c r="S49" s="3481"/>
      <c r="T49" s="3481"/>
      <c r="U49" s="3481"/>
      <c r="V49" s="3481"/>
      <c r="W49" s="3481"/>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9" t="str">
        <f>YEAR(C7)&amp;"-"&amp;MONTH(C7)</f>
        <v>2022-8</v>
      </c>
      <c r="D58" s="1300">
        <f>EDATE(C58,-1)</f>
        <v>44743</v>
      </c>
      <c r="E58" s="1300">
        <f t="shared" ref="E58:N58" si="16">EDATE(D58,-1)</f>
        <v>44713</v>
      </c>
      <c r="F58" s="1300">
        <f t="shared" si="16"/>
        <v>44682</v>
      </c>
      <c r="G58" s="1300">
        <f t="shared" si="16"/>
        <v>44652</v>
      </c>
      <c r="H58" s="1300">
        <f t="shared" si="16"/>
        <v>44621</v>
      </c>
      <c r="I58" s="1300">
        <f t="shared" si="16"/>
        <v>44593</v>
      </c>
      <c r="J58" s="1300">
        <f t="shared" si="16"/>
        <v>44562</v>
      </c>
      <c r="K58" s="1300">
        <f t="shared" si="16"/>
        <v>44531</v>
      </c>
      <c r="L58" s="1300">
        <f t="shared" si="16"/>
        <v>44501</v>
      </c>
      <c r="M58" s="1300">
        <f t="shared" si="16"/>
        <v>44470</v>
      </c>
      <c r="N58" s="1300">
        <f t="shared" si="16"/>
        <v>44440</v>
      </c>
      <c r="O58" s="1300">
        <f>EDATE(N58,-1)</f>
        <v>44409</v>
      </c>
      <c r="P58" s="2918"/>
      <c r="Q58" s="2919"/>
      <c r="R58" s="2919"/>
      <c r="S58" s="2919"/>
      <c r="T58" s="2919"/>
      <c r="U58" s="2919"/>
      <c r="V58" s="2919"/>
      <c r="W58" s="2919"/>
      <c r="X58" s="2919"/>
      <c r="Y58" s="2919"/>
      <c r="Z58" s="2919"/>
      <c r="AA58" s="2919"/>
      <c r="AB58" s="2919"/>
      <c r="AC58" s="2919"/>
    </row>
    <row r="59" spans="1:29" s="113" customFormat="1" ht="15">
      <c r="A59" s="466"/>
      <c r="B59" s="467"/>
      <c r="C59" s="1298">
        <v>100</v>
      </c>
      <c r="D59" s="469"/>
      <c r="E59" s="469"/>
      <c r="F59" s="469"/>
      <c r="G59" s="469"/>
      <c r="H59" s="469"/>
      <c r="I59" s="469"/>
      <c r="J59" s="469"/>
      <c r="K59" s="469"/>
      <c r="L59" s="469"/>
      <c r="M59" s="470"/>
      <c r="N59" s="469"/>
      <c r="O59" s="470"/>
      <c r="P59" s="2920"/>
      <c r="Q59" s="2837"/>
      <c r="R59" s="2837"/>
      <c r="S59" s="2837"/>
      <c r="T59" s="2837"/>
      <c r="U59" s="2837"/>
      <c r="V59" s="2837"/>
      <c r="W59" s="2837"/>
      <c r="X59" s="2837"/>
      <c r="Y59" s="2837"/>
      <c r="Z59" s="2837"/>
      <c r="AA59" s="2837"/>
      <c r="AB59" s="2837"/>
      <c r="AC59" s="2837"/>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7"/>
      <c r="S60" s="2837"/>
      <c r="T60" s="2837"/>
      <c r="U60" s="2837"/>
      <c r="V60" s="2837"/>
      <c r="W60" s="2837"/>
      <c r="X60" s="2837"/>
      <c r="Y60" s="2837"/>
      <c r="Z60" s="2837"/>
      <c r="AA60" s="2837"/>
      <c r="AB60" s="2837"/>
      <c r="AC60" s="2837"/>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7"/>
      <c r="S61" s="2837"/>
      <c r="T61" s="2837"/>
      <c r="U61" s="2837"/>
      <c r="V61" s="2837"/>
      <c r="W61" s="2837"/>
      <c r="X61" s="2837"/>
      <c r="Y61" s="2837"/>
      <c r="Z61" s="2837"/>
      <c r="AA61" s="2837"/>
      <c r="AB61" s="2837"/>
      <c r="AC61" s="2837"/>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7"/>
      <c r="S62" s="2837"/>
      <c r="T62" s="2837"/>
      <c r="U62" s="2837"/>
      <c r="V62" s="2837"/>
      <c r="W62" s="2837"/>
      <c r="X62" s="2837"/>
      <c r="Y62" s="2837"/>
      <c r="Z62" s="2837"/>
      <c r="AA62" s="2837"/>
      <c r="AB62" s="2837"/>
      <c r="AC62" s="2837"/>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7"/>
      <c r="S86" s="2837"/>
      <c r="T86" s="2837"/>
      <c r="U86" s="2837"/>
      <c r="V86" s="2837"/>
      <c r="W86" s="2837"/>
      <c r="X86" s="2837"/>
      <c r="Y86" s="2837"/>
      <c r="Z86" s="2837"/>
      <c r="AA86" s="2837"/>
      <c r="AB86" s="2837"/>
      <c r="AC86" s="283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7"/>
      <c r="S87" s="2837"/>
      <c r="T87" s="2837"/>
      <c r="U87" s="2837"/>
      <c r="V87" s="2837"/>
      <c r="W87" s="2837"/>
      <c r="X87" s="2837"/>
      <c r="Y87" s="2837"/>
      <c r="Z87" s="2837"/>
      <c r="AA87" s="2837"/>
      <c r="AB87" s="2837"/>
      <c r="AC87" s="2837"/>
    </row>
    <row r="88" spans="1:29" s="113" customFormat="1" ht="15.75" thickTop="1">
      <c r="A88" s="536"/>
      <c r="B88" s="495" t="str">
        <f>B26</f>
        <v>平面位置/可视性</v>
      </c>
      <c r="C88" s="511"/>
      <c r="D88" s="511"/>
      <c r="E88" s="511"/>
      <c r="F88" s="2064"/>
      <c r="G88" s="511"/>
      <c r="H88" s="511"/>
      <c r="I88" s="511"/>
      <c r="J88" s="511"/>
      <c r="K88" s="511"/>
      <c r="L88" s="511"/>
      <c r="M88" s="538"/>
      <c r="N88" s="2930"/>
      <c r="O88" s="2930"/>
      <c r="P88" s="2922"/>
      <c r="Q88" s="2917"/>
      <c r="R88" s="2837"/>
      <c r="S88" s="2837"/>
      <c r="T88" s="2837"/>
      <c r="U88" s="2837"/>
      <c r="V88" s="2837"/>
      <c r="W88" s="2837"/>
      <c r="X88" s="2837"/>
      <c r="Y88" s="2837"/>
      <c r="Z88" s="2837"/>
      <c r="AA88" s="2837"/>
      <c r="AB88" s="2837"/>
      <c r="AC88" s="2837"/>
    </row>
    <row r="89" spans="1:29" s="113" customFormat="1" ht="15.75" thickBot="1">
      <c r="A89" s="536"/>
      <c r="B89" s="500"/>
      <c r="C89" s="517"/>
      <c r="D89" s="493"/>
      <c r="E89" s="493"/>
      <c r="F89" s="493"/>
      <c r="G89" s="493"/>
      <c r="H89" s="493"/>
      <c r="I89" s="493"/>
      <c r="J89" s="493"/>
      <c r="K89" s="493"/>
      <c r="L89" s="493"/>
      <c r="M89" s="493"/>
      <c r="N89" s="2932"/>
      <c r="O89" s="2932"/>
      <c r="P89" s="2922"/>
      <c r="Q89" s="2917"/>
      <c r="R89" s="2837"/>
      <c r="S89" s="2837"/>
      <c r="T89" s="2837"/>
      <c r="U89" s="2837"/>
      <c r="V89" s="2837"/>
      <c r="W89" s="2837"/>
      <c r="X89" s="2837"/>
      <c r="Y89" s="2837"/>
      <c r="Z89" s="2837"/>
      <c r="AA89" s="2837"/>
      <c r="AB89" s="2837"/>
      <c r="AC89" s="2837"/>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5"/>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5"/>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40421.870000000003</v>
      </c>
      <c r="E3" s="2091"/>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497" t="s">
        <v>2226</v>
      </c>
      <c r="D4" s="3498"/>
      <c r="E4" s="3499" t="s">
        <v>2227</v>
      </c>
      <c r="F4" s="3500"/>
      <c r="G4" s="3497" t="s">
        <v>2228</v>
      </c>
      <c r="H4" s="3498"/>
      <c r="I4" s="3497" t="s">
        <v>2229</v>
      </c>
      <c r="J4" s="3498"/>
      <c r="K4" s="567" t="s">
        <v>2230</v>
      </c>
      <c r="L4" s="2893"/>
      <c r="M4" s="2894"/>
      <c r="N4" s="2894"/>
      <c r="O4" s="2894"/>
      <c r="P4" s="3531" t="s">
        <v>2231</v>
      </c>
      <c r="Q4" s="3532"/>
      <c r="R4" s="3535" t="s">
        <v>2227</v>
      </c>
      <c r="S4" s="3536"/>
      <c r="T4" s="3535" t="s">
        <v>2228</v>
      </c>
      <c r="U4" s="3536"/>
      <c r="V4" s="3537" t="s">
        <v>2229</v>
      </c>
      <c r="W4" s="3537"/>
      <c r="X4" s="2095"/>
      <c r="Y4" s="3535" t="s">
        <v>2231</v>
      </c>
      <c r="Z4" s="3536"/>
      <c r="AA4" s="3539" t="s">
        <v>2227</v>
      </c>
      <c r="AB4" s="3539" t="s">
        <v>2228</v>
      </c>
      <c r="AC4" s="3528" t="s">
        <v>2229</v>
      </c>
    </row>
    <row r="5" spans="1:29" ht="15">
      <c r="A5" s="364"/>
      <c r="B5" s="365"/>
      <c r="C5" s="3516" t="s">
        <v>2122</v>
      </c>
      <c r="D5" s="3517"/>
      <c r="E5" s="3523" t="s">
        <v>2123</v>
      </c>
      <c r="F5" s="3524"/>
      <c r="G5" s="3516" t="s">
        <v>2124</v>
      </c>
      <c r="H5" s="3517"/>
      <c r="I5" s="3516" t="s">
        <v>2125</v>
      </c>
      <c r="J5" s="3517"/>
      <c r="K5" s="567"/>
      <c r="L5" s="2893"/>
      <c r="M5" s="2894"/>
      <c r="N5" s="2894"/>
      <c r="O5" s="2894"/>
      <c r="P5" s="3533"/>
      <c r="Q5" s="3504"/>
      <c r="R5" s="3509"/>
      <c r="S5" s="3510"/>
      <c r="T5" s="3509"/>
      <c r="U5" s="3510"/>
      <c r="V5" s="3513"/>
      <c r="W5" s="3513"/>
      <c r="X5" s="1490"/>
      <c r="Y5" s="3509"/>
      <c r="Z5" s="3510"/>
      <c r="AA5" s="3495"/>
      <c r="AB5" s="3495"/>
      <c r="AC5" s="3529"/>
    </row>
    <row r="6" spans="1:29" ht="15.75" thickBot="1">
      <c r="A6" s="366"/>
      <c r="B6" s="367"/>
      <c r="C6" s="3514" t="s">
        <v>2126</v>
      </c>
      <c r="D6" s="3515"/>
      <c r="E6" s="3521" t="s">
        <v>2126</v>
      </c>
      <c r="F6" s="3522"/>
      <c r="G6" s="3514" t="s">
        <v>2126</v>
      </c>
      <c r="H6" s="3515"/>
      <c r="I6" s="3514" t="s">
        <v>2126</v>
      </c>
      <c r="J6" s="3515"/>
      <c r="K6" s="567" t="s">
        <v>2127</v>
      </c>
      <c r="L6" s="2893"/>
      <c r="M6" s="2894"/>
      <c r="N6" s="2894"/>
      <c r="O6" s="2894"/>
      <c r="P6" s="3534"/>
      <c r="Q6" s="3506"/>
      <c r="R6" s="3509"/>
      <c r="S6" s="3510"/>
      <c r="T6" s="3511"/>
      <c r="U6" s="3512"/>
      <c r="V6" s="3513"/>
      <c r="W6" s="3513"/>
      <c r="X6" s="1490"/>
      <c r="Y6" s="3511"/>
      <c r="Z6" s="3512"/>
      <c r="AA6" s="3496"/>
      <c r="AB6" s="3496"/>
      <c r="AC6" s="3530"/>
    </row>
    <row r="7" spans="1:29" s="113" customFormat="1" ht="15.75" thickBot="1">
      <c r="A7" s="368" t="s">
        <v>2128</v>
      </c>
      <c r="B7" s="369"/>
      <c r="C7" s="370">
        <f>'数据-取费表'!B2</f>
        <v>44799</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38" t="s">
        <v>2129</v>
      </c>
      <c r="Q7" s="3520"/>
      <c r="R7" s="710" t="s">
        <v>17</v>
      </c>
      <c r="S7" s="711">
        <f t="shared" ref="S7:S15" si="0">F7</f>
        <v>0</v>
      </c>
      <c r="T7" s="710" t="s">
        <v>17</v>
      </c>
      <c r="U7" s="711">
        <f t="shared" ref="U7:U15" si="1">H7</f>
        <v>0</v>
      </c>
      <c r="V7" s="710" t="s">
        <v>17</v>
      </c>
      <c r="W7" s="711">
        <f t="shared" ref="W7:W15" si="2">J7</f>
        <v>0</v>
      </c>
      <c r="X7" s="712"/>
      <c r="Y7" s="3518" t="s">
        <v>2129</v>
      </c>
      <c r="Z7" s="3519"/>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38" t="s">
        <v>2132</v>
      </c>
      <c r="Q8" s="3519"/>
      <c r="R8" s="710" t="s">
        <v>17</v>
      </c>
      <c r="S8" s="711">
        <f t="shared" si="0"/>
        <v>0</v>
      </c>
      <c r="T8" s="710" t="s">
        <v>17</v>
      </c>
      <c r="U8" s="711">
        <f t="shared" si="1"/>
        <v>0</v>
      </c>
      <c r="V8" s="710" t="s">
        <v>17</v>
      </c>
      <c r="W8" s="711">
        <f t="shared" si="2"/>
        <v>0</v>
      </c>
      <c r="X8" s="712"/>
      <c r="Y8" s="3518" t="s">
        <v>2132</v>
      </c>
      <c r="Z8" s="3519"/>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93" t="s">
        <v>2135</v>
      </c>
      <c r="Q9" s="1478" t="str">
        <f t="shared" ref="Q9:Q15" si="6">B9</f>
        <v>用途</v>
      </c>
      <c r="R9" s="710" t="s">
        <v>17</v>
      </c>
      <c r="S9" s="711">
        <f t="shared" si="0"/>
        <v>100</v>
      </c>
      <c r="T9" s="710" t="s">
        <v>17</v>
      </c>
      <c r="U9" s="711">
        <f t="shared" si="1"/>
        <v>100</v>
      </c>
      <c r="V9" s="710" t="s">
        <v>17</v>
      </c>
      <c r="W9" s="711">
        <f t="shared" si="2"/>
        <v>100</v>
      </c>
      <c r="X9" s="712"/>
      <c r="Y9" s="3354"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93"/>
      <c r="Q10" s="1478"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93"/>
      <c r="Q11" s="1478"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5"/>
      <c r="M12" s="2896"/>
      <c r="N12" s="2896"/>
      <c r="O12" s="2896"/>
      <c r="P12" s="3493"/>
      <c r="Q12" s="1478">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0"/>
      <c r="M13" s="2894"/>
      <c r="N13" s="2894"/>
      <c r="O13" s="2894"/>
      <c r="P13" s="3493"/>
      <c r="Q13" s="1478">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0"/>
      <c r="M14" s="2894"/>
      <c r="N14" s="2894"/>
      <c r="O14" s="2894"/>
      <c r="P14" s="3493"/>
      <c r="Q14" s="1478">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491" t="s">
        <v>2140</v>
      </c>
      <c r="Q15" s="1487" t="str">
        <f t="shared" si="6"/>
        <v>办公集聚程度</v>
      </c>
      <c r="R15" s="714" t="s">
        <v>17</v>
      </c>
      <c r="S15" s="715">
        <f t="shared" si="0"/>
        <v>100</v>
      </c>
      <c r="T15" s="714" t="s">
        <v>17</v>
      </c>
      <c r="U15" s="715">
        <f t="shared" si="1"/>
        <v>100</v>
      </c>
      <c r="V15" s="714" t="s">
        <v>17</v>
      </c>
      <c r="W15" s="715">
        <f t="shared" si="2"/>
        <v>100</v>
      </c>
      <c r="X15" s="1490"/>
      <c r="Y15" s="3484"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0"/>
      <c r="M16" s="2894"/>
      <c r="N16" s="2894"/>
      <c r="O16" s="2894"/>
      <c r="P16" s="3492"/>
      <c r="Q16" s="1487"/>
      <c r="R16" s="714"/>
      <c r="S16" s="715"/>
      <c r="T16" s="714"/>
      <c r="U16" s="715"/>
      <c r="V16" s="714"/>
      <c r="W16" s="715"/>
      <c r="X16" s="1490"/>
      <c r="Y16" s="3485"/>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492"/>
      <c r="Q17" s="1487" t="str">
        <f>B17</f>
        <v>交通便捷度</v>
      </c>
      <c r="R17" s="714" t="s">
        <v>17</v>
      </c>
      <c r="S17" s="715">
        <f>F17</f>
        <v>100</v>
      </c>
      <c r="T17" s="714" t="s">
        <v>17</v>
      </c>
      <c r="U17" s="715">
        <f>H17</f>
        <v>100</v>
      </c>
      <c r="V17" s="714" t="s">
        <v>17</v>
      </c>
      <c r="W17" s="715">
        <f>J17</f>
        <v>100</v>
      </c>
      <c r="X17" s="1490"/>
      <c r="Y17" s="3485"/>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0"/>
      <c r="M18" s="2894"/>
      <c r="N18" s="2894"/>
      <c r="O18" s="2894"/>
      <c r="P18" s="3492"/>
      <c r="Q18" s="1487"/>
      <c r="R18" s="714"/>
      <c r="S18" s="715"/>
      <c r="T18" s="714"/>
      <c r="U18" s="715"/>
      <c r="V18" s="714"/>
      <c r="W18" s="715"/>
      <c r="X18" s="1490"/>
      <c r="Y18" s="3485"/>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492"/>
      <c r="Q19" s="1487" t="str">
        <f>B19</f>
        <v>公共配套设施</v>
      </c>
      <c r="R19" s="714" t="s">
        <v>17</v>
      </c>
      <c r="S19" s="715">
        <f>F19</f>
        <v>100</v>
      </c>
      <c r="T19" s="714" t="s">
        <v>17</v>
      </c>
      <c r="U19" s="715">
        <f>H19</f>
        <v>100</v>
      </c>
      <c r="V19" s="714" t="s">
        <v>17</v>
      </c>
      <c r="W19" s="715">
        <f>J19</f>
        <v>100</v>
      </c>
      <c r="X19" s="1490"/>
      <c r="Y19" s="3485"/>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0"/>
      <c r="M20" s="2894"/>
      <c r="N20" s="2894"/>
      <c r="O20" s="2894"/>
      <c r="P20" s="3492"/>
      <c r="Q20" s="1487"/>
      <c r="R20" s="714"/>
      <c r="S20" s="715"/>
      <c r="T20" s="714"/>
      <c r="U20" s="715"/>
      <c r="V20" s="714"/>
      <c r="W20" s="715"/>
      <c r="X20" s="1490"/>
      <c r="Y20" s="3485"/>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492"/>
      <c r="Q21" s="1487" t="str">
        <f>B21</f>
        <v>基础设施水平</v>
      </c>
      <c r="R21" s="714" t="s">
        <v>17</v>
      </c>
      <c r="S21" s="715">
        <f>F21</f>
        <v>100</v>
      </c>
      <c r="T21" s="714" t="s">
        <v>17</v>
      </c>
      <c r="U21" s="715">
        <f>H21</f>
        <v>100</v>
      </c>
      <c r="V21" s="714" t="s">
        <v>17</v>
      </c>
      <c r="W21" s="715">
        <f>J21</f>
        <v>100</v>
      </c>
      <c r="X21" s="1490"/>
      <c r="Y21" s="3485"/>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0"/>
      <c r="M22" s="2894"/>
      <c r="N22" s="2894"/>
      <c r="O22" s="2894"/>
      <c r="P22" s="3492"/>
      <c r="Q22" s="1487"/>
      <c r="R22" s="714"/>
      <c r="S22" s="715"/>
      <c r="T22" s="714"/>
      <c r="U22" s="715"/>
      <c r="V22" s="714"/>
      <c r="W22" s="715"/>
      <c r="X22" s="1490"/>
      <c r="Y22" s="3485"/>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492"/>
      <c r="Q23" s="1487" t="str">
        <f>B23</f>
        <v>环境质量</v>
      </c>
      <c r="R23" s="714" t="s">
        <v>17</v>
      </c>
      <c r="S23" s="715">
        <f>F23</f>
        <v>100</v>
      </c>
      <c r="T23" s="714" t="s">
        <v>17</v>
      </c>
      <c r="U23" s="715">
        <f>H23</f>
        <v>100</v>
      </c>
      <c r="V23" s="714" t="s">
        <v>17</v>
      </c>
      <c r="W23" s="715">
        <f>J23</f>
        <v>100</v>
      </c>
      <c r="X23" s="1490"/>
      <c r="Y23" s="3485"/>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0"/>
      <c r="M24" s="2894"/>
      <c r="N24" s="2894"/>
      <c r="O24" s="2894"/>
      <c r="P24" s="3492"/>
      <c r="Q24" s="1487"/>
      <c r="R24" s="714"/>
      <c r="S24" s="715"/>
      <c r="T24" s="714"/>
      <c r="U24" s="715"/>
      <c r="V24" s="714"/>
      <c r="W24" s="715"/>
      <c r="X24" s="1490"/>
      <c r="Y24" s="3485"/>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0"/>
      <c r="M25" s="2894"/>
      <c r="N25" s="2894"/>
      <c r="O25" s="2894"/>
      <c r="P25" s="3492"/>
      <c r="Q25" s="1487" t="str">
        <f>B25</f>
        <v>毗邻道路的类型与等级</v>
      </c>
      <c r="R25" s="714" t="s">
        <v>17</v>
      </c>
      <c r="S25" s="715">
        <f>F25</f>
        <v>100</v>
      </c>
      <c r="T25" s="714" t="s">
        <v>17</v>
      </c>
      <c r="U25" s="715">
        <f>H25</f>
        <v>100</v>
      </c>
      <c r="V25" s="714" t="s">
        <v>17</v>
      </c>
      <c r="W25" s="715">
        <f>J25</f>
        <v>100</v>
      </c>
      <c r="X25" s="1490"/>
      <c r="Y25" s="3485"/>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0"/>
      <c r="M26" s="2894"/>
      <c r="N26" s="2894"/>
      <c r="O26" s="2894"/>
      <c r="P26" s="3492"/>
      <c r="Q26" s="1487"/>
      <c r="R26" s="714"/>
      <c r="S26" s="715"/>
      <c r="T26" s="714"/>
      <c r="U26" s="715"/>
      <c r="V26" s="714"/>
      <c r="W26" s="715"/>
      <c r="X26" s="1490"/>
      <c r="Y26" s="3485"/>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492"/>
      <c r="Q27" s="1487" t="str">
        <f t="shared" ref="Q27:Q47" si="11">B27</f>
        <v>楼层</v>
      </c>
      <c r="R27" s="714" t="s">
        <v>17</v>
      </c>
      <c r="S27" s="715">
        <f>F27</f>
        <v>100</v>
      </c>
      <c r="T27" s="714" t="s">
        <v>17</v>
      </c>
      <c r="U27" s="715">
        <f>H27</f>
        <v>100</v>
      </c>
      <c r="V27" s="714" t="s">
        <v>17</v>
      </c>
      <c r="W27" s="715">
        <f>J27</f>
        <v>100</v>
      </c>
      <c r="X27" s="1490"/>
      <c r="Y27" s="3485"/>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5"/>
      <c r="M28" s="2896"/>
      <c r="N28" s="2896"/>
      <c r="O28" s="2896"/>
      <c r="P28" s="3492"/>
      <c r="Q28" s="1478" t="str">
        <f t="shared" si="11"/>
        <v>朝向</v>
      </c>
      <c r="R28" s="710" t="s">
        <v>17</v>
      </c>
      <c r="S28" s="711">
        <f>F28</f>
        <v>100</v>
      </c>
      <c r="T28" s="710" t="s">
        <v>17</v>
      </c>
      <c r="U28" s="711">
        <f>H28</f>
        <v>100</v>
      </c>
      <c r="V28" s="710" t="s">
        <v>17</v>
      </c>
      <c r="W28" s="711">
        <f>J28</f>
        <v>100</v>
      </c>
      <c r="X28" s="712"/>
      <c r="Y28" s="3485"/>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0"/>
      <c r="M29" s="2894"/>
      <c r="N29" s="2894"/>
      <c r="O29" s="2894"/>
      <c r="P29" s="3492"/>
      <c r="Q29" s="1487">
        <f t="shared" si="11"/>
        <v>111</v>
      </c>
      <c r="R29" s="714" t="s">
        <v>17</v>
      </c>
      <c r="S29" s="715">
        <f t="shared" ref="S29:S47" si="12">F29</f>
        <v>100</v>
      </c>
      <c r="T29" s="714" t="s">
        <v>17</v>
      </c>
      <c r="U29" s="715">
        <f t="shared" ref="U29:U47" si="13">H29</f>
        <v>100</v>
      </c>
      <c r="V29" s="714" t="s">
        <v>17</v>
      </c>
      <c r="W29" s="715">
        <f t="shared" ref="W29:W47" si="14">J29</f>
        <v>100</v>
      </c>
      <c r="X29" s="1490"/>
      <c r="Y29" s="3485"/>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0"/>
      <c r="M30" s="2894"/>
      <c r="N30" s="2894"/>
      <c r="O30" s="2894"/>
      <c r="P30" s="3492"/>
      <c r="Q30" s="1487">
        <f t="shared" si="11"/>
        <v>111</v>
      </c>
      <c r="R30" s="714" t="s">
        <v>17</v>
      </c>
      <c r="S30" s="715">
        <f t="shared" si="12"/>
        <v>100</v>
      </c>
      <c r="T30" s="714" t="s">
        <v>17</v>
      </c>
      <c r="U30" s="715">
        <f t="shared" si="13"/>
        <v>100</v>
      </c>
      <c r="V30" s="714" t="s">
        <v>17</v>
      </c>
      <c r="W30" s="715">
        <f t="shared" si="14"/>
        <v>100</v>
      </c>
      <c r="X30" s="1490"/>
      <c r="Y30" s="3485"/>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0"/>
      <c r="M31" s="2894"/>
      <c r="N31" s="2894"/>
      <c r="O31" s="2894"/>
      <c r="P31" s="3492"/>
      <c r="Q31" s="1487">
        <f t="shared" si="11"/>
        <v>111</v>
      </c>
      <c r="R31" s="714" t="s">
        <v>17</v>
      </c>
      <c r="S31" s="715">
        <f t="shared" si="12"/>
        <v>100</v>
      </c>
      <c r="T31" s="714" t="s">
        <v>17</v>
      </c>
      <c r="U31" s="715">
        <f t="shared" si="13"/>
        <v>100</v>
      </c>
      <c r="V31" s="714" t="s">
        <v>17</v>
      </c>
      <c r="W31" s="715">
        <f t="shared" si="14"/>
        <v>100</v>
      </c>
      <c r="X31" s="1490"/>
      <c r="Y31" s="3485"/>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0"/>
      <c r="M32" s="2894"/>
      <c r="N32" s="2894"/>
      <c r="O32" s="2894"/>
      <c r="P32" s="3492"/>
      <c r="Q32" s="1487">
        <f t="shared" si="11"/>
        <v>111</v>
      </c>
      <c r="R32" s="714" t="s">
        <v>17</v>
      </c>
      <c r="S32" s="715">
        <f t="shared" si="12"/>
        <v>100</v>
      </c>
      <c r="T32" s="714" t="s">
        <v>17</v>
      </c>
      <c r="U32" s="715">
        <f t="shared" si="13"/>
        <v>100</v>
      </c>
      <c r="V32" s="714" t="s">
        <v>17</v>
      </c>
      <c r="W32" s="715">
        <f t="shared" si="14"/>
        <v>100</v>
      </c>
      <c r="X32" s="1490"/>
      <c r="Y32" s="3485"/>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0"/>
      <c r="M33" s="2894"/>
      <c r="N33" s="2894"/>
      <c r="O33" s="2894"/>
      <c r="P33" s="3486" t="s">
        <v>2145</v>
      </c>
      <c r="Q33" s="1487" t="str">
        <f t="shared" si="11"/>
        <v>建筑类型</v>
      </c>
      <c r="R33" s="714" t="s">
        <v>17</v>
      </c>
      <c r="S33" s="715">
        <f t="shared" si="12"/>
        <v>100</v>
      </c>
      <c r="T33" s="714" t="s">
        <v>17</v>
      </c>
      <c r="U33" s="715">
        <f t="shared" si="13"/>
        <v>100</v>
      </c>
      <c r="V33" s="714" t="s">
        <v>17</v>
      </c>
      <c r="W33" s="715">
        <f t="shared" si="14"/>
        <v>100</v>
      </c>
      <c r="X33" s="1490"/>
      <c r="Y33" s="3489"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87"/>
      <c r="Q34" s="716" t="str">
        <f t="shared" si="11"/>
        <v>项目建筑规模</v>
      </c>
      <c r="R34" s="717" t="s">
        <v>17</v>
      </c>
      <c r="S34" s="718" t="e">
        <f t="shared" si="12"/>
        <v>#N/A</v>
      </c>
      <c r="T34" s="717" t="s">
        <v>17</v>
      </c>
      <c r="U34" s="718" t="e">
        <f t="shared" si="13"/>
        <v>#N/A</v>
      </c>
      <c r="V34" s="717" t="s">
        <v>17</v>
      </c>
      <c r="W34" s="718" t="e">
        <f t="shared" si="14"/>
        <v>#N/A</v>
      </c>
      <c r="X34" s="719"/>
      <c r="Y34" s="3489"/>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87"/>
      <c r="Q35" s="1487" t="str">
        <f t="shared" si="11"/>
        <v>建筑结构</v>
      </c>
      <c r="R35" s="714" t="s">
        <v>17</v>
      </c>
      <c r="S35" s="715">
        <f t="shared" si="12"/>
        <v>100</v>
      </c>
      <c r="T35" s="714" t="s">
        <v>17</v>
      </c>
      <c r="U35" s="715">
        <f t="shared" si="13"/>
        <v>100</v>
      </c>
      <c r="V35" s="714" t="s">
        <v>17</v>
      </c>
      <c r="W35" s="715">
        <f t="shared" si="14"/>
        <v>100</v>
      </c>
      <c r="X35" s="1490"/>
      <c r="Y35" s="3489"/>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87"/>
      <c r="Q36" s="1487" t="str">
        <f t="shared" si="11"/>
        <v>公共部分装修</v>
      </c>
      <c r="R36" s="714" t="s">
        <v>17</v>
      </c>
      <c r="S36" s="715">
        <f t="shared" si="12"/>
        <v>100</v>
      </c>
      <c r="T36" s="714" t="s">
        <v>17</v>
      </c>
      <c r="U36" s="715">
        <f t="shared" si="13"/>
        <v>100</v>
      </c>
      <c r="V36" s="714" t="s">
        <v>17</v>
      </c>
      <c r="W36" s="715">
        <f t="shared" si="14"/>
        <v>100</v>
      </c>
      <c r="X36" s="1490"/>
      <c r="Y36" s="3489"/>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87"/>
      <c r="Q37" s="1487" t="str">
        <f t="shared" si="11"/>
        <v>成新度</v>
      </c>
      <c r="R37" s="714" t="s">
        <v>17</v>
      </c>
      <c r="S37" s="715" t="e">
        <f t="shared" si="12"/>
        <v>#N/A</v>
      </c>
      <c r="T37" s="714" t="s">
        <v>17</v>
      </c>
      <c r="U37" s="715" t="e">
        <f t="shared" si="13"/>
        <v>#N/A</v>
      </c>
      <c r="V37" s="714" t="s">
        <v>17</v>
      </c>
      <c r="W37" s="715" t="e">
        <f t="shared" si="14"/>
        <v>#N/A</v>
      </c>
      <c r="X37" s="1490"/>
      <c r="Y37" s="3489"/>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87"/>
      <c r="Q38" s="1478" t="str">
        <f t="shared" si="11"/>
        <v>写字楼等级</v>
      </c>
      <c r="R38" s="710" t="s">
        <v>17</v>
      </c>
      <c r="S38" s="711">
        <f t="shared" si="12"/>
        <v>100</v>
      </c>
      <c r="T38" s="710" t="s">
        <v>17</v>
      </c>
      <c r="U38" s="711">
        <f t="shared" si="13"/>
        <v>100</v>
      </c>
      <c r="V38" s="710" t="s">
        <v>17</v>
      </c>
      <c r="W38" s="711">
        <f t="shared" si="14"/>
        <v>100</v>
      </c>
      <c r="X38" s="712"/>
      <c r="Y38" s="3489"/>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87" t="s">
        <v>2145</v>
      </c>
      <c r="Q39" s="1487" t="str">
        <f t="shared" si="11"/>
        <v>物业管理</v>
      </c>
      <c r="R39" s="714" t="s">
        <v>17</v>
      </c>
      <c r="S39" s="715">
        <f t="shared" si="12"/>
        <v>100</v>
      </c>
      <c r="T39" s="714" t="s">
        <v>17</v>
      </c>
      <c r="U39" s="715">
        <f t="shared" si="13"/>
        <v>100</v>
      </c>
      <c r="V39" s="714" t="s">
        <v>17</v>
      </c>
      <c r="W39" s="715">
        <f t="shared" si="14"/>
        <v>100</v>
      </c>
      <c r="X39" s="1490"/>
      <c r="Y39" s="3489"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87"/>
      <c r="Q40" s="1487" t="str">
        <f t="shared" si="11"/>
        <v>市政基础设施</v>
      </c>
      <c r="R40" s="714" t="s">
        <v>17</v>
      </c>
      <c r="S40" s="715">
        <f t="shared" si="12"/>
        <v>100</v>
      </c>
      <c r="T40" s="714" t="s">
        <v>17</v>
      </c>
      <c r="U40" s="715">
        <f t="shared" si="13"/>
        <v>100</v>
      </c>
      <c r="V40" s="714" t="s">
        <v>17</v>
      </c>
      <c r="W40" s="715">
        <f t="shared" si="14"/>
        <v>100</v>
      </c>
      <c r="X40" s="1490"/>
      <c r="Y40" s="3489"/>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87"/>
      <c r="Q41" s="1487" t="str">
        <f t="shared" si="11"/>
        <v>层高</v>
      </c>
      <c r="R41" s="714" t="s">
        <v>17</v>
      </c>
      <c r="S41" s="715">
        <f t="shared" si="12"/>
        <v>100</v>
      </c>
      <c r="T41" s="714" t="s">
        <v>17</v>
      </c>
      <c r="U41" s="715">
        <f t="shared" si="13"/>
        <v>100</v>
      </c>
      <c r="V41" s="714" t="s">
        <v>17</v>
      </c>
      <c r="W41" s="715">
        <f t="shared" si="14"/>
        <v>100</v>
      </c>
      <c r="X41" s="1490"/>
      <c r="Y41" s="3489"/>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87"/>
      <c r="Q42" s="716" t="str">
        <f t="shared" si="11"/>
        <v>单套建筑面积</v>
      </c>
      <c r="R42" s="717" t="s">
        <v>17</v>
      </c>
      <c r="S42" s="718">
        <f t="shared" si="12"/>
        <v>100</v>
      </c>
      <c r="T42" s="717" t="s">
        <v>17</v>
      </c>
      <c r="U42" s="718">
        <f t="shared" si="13"/>
        <v>100</v>
      </c>
      <c r="V42" s="717" t="s">
        <v>17</v>
      </c>
      <c r="W42" s="718">
        <f t="shared" si="14"/>
        <v>100</v>
      </c>
      <c r="X42" s="719"/>
      <c r="Y42" s="3489"/>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87"/>
      <c r="Q43" s="1487" t="str">
        <f t="shared" si="11"/>
        <v>内部装修</v>
      </c>
      <c r="R43" s="714" t="s">
        <v>17</v>
      </c>
      <c r="S43" s="715">
        <f t="shared" si="12"/>
        <v>100</v>
      </c>
      <c r="T43" s="714" t="s">
        <v>17</v>
      </c>
      <c r="U43" s="715">
        <f t="shared" si="13"/>
        <v>100</v>
      </c>
      <c r="V43" s="714" t="s">
        <v>17</v>
      </c>
      <c r="W43" s="715">
        <f t="shared" si="14"/>
        <v>100</v>
      </c>
      <c r="X43" s="1490"/>
      <c r="Y43" s="3489"/>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0"/>
      <c r="M44" s="2894"/>
      <c r="N44" s="2894"/>
      <c r="O44" s="2894"/>
      <c r="P44" s="3487"/>
      <c r="Q44" s="1487" t="str">
        <f t="shared" si="11"/>
        <v>内部装修维护情况</v>
      </c>
      <c r="R44" s="714" t="s">
        <v>17</v>
      </c>
      <c r="S44" s="715">
        <f t="shared" si="12"/>
        <v>100</v>
      </c>
      <c r="T44" s="714" t="s">
        <v>17</v>
      </c>
      <c r="U44" s="715">
        <f t="shared" si="13"/>
        <v>100</v>
      </c>
      <c r="V44" s="714" t="s">
        <v>17</v>
      </c>
      <c r="W44" s="715">
        <f t="shared" si="14"/>
        <v>100</v>
      </c>
      <c r="X44" s="1490"/>
      <c r="Y44" s="3489"/>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87"/>
      <c r="Q45" s="1478">
        <f t="shared" si="11"/>
        <v>111</v>
      </c>
      <c r="R45" s="710" t="s">
        <v>17</v>
      </c>
      <c r="S45" s="711">
        <f t="shared" si="12"/>
        <v>100</v>
      </c>
      <c r="T45" s="710" t="s">
        <v>17</v>
      </c>
      <c r="U45" s="711">
        <f t="shared" si="13"/>
        <v>100</v>
      </c>
      <c r="V45" s="710" t="s">
        <v>17</v>
      </c>
      <c r="W45" s="711">
        <f t="shared" si="14"/>
        <v>100</v>
      </c>
      <c r="X45" s="712"/>
      <c r="Y45" s="3489"/>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87"/>
      <c r="Q46" s="1487">
        <f t="shared" si="11"/>
        <v>111</v>
      </c>
      <c r="R46" s="714" t="s">
        <v>17</v>
      </c>
      <c r="S46" s="715">
        <f t="shared" si="12"/>
        <v>100</v>
      </c>
      <c r="T46" s="714" t="s">
        <v>17</v>
      </c>
      <c r="U46" s="715">
        <f t="shared" si="13"/>
        <v>100</v>
      </c>
      <c r="V46" s="714" t="s">
        <v>17</v>
      </c>
      <c r="W46" s="715">
        <f t="shared" si="14"/>
        <v>100</v>
      </c>
      <c r="X46" s="1490"/>
      <c r="Y46" s="3489"/>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88"/>
      <c r="Q47" s="1487">
        <f t="shared" si="11"/>
        <v>111</v>
      </c>
      <c r="R47" s="714" t="s">
        <v>17</v>
      </c>
      <c r="S47" s="715">
        <f t="shared" si="12"/>
        <v>100</v>
      </c>
      <c r="T47" s="714" t="s">
        <v>17</v>
      </c>
      <c r="U47" s="715">
        <f t="shared" si="13"/>
        <v>100</v>
      </c>
      <c r="V47" s="714" t="s">
        <v>17</v>
      </c>
      <c r="W47" s="715">
        <f t="shared" si="14"/>
        <v>100</v>
      </c>
      <c r="X47" s="1490"/>
      <c r="Y47" s="3490"/>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2"/>
      <c r="M48" s="2894"/>
      <c r="N48" s="2894"/>
      <c r="O48" s="2894"/>
      <c r="P48" s="3493" t="str">
        <f>A48</f>
        <v>成交单价（元/平方米）</v>
      </c>
      <c r="Q48" s="3482"/>
      <c r="R48" s="3483">
        <f>E48</f>
        <v>0</v>
      </c>
      <c r="S48" s="3483"/>
      <c r="T48" s="3483">
        <f>G48</f>
        <v>0</v>
      </c>
      <c r="U48" s="3483"/>
      <c r="V48" s="3483">
        <f>I48</f>
        <v>0</v>
      </c>
      <c r="W48" s="3483"/>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2"/>
      <c r="M49" s="2894"/>
      <c r="N49" s="2894"/>
      <c r="O49" s="2894"/>
      <c r="P49" s="3493" t="str">
        <f>A49</f>
        <v>比较价值（元/平方米）</v>
      </c>
      <c r="Q49" s="3482"/>
      <c r="R49" s="3483" t="e">
        <f>IF(F1="售价",ROUND(PRODUCT(R48,AA7:AA47),0),ROUND(PRODUCT(R48,AA7:AA47),1))</f>
        <v>#DIV/0!</v>
      </c>
      <c r="S49" s="3483"/>
      <c r="T49" s="3483" t="e">
        <f>IF(F1="售价",ROUND(PRODUCT(T48,AB7:AB47),0),ROUND(PRODUCT(T48,AB7:AB47),1))</f>
        <v>#DIV/0!</v>
      </c>
      <c r="U49" s="3483"/>
      <c r="V49" s="3483" t="e">
        <f>IF(F1="售价",ROUND(PRODUCT(V48,AC7:AC47),0),ROUND(PRODUCT(V48,AC7:AC47),1))</f>
        <v>#DIV/0!</v>
      </c>
      <c r="W49" s="3483"/>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25" t="str">
        <f>A50</f>
        <v>估价对象XX用房的比较价值（楼面单价，元/平方米）</v>
      </c>
      <c r="Q50" s="3526"/>
      <c r="R50" s="3527" t="e">
        <f>IF(F1="售价",ROUND(IF(D49="简单平均",AVERAGE(R49:V49),R49*F49+T49*H49+V49*J49),0),ROUND(IF(D49="简单平均",AVERAGE(R49:V49),R49*F49+T49*H49+V49*J49),1))</f>
        <v>#DIV/0!</v>
      </c>
      <c r="S50" s="3527"/>
      <c r="T50" s="3527"/>
      <c r="U50" s="3527"/>
      <c r="V50" s="3527"/>
      <c r="W50" s="3527"/>
      <c r="X50" s="2083"/>
      <c r="Y50" s="2083"/>
      <c r="Z50" s="2083"/>
      <c r="AA50" s="2083"/>
      <c r="AB50" s="2083"/>
      <c r="AC50" s="2084"/>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9" t="str">
        <f>YEAR(C7)&amp;"-"&amp;MONTH(C7)</f>
        <v>2022-8</v>
      </c>
      <c r="D59" s="1300">
        <f>EDATE(C59,-1)</f>
        <v>44743</v>
      </c>
      <c r="E59" s="1300">
        <f>EDATE(D59,-1)</f>
        <v>44713</v>
      </c>
      <c r="F59" s="1300">
        <f t="shared" ref="F59:O59" si="16">EDATE(E59,-1)</f>
        <v>44682</v>
      </c>
      <c r="G59" s="1300">
        <f t="shared" si="16"/>
        <v>44652</v>
      </c>
      <c r="H59" s="1300">
        <f t="shared" si="16"/>
        <v>44621</v>
      </c>
      <c r="I59" s="1300">
        <f t="shared" si="16"/>
        <v>44593</v>
      </c>
      <c r="J59" s="1300">
        <f t="shared" si="16"/>
        <v>44562</v>
      </c>
      <c r="K59" s="1300">
        <f t="shared" si="16"/>
        <v>44531</v>
      </c>
      <c r="L59" s="1300">
        <f t="shared" si="16"/>
        <v>44501</v>
      </c>
      <c r="M59" s="1300">
        <f t="shared" si="16"/>
        <v>44470</v>
      </c>
      <c r="N59" s="1300">
        <f t="shared" si="16"/>
        <v>44440</v>
      </c>
      <c r="O59" s="1300">
        <f t="shared" si="16"/>
        <v>44409</v>
      </c>
      <c r="P59" s="2937"/>
      <c r="Q59" s="2919"/>
      <c r="R59" s="2919"/>
      <c r="S59" s="2919"/>
      <c r="T59" s="2919"/>
      <c r="U59" s="2919"/>
      <c r="V59" s="2919"/>
      <c r="W59" s="2919"/>
      <c r="X59" s="2919"/>
      <c r="Y59" s="2919"/>
      <c r="Z59" s="2919"/>
      <c r="AA59" s="2919"/>
      <c r="AB59" s="2919"/>
      <c r="AC59" s="2919"/>
    </row>
    <row r="60" spans="1:29" s="113" customFormat="1" ht="15">
      <c r="A60" s="466"/>
      <c r="B60" s="467"/>
      <c r="C60" s="1298">
        <v>100</v>
      </c>
      <c r="D60" s="469"/>
      <c r="E60" s="469"/>
      <c r="F60" s="469"/>
      <c r="G60" s="469"/>
      <c r="H60" s="469"/>
      <c r="I60" s="469"/>
      <c r="J60" s="469"/>
      <c r="K60" s="469"/>
      <c r="L60" s="469"/>
      <c r="M60" s="470"/>
      <c r="N60" s="469"/>
      <c r="O60" s="470"/>
      <c r="P60" s="2938"/>
      <c r="Q60" s="2837"/>
      <c r="R60" s="2837"/>
      <c r="S60" s="2837"/>
      <c r="T60" s="2837"/>
      <c r="U60" s="2837"/>
      <c r="V60" s="2837"/>
      <c r="W60" s="2837"/>
      <c r="X60" s="2837"/>
      <c r="Y60" s="2837"/>
      <c r="Z60" s="2837"/>
      <c r="AA60" s="2837"/>
      <c r="AB60" s="2837"/>
      <c r="AC60" s="2837"/>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7"/>
      <c r="S61" s="2837"/>
      <c r="T61" s="2837"/>
      <c r="U61" s="2837"/>
      <c r="V61" s="2837"/>
      <c r="W61" s="2837"/>
      <c r="X61" s="2837"/>
      <c r="Y61" s="2837"/>
      <c r="Z61" s="2837"/>
      <c r="AA61" s="2837"/>
      <c r="AB61" s="2837"/>
      <c r="AC61" s="2837"/>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7"/>
      <c r="S62" s="2837"/>
      <c r="T62" s="2837"/>
      <c r="U62" s="2837"/>
      <c r="V62" s="2837"/>
      <c r="W62" s="2837"/>
      <c r="X62" s="2837"/>
      <c r="Y62" s="2837"/>
      <c r="Z62" s="2837"/>
      <c r="AA62" s="2837"/>
      <c r="AB62" s="2837"/>
      <c r="AC62" s="2837"/>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7"/>
      <c r="S63" s="2837"/>
      <c r="T63" s="2837"/>
      <c r="U63" s="2837"/>
      <c r="V63" s="2837"/>
      <c r="W63" s="2837"/>
      <c r="X63" s="2837"/>
      <c r="Y63" s="2837"/>
      <c r="Z63" s="2837"/>
      <c r="AA63" s="2837"/>
      <c r="AB63" s="2837"/>
      <c r="AC63" s="2837"/>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7"/>
      <c r="S87" s="2837"/>
      <c r="T87" s="2837"/>
      <c r="U87" s="2837"/>
      <c r="V87" s="2837"/>
      <c r="W87" s="2837"/>
      <c r="X87" s="2837"/>
      <c r="Y87" s="2837"/>
      <c r="Z87" s="2837"/>
      <c r="AA87" s="2837"/>
      <c r="AB87" s="2837"/>
      <c r="AC87" s="283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7"/>
      <c r="S88" s="2837"/>
      <c r="T88" s="2837"/>
      <c r="U88" s="2837"/>
      <c r="V88" s="2837"/>
      <c r="W88" s="2837"/>
      <c r="X88" s="2837"/>
      <c r="Y88" s="2837"/>
      <c r="Z88" s="2837"/>
      <c r="AA88" s="2837"/>
      <c r="AB88" s="2837"/>
      <c r="AC88" s="2837"/>
    </row>
    <row r="89" spans="1:29" s="113" customFormat="1" ht="15.75" thickTop="1">
      <c r="A89" s="536"/>
      <c r="B89" s="495" t="str">
        <f>B27</f>
        <v>楼层</v>
      </c>
      <c r="C89" s="511"/>
      <c r="D89" s="511"/>
      <c r="E89" s="511"/>
      <c r="F89" s="2064"/>
      <c r="G89" s="511"/>
      <c r="H89" s="511"/>
      <c r="I89" s="511"/>
      <c r="J89" s="511"/>
      <c r="K89" s="511"/>
      <c r="L89" s="511"/>
      <c r="M89" s="538"/>
      <c r="N89" s="2930"/>
      <c r="O89" s="2930"/>
      <c r="P89" s="2940"/>
      <c r="Q89" s="2917"/>
      <c r="R89" s="2837"/>
      <c r="S89" s="2837"/>
      <c r="T89" s="2837"/>
      <c r="U89" s="2837"/>
      <c r="V89" s="2837"/>
      <c r="W89" s="2837"/>
      <c r="X89" s="2837"/>
      <c r="Y89" s="2837"/>
      <c r="Z89" s="2837"/>
      <c r="AA89" s="2837"/>
      <c r="AB89" s="2837"/>
      <c r="AC89" s="283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7"/>
      <c r="S90" s="2837"/>
      <c r="T90" s="2837"/>
      <c r="U90" s="2837"/>
      <c r="V90" s="2837"/>
      <c r="W90" s="2837"/>
      <c r="X90" s="2837"/>
      <c r="Y90" s="2837"/>
      <c r="Z90" s="2837"/>
      <c r="AA90" s="2837"/>
      <c r="AB90" s="2837"/>
      <c r="AC90" s="2837"/>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5"/>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5"/>
      <c r="M119" s="2106"/>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5"/>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40421.870000000003</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1025"/>
      <c r="M4" s="1026"/>
      <c r="N4" s="1026"/>
      <c r="O4" s="1026"/>
      <c r="P4" s="3501" t="s">
        <v>2231</v>
      </c>
      <c r="Q4" s="3502"/>
      <c r="R4" s="3507" t="s">
        <v>2227</v>
      </c>
      <c r="S4" s="3508"/>
      <c r="T4" s="3507" t="s">
        <v>2228</v>
      </c>
      <c r="U4" s="3508"/>
      <c r="V4" s="3513" t="s">
        <v>2229</v>
      </c>
      <c r="W4" s="3513"/>
      <c r="X4" s="1490"/>
      <c r="Y4" s="3507" t="s">
        <v>2231</v>
      </c>
      <c r="Z4" s="3508"/>
      <c r="AA4" s="3494" t="s">
        <v>2227</v>
      </c>
      <c r="AB4" s="3495" t="s">
        <v>2228</v>
      </c>
      <c r="AC4" s="3494" t="s">
        <v>2229</v>
      </c>
    </row>
    <row r="5" spans="1:29" ht="15">
      <c r="A5" s="364"/>
      <c r="B5" s="365"/>
      <c r="C5" s="3516" t="s">
        <v>2122</v>
      </c>
      <c r="D5" s="3517"/>
      <c r="E5" s="3523" t="s">
        <v>2123</v>
      </c>
      <c r="F5" s="3524"/>
      <c r="G5" s="3516" t="s">
        <v>2124</v>
      </c>
      <c r="H5" s="3517"/>
      <c r="I5" s="3516" t="s">
        <v>2125</v>
      </c>
      <c r="J5" s="3517"/>
      <c r="K5" s="567"/>
      <c r="L5" s="1025"/>
      <c r="M5" s="1026"/>
      <c r="N5" s="1026"/>
      <c r="O5" s="1026"/>
      <c r="P5" s="3503"/>
      <c r="Q5" s="3504"/>
      <c r="R5" s="3509"/>
      <c r="S5" s="3510"/>
      <c r="T5" s="3509"/>
      <c r="U5" s="3510"/>
      <c r="V5" s="3513"/>
      <c r="W5" s="3513"/>
      <c r="X5" s="1490"/>
      <c r="Y5" s="3509"/>
      <c r="Z5" s="3510"/>
      <c r="AA5" s="3495"/>
      <c r="AB5" s="3495"/>
      <c r="AC5" s="3495"/>
    </row>
    <row r="6" spans="1:29" ht="15.75" thickBot="1">
      <c r="A6" s="366"/>
      <c r="B6" s="367"/>
      <c r="C6" s="3514" t="s">
        <v>2126</v>
      </c>
      <c r="D6" s="3515"/>
      <c r="E6" s="3521" t="s">
        <v>2126</v>
      </c>
      <c r="F6" s="3522"/>
      <c r="G6" s="3514" t="s">
        <v>2126</v>
      </c>
      <c r="H6" s="3515"/>
      <c r="I6" s="3514" t="s">
        <v>2126</v>
      </c>
      <c r="J6" s="3515"/>
      <c r="K6" s="567" t="s">
        <v>2127</v>
      </c>
      <c r="L6" s="1025"/>
      <c r="M6" s="1026"/>
      <c r="N6" s="1026"/>
      <c r="O6" s="1026"/>
      <c r="P6" s="3505"/>
      <c r="Q6" s="3506"/>
      <c r="R6" s="3509"/>
      <c r="S6" s="3510"/>
      <c r="T6" s="3511"/>
      <c r="U6" s="3512"/>
      <c r="V6" s="3513"/>
      <c r="W6" s="3513"/>
      <c r="X6" s="1490"/>
      <c r="Y6" s="3511"/>
      <c r="Z6" s="3512"/>
      <c r="AA6" s="3496"/>
      <c r="AB6" s="3496"/>
      <c r="AC6" s="3496"/>
    </row>
    <row r="7" spans="1:29" s="113" customFormat="1" ht="15.75" thickBot="1">
      <c r="A7" s="368" t="s">
        <v>2128</v>
      </c>
      <c r="B7" s="369"/>
      <c r="C7" s="370">
        <f>'数据-取费表'!B2</f>
        <v>44799</v>
      </c>
      <c r="D7" s="371">
        <v>100</v>
      </c>
      <c r="E7" s="372"/>
      <c r="F7" s="373">
        <f>SUMIF(52:52,YEAR(E7)&amp;"-"&amp;MONTH(E7),53:53)</f>
        <v>0</v>
      </c>
      <c r="G7" s="372"/>
      <c r="H7" s="371">
        <f>SUMIF(52:52,YEAR(G7)&amp;"-"&amp;MONTH(G7),53:53)</f>
        <v>0</v>
      </c>
      <c r="I7" s="372"/>
      <c r="J7" s="371">
        <f>SUMIF(52:52,YEAR(I7)&amp;"-"&amp;MONTH(I7),53:53)</f>
        <v>0</v>
      </c>
      <c r="K7" s="568"/>
      <c r="L7" s="1027"/>
      <c r="M7" s="1028"/>
      <c r="N7" s="1028"/>
      <c r="O7" s="1028"/>
      <c r="P7" s="3518" t="s">
        <v>2129</v>
      </c>
      <c r="Q7" s="3520"/>
      <c r="R7" s="710" t="s">
        <v>17</v>
      </c>
      <c r="S7" s="711">
        <f t="shared" ref="S7:S15" si="0">F7</f>
        <v>0</v>
      </c>
      <c r="T7" s="710" t="s">
        <v>17</v>
      </c>
      <c r="U7" s="711">
        <f t="shared" ref="U7:U15" si="1">H7</f>
        <v>0</v>
      </c>
      <c r="V7" s="710" t="s">
        <v>17</v>
      </c>
      <c r="W7" s="711">
        <f t="shared" ref="W7:W15" si="2">J7</f>
        <v>0</v>
      </c>
      <c r="X7" s="712"/>
      <c r="Y7" s="3518" t="s">
        <v>2129</v>
      </c>
      <c r="Z7" s="3519"/>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518" t="s">
        <v>2132</v>
      </c>
      <c r="Q8" s="3519"/>
      <c r="R8" s="710" t="s">
        <v>17</v>
      </c>
      <c r="S8" s="711">
        <f t="shared" si="0"/>
        <v>0</v>
      </c>
      <c r="T8" s="710" t="s">
        <v>17</v>
      </c>
      <c r="U8" s="711">
        <f t="shared" si="1"/>
        <v>0</v>
      </c>
      <c r="V8" s="710" t="s">
        <v>17</v>
      </c>
      <c r="W8" s="711">
        <f t="shared" si="2"/>
        <v>0</v>
      </c>
      <c r="X8" s="712"/>
      <c r="Y8" s="3518" t="s">
        <v>2132</v>
      </c>
      <c r="Z8" s="3519"/>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82" t="s">
        <v>2135</v>
      </c>
      <c r="Q9" s="1478" t="str">
        <f t="shared" ref="Q9:Q15" si="6">B9</f>
        <v>用途</v>
      </c>
      <c r="R9" s="710" t="s">
        <v>17</v>
      </c>
      <c r="S9" s="711">
        <f t="shared" si="0"/>
        <v>100</v>
      </c>
      <c r="T9" s="710" t="s">
        <v>17</v>
      </c>
      <c r="U9" s="711">
        <f t="shared" si="1"/>
        <v>100</v>
      </c>
      <c r="V9" s="710" t="s">
        <v>17</v>
      </c>
      <c r="W9" s="711">
        <f t="shared" si="2"/>
        <v>100</v>
      </c>
      <c r="X9" s="712"/>
      <c r="Y9" s="3354"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82"/>
      <c r="Q10" s="1478"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82"/>
      <c r="Q11" s="1478"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82"/>
      <c r="Q12" s="1478">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82"/>
      <c r="Q13" s="1478">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82"/>
      <c r="Q14" s="1478">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84" t="s">
        <v>2140</v>
      </c>
      <c r="Q15" s="1487" t="str">
        <f t="shared" si="6"/>
        <v>产业集聚程度</v>
      </c>
      <c r="R15" s="714" t="s">
        <v>17</v>
      </c>
      <c r="S15" s="715">
        <f t="shared" si="0"/>
        <v>100</v>
      </c>
      <c r="T15" s="714" t="s">
        <v>17</v>
      </c>
      <c r="U15" s="715">
        <f t="shared" si="1"/>
        <v>100</v>
      </c>
      <c r="V15" s="714" t="s">
        <v>17</v>
      </c>
      <c r="W15" s="715">
        <f t="shared" si="2"/>
        <v>100</v>
      </c>
      <c r="X15" s="1490"/>
      <c r="Y15" s="3484"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85"/>
      <c r="Q16" s="1487"/>
      <c r="R16" s="714"/>
      <c r="S16" s="715"/>
      <c r="T16" s="714"/>
      <c r="U16" s="715"/>
      <c r="V16" s="714"/>
      <c r="W16" s="715"/>
      <c r="X16" s="1490"/>
      <c r="Y16" s="3485"/>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85"/>
      <c r="Q17" s="1487" t="str">
        <f>B17</f>
        <v>交通便捷度</v>
      </c>
      <c r="R17" s="714" t="s">
        <v>17</v>
      </c>
      <c r="S17" s="715">
        <f>F17</f>
        <v>100</v>
      </c>
      <c r="T17" s="714" t="s">
        <v>17</v>
      </c>
      <c r="U17" s="715">
        <f>H17</f>
        <v>100</v>
      </c>
      <c r="V17" s="714" t="s">
        <v>17</v>
      </c>
      <c r="W17" s="715">
        <f>J17</f>
        <v>100</v>
      </c>
      <c r="X17" s="1490"/>
      <c r="Y17" s="3485"/>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85"/>
      <c r="Q18" s="1487"/>
      <c r="R18" s="714"/>
      <c r="S18" s="715"/>
      <c r="T18" s="714"/>
      <c r="U18" s="715"/>
      <c r="V18" s="714"/>
      <c r="W18" s="715"/>
      <c r="X18" s="1490"/>
      <c r="Y18" s="3485"/>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85"/>
      <c r="Q19" s="1487" t="str">
        <f>B19</f>
        <v>公共配套设施</v>
      </c>
      <c r="R19" s="714" t="s">
        <v>17</v>
      </c>
      <c r="S19" s="715">
        <f>F19</f>
        <v>100</v>
      </c>
      <c r="T19" s="714" t="s">
        <v>17</v>
      </c>
      <c r="U19" s="715">
        <f>H19</f>
        <v>100</v>
      </c>
      <c r="V19" s="714" t="s">
        <v>17</v>
      </c>
      <c r="W19" s="715">
        <f>J19</f>
        <v>100</v>
      </c>
      <c r="X19" s="1490"/>
      <c r="Y19" s="3485"/>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85"/>
      <c r="Q20" s="1487"/>
      <c r="R20" s="714"/>
      <c r="S20" s="715"/>
      <c r="T20" s="714"/>
      <c r="U20" s="715"/>
      <c r="V20" s="714"/>
      <c r="W20" s="715"/>
      <c r="X20" s="1490"/>
      <c r="Y20" s="3485"/>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85"/>
      <c r="Q21" s="1487" t="str">
        <f>B21</f>
        <v>基础设施水平</v>
      </c>
      <c r="R21" s="714" t="s">
        <v>17</v>
      </c>
      <c r="S21" s="715">
        <f>F21</f>
        <v>100</v>
      </c>
      <c r="T21" s="714" t="s">
        <v>17</v>
      </c>
      <c r="U21" s="715">
        <f>H21</f>
        <v>100</v>
      </c>
      <c r="V21" s="714" t="s">
        <v>17</v>
      </c>
      <c r="W21" s="715">
        <f>J21</f>
        <v>100</v>
      </c>
      <c r="X21" s="1490"/>
      <c r="Y21" s="3485"/>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85"/>
      <c r="Q22" s="1487"/>
      <c r="R22" s="714"/>
      <c r="S22" s="715"/>
      <c r="T22" s="714"/>
      <c r="U22" s="715"/>
      <c r="V22" s="714"/>
      <c r="W22" s="715"/>
      <c r="X22" s="1490"/>
      <c r="Y22" s="3485"/>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85"/>
      <c r="Q23" s="1487" t="str">
        <f>B23</f>
        <v>环境质量</v>
      </c>
      <c r="R23" s="714" t="s">
        <v>17</v>
      </c>
      <c r="S23" s="715">
        <f>F23</f>
        <v>100</v>
      </c>
      <c r="T23" s="714" t="s">
        <v>17</v>
      </c>
      <c r="U23" s="715">
        <f>H23</f>
        <v>100</v>
      </c>
      <c r="V23" s="714" t="s">
        <v>17</v>
      </c>
      <c r="W23" s="715">
        <f>J23</f>
        <v>100</v>
      </c>
      <c r="X23" s="1490"/>
      <c r="Y23" s="3485"/>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85"/>
      <c r="Q24" s="1487"/>
      <c r="R24" s="714"/>
      <c r="S24" s="715"/>
      <c r="T24" s="714"/>
      <c r="U24" s="715"/>
      <c r="V24" s="714"/>
      <c r="W24" s="715"/>
      <c r="X24" s="1490"/>
      <c r="Y24" s="3485"/>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85"/>
      <c r="Q25" s="1487">
        <f>B25</f>
        <v>111</v>
      </c>
      <c r="R25" s="714" t="s">
        <v>17</v>
      </c>
      <c r="S25" s="715">
        <f>F25</f>
        <v>100</v>
      </c>
      <c r="T25" s="714" t="s">
        <v>17</v>
      </c>
      <c r="U25" s="715">
        <f>H25</f>
        <v>100</v>
      </c>
      <c r="V25" s="714" t="s">
        <v>17</v>
      </c>
      <c r="W25" s="715">
        <f>J25</f>
        <v>100</v>
      </c>
      <c r="X25" s="1490"/>
      <c r="Y25" s="3485"/>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85"/>
      <c r="Q26" s="1487">
        <f t="shared" ref="Q26:Q40" si="11">B26</f>
        <v>111</v>
      </c>
      <c r="R26" s="714" t="s">
        <v>17</v>
      </c>
      <c r="S26" s="715">
        <f>F26</f>
        <v>100</v>
      </c>
      <c r="T26" s="714" t="s">
        <v>17</v>
      </c>
      <c r="U26" s="715">
        <f>H26</f>
        <v>100</v>
      </c>
      <c r="V26" s="714" t="s">
        <v>17</v>
      </c>
      <c r="W26" s="715">
        <f>J26</f>
        <v>100</v>
      </c>
      <c r="X26" s="1490"/>
      <c r="Y26" s="3485"/>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85"/>
      <c r="Q27" s="1478">
        <f t="shared" si="11"/>
        <v>111</v>
      </c>
      <c r="R27" s="710" t="s">
        <v>17</v>
      </c>
      <c r="S27" s="711">
        <f>F27</f>
        <v>100</v>
      </c>
      <c r="T27" s="710" t="s">
        <v>17</v>
      </c>
      <c r="U27" s="711">
        <f>H27</f>
        <v>100</v>
      </c>
      <c r="V27" s="710" t="s">
        <v>17</v>
      </c>
      <c r="W27" s="711">
        <f>J27</f>
        <v>100</v>
      </c>
      <c r="X27" s="712"/>
      <c r="Y27" s="3485"/>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85"/>
      <c r="Q28" s="1487">
        <f t="shared" si="11"/>
        <v>111</v>
      </c>
      <c r="R28" s="714" t="s">
        <v>17</v>
      </c>
      <c r="S28" s="715">
        <f t="shared" ref="S28:S40" si="12">F28</f>
        <v>100</v>
      </c>
      <c r="T28" s="714" t="s">
        <v>17</v>
      </c>
      <c r="U28" s="715">
        <f t="shared" ref="U28:U40" si="13">H28</f>
        <v>100</v>
      </c>
      <c r="V28" s="714" t="s">
        <v>17</v>
      </c>
      <c r="W28" s="715">
        <f t="shared" ref="W28:W40" si="14">J28</f>
        <v>100</v>
      </c>
      <c r="X28" s="1490"/>
      <c r="Y28" s="3485"/>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40" t="s">
        <v>2145</v>
      </c>
      <c r="Q29" s="1487" t="str">
        <f t="shared" si="11"/>
        <v>建筑类型</v>
      </c>
      <c r="R29" s="714" t="s">
        <v>17</v>
      </c>
      <c r="S29" s="715">
        <f t="shared" si="12"/>
        <v>100</v>
      </c>
      <c r="T29" s="714" t="s">
        <v>17</v>
      </c>
      <c r="U29" s="715">
        <f t="shared" si="13"/>
        <v>100</v>
      </c>
      <c r="V29" s="714" t="s">
        <v>17</v>
      </c>
      <c r="W29" s="715">
        <f t="shared" si="14"/>
        <v>100</v>
      </c>
      <c r="X29" s="1490"/>
      <c r="Y29" s="3489"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89"/>
      <c r="Q30" s="716" t="str">
        <f t="shared" si="11"/>
        <v>项目建筑规模</v>
      </c>
      <c r="R30" s="717" t="s">
        <v>17</v>
      </c>
      <c r="S30" s="718" t="e">
        <f t="shared" si="12"/>
        <v>#N/A</v>
      </c>
      <c r="T30" s="717" t="s">
        <v>17</v>
      </c>
      <c r="U30" s="718" t="e">
        <f t="shared" si="13"/>
        <v>#N/A</v>
      </c>
      <c r="V30" s="717" t="s">
        <v>17</v>
      </c>
      <c r="W30" s="718" t="e">
        <f t="shared" si="14"/>
        <v>#N/A</v>
      </c>
      <c r="X30" s="719"/>
      <c r="Y30" s="3489"/>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89"/>
      <c r="Q31" s="1487" t="str">
        <f t="shared" si="11"/>
        <v>建筑结构</v>
      </c>
      <c r="R31" s="714" t="s">
        <v>17</v>
      </c>
      <c r="S31" s="715">
        <f t="shared" si="12"/>
        <v>100</v>
      </c>
      <c r="T31" s="714" t="s">
        <v>17</v>
      </c>
      <c r="U31" s="715">
        <f t="shared" si="13"/>
        <v>100</v>
      </c>
      <c r="V31" s="714" t="s">
        <v>17</v>
      </c>
      <c r="W31" s="715">
        <f t="shared" si="14"/>
        <v>100</v>
      </c>
      <c r="X31" s="1490"/>
      <c r="Y31" s="3489"/>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89"/>
      <c r="Q32" s="1487" t="str">
        <f t="shared" si="11"/>
        <v>公共部分装修</v>
      </c>
      <c r="R32" s="714" t="s">
        <v>17</v>
      </c>
      <c r="S32" s="715">
        <f t="shared" si="12"/>
        <v>100</v>
      </c>
      <c r="T32" s="714" t="s">
        <v>17</v>
      </c>
      <c r="U32" s="715">
        <f t="shared" si="13"/>
        <v>100</v>
      </c>
      <c r="V32" s="714" t="s">
        <v>17</v>
      </c>
      <c r="W32" s="715">
        <f t="shared" si="14"/>
        <v>100</v>
      </c>
      <c r="X32" s="1490"/>
      <c r="Y32" s="3489"/>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89"/>
      <c r="Q33" s="1487" t="str">
        <f t="shared" si="11"/>
        <v>成新度</v>
      </c>
      <c r="R33" s="714" t="s">
        <v>17</v>
      </c>
      <c r="S33" s="715" t="e">
        <f t="shared" si="12"/>
        <v>#N/A</v>
      </c>
      <c r="T33" s="714" t="s">
        <v>17</v>
      </c>
      <c r="U33" s="715" t="e">
        <f t="shared" si="13"/>
        <v>#N/A</v>
      </c>
      <c r="V33" s="714" t="s">
        <v>17</v>
      </c>
      <c r="W33" s="715" t="e">
        <f t="shared" si="14"/>
        <v>#N/A</v>
      </c>
      <c r="X33" s="1490"/>
      <c r="Y33" s="3489"/>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89"/>
      <c r="Q34" s="1478" t="str">
        <f t="shared" si="11"/>
        <v>物业管理</v>
      </c>
      <c r="R34" s="710" t="s">
        <v>17</v>
      </c>
      <c r="S34" s="711">
        <f t="shared" si="12"/>
        <v>100</v>
      </c>
      <c r="T34" s="710" t="s">
        <v>17</v>
      </c>
      <c r="U34" s="711">
        <f t="shared" si="13"/>
        <v>100</v>
      </c>
      <c r="V34" s="710" t="s">
        <v>17</v>
      </c>
      <c r="W34" s="711">
        <f t="shared" si="14"/>
        <v>100</v>
      </c>
      <c r="X34" s="712"/>
      <c r="Y34" s="3489"/>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89" t="s">
        <v>2145</v>
      </c>
      <c r="Q35" s="1487" t="str">
        <f t="shared" si="11"/>
        <v>市政基础设施</v>
      </c>
      <c r="R35" s="714" t="s">
        <v>17</v>
      </c>
      <c r="S35" s="715">
        <f t="shared" si="12"/>
        <v>100</v>
      </c>
      <c r="T35" s="714" t="s">
        <v>17</v>
      </c>
      <c r="U35" s="715">
        <f t="shared" si="13"/>
        <v>100</v>
      </c>
      <c r="V35" s="714" t="s">
        <v>17</v>
      </c>
      <c r="W35" s="715">
        <f t="shared" si="14"/>
        <v>100</v>
      </c>
      <c r="X35" s="1490"/>
      <c r="Y35" s="3489"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89"/>
      <c r="Q36" s="1487" t="str">
        <f t="shared" si="11"/>
        <v>内部装修</v>
      </c>
      <c r="R36" s="714" t="s">
        <v>17</v>
      </c>
      <c r="S36" s="715">
        <f t="shared" si="12"/>
        <v>100</v>
      </c>
      <c r="T36" s="714" t="s">
        <v>17</v>
      </c>
      <c r="U36" s="715">
        <f t="shared" si="13"/>
        <v>100</v>
      </c>
      <c r="V36" s="714" t="s">
        <v>17</v>
      </c>
      <c r="W36" s="715">
        <f t="shared" si="14"/>
        <v>100</v>
      </c>
      <c r="X36" s="1490"/>
      <c r="Y36" s="3489"/>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89"/>
      <c r="Q37" s="1487" t="str">
        <f t="shared" si="11"/>
        <v>内部装修状况</v>
      </c>
      <c r="R37" s="714" t="s">
        <v>17</v>
      </c>
      <c r="S37" s="715">
        <f t="shared" si="12"/>
        <v>100</v>
      </c>
      <c r="T37" s="714" t="s">
        <v>17</v>
      </c>
      <c r="U37" s="715">
        <f t="shared" si="13"/>
        <v>100</v>
      </c>
      <c r="V37" s="714" t="s">
        <v>17</v>
      </c>
      <c r="W37" s="715">
        <f t="shared" si="14"/>
        <v>100</v>
      </c>
      <c r="X37" s="1490"/>
      <c r="Y37" s="3489"/>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89"/>
      <c r="Q38" s="716">
        <f t="shared" si="11"/>
        <v>111</v>
      </c>
      <c r="R38" s="717" t="s">
        <v>17</v>
      </c>
      <c r="S38" s="718">
        <f t="shared" si="12"/>
        <v>100</v>
      </c>
      <c r="T38" s="717" t="s">
        <v>17</v>
      </c>
      <c r="U38" s="718">
        <f t="shared" si="13"/>
        <v>100</v>
      </c>
      <c r="V38" s="717" t="s">
        <v>17</v>
      </c>
      <c r="W38" s="718">
        <f t="shared" si="14"/>
        <v>100</v>
      </c>
      <c r="X38" s="719"/>
      <c r="Y38" s="3489"/>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89"/>
      <c r="Q39" s="1487">
        <f t="shared" si="11"/>
        <v>111</v>
      </c>
      <c r="R39" s="714" t="s">
        <v>17</v>
      </c>
      <c r="S39" s="715">
        <f t="shared" si="12"/>
        <v>100</v>
      </c>
      <c r="T39" s="714" t="s">
        <v>17</v>
      </c>
      <c r="U39" s="715">
        <f t="shared" si="13"/>
        <v>100</v>
      </c>
      <c r="V39" s="714" t="s">
        <v>17</v>
      </c>
      <c r="W39" s="715">
        <f t="shared" si="14"/>
        <v>100</v>
      </c>
      <c r="X39" s="1490"/>
      <c r="Y39" s="3489"/>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90"/>
      <c r="Q40" s="1487">
        <f t="shared" si="11"/>
        <v>111</v>
      </c>
      <c r="R40" s="714" t="s">
        <v>17</v>
      </c>
      <c r="S40" s="715">
        <f t="shared" si="12"/>
        <v>100</v>
      </c>
      <c r="T40" s="714" t="s">
        <v>17</v>
      </c>
      <c r="U40" s="715">
        <f t="shared" si="13"/>
        <v>100</v>
      </c>
      <c r="V40" s="714" t="s">
        <v>17</v>
      </c>
      <c r="W40" s="715">
        <f t="shared" si="14"/>
        <v>100</v>
      </c>
      <c r="X40" s="1490"/>
      <c r="Y40" s="3490"/>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82" t="str">
        <f>A41</f>
        <v>成交单价（元/平方米）</v>
      </c>
      <c r="Q41" s="3482"/>
      <c r="R41" s="3483">
        <f>E41</f>
        <v>0</v>
      </c>
      <c r="S41" s="3483"/>
      <c r="T41" s="3483">
        <f>G41</f>
        <v>0</v>
      </c>
      <c r="U41" s="3483"/>
      <c r="V41" s="3483">
        <f>I41</f>
        <v>0</v>
      </c>
      <c r="W41" s="3483"/>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82" t="str">
        <f>A42</f>
        <v>比较价值（元/平方米）</v>
      </c>
      <c r="Q42" s="3482"/>
      <c r="R42" s="3483" t="e">
        <f>IF(F1="售价",ROUND(PRODUCT(R41,AA7:AA40),0),ROUND(PRODUCT(R41,AA7:AA40),1))</f>
        <v>#DIV/0!</v>
      </c>
      <c r="S42" s="3483"/>
      <c r="T42" s="3483" t="e">
        <f>IF(F1="售价",ROUND(PRODUCT(T41,AB7:AB40),0),ROUND(PRODUCT(T41,AB7:AB40),1))</f>
        <v>#DIV/0!</v>
      </c>
      <c r="U42" s="3483"/>
      <c r="V42" s="3483" t="e">
        <f>IF(F1="售价",ROUND(PRODUCT(V41,AC7:AC40),0),ROUND(PRODUCT(V41,AC7:AC40),1))</f>
        <v>#DIV/0!</v>
      </c>
      <c r="W42" s="3483"/>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79" t="str">
        <f>A43</f>
        <v>估价对象XX用房的比较价值（楼面单价，元/平方米）</v>
      </c>
      <c r="Q43" s="3480"/>
      <c r="R43" s="3481" t="e">
        <f>IF(F1="售价",ROUND(IF(D42="简单平均",AVERAGE(R42:V42),R42*F42+T42*H42+V42*J42),0),ROUND(IF(D42="简单平均",AVERAGE(R42:V42),R42*F42+T42*H42+V42*J42),1))</f>
        <v>#DIV/0!</v>
      </c>
      <c r="S43" s="3481"/>
      <c r="T43" s="3481"/>
      <c r="U43" s="3481"/>
      <c r="V43" s="3481"/>
      <c r="W43" s="3481"/>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2022-8</v>
      </c>
      <c r="D52" s="1300">
        <f>EDATE(C52,-1)</f>
        <v>44743</v>
      </c>
      <c r="E52" s="1300">
        <f t="shared" ref="E52:O52" si="16">EDATE(D52,-1)</f>
        <v>44713</v>
      </c>
      <c r="F52" s="1300">
        <f t="shared" si="16"/>
        <v>44682</v>
      </c>
      <c r="G52" s="1300">
        <f t="shared" si="16"/>
        <v>44652</v>
      </c>
      <c r="H52" s="1300">
        <f t="shared" si="16"/>
        <v>44621</v>
      </c>
      <c r="I52" s="1300">
        <f t="shared" si="16"/>
        <v>44593</v>
      </c>
      <c r="J52" s="1300">
        <f t="shared" si="16"/>
        <v>44562</v>
      </c>
      <c r="K52" s="1300">
        <f t="shared" si="16"/>
        <v>44531</v>
      </c>
      <c r="L52" s="1300">
        <f t="shared" si="16"/>
        <v>44501</v>
      </c>
      <c r="M52" s="1300">
        <f t="shared" si="16"/>
        <v>44470</v>
      </c>
      <c r="N52" s="1300">
        <f t="shared" si="16"/>
        <v>44440</v>
      </c>
      <c r="O52" s="1300">
        <f t="shared" si="16"/>
        <v>44409</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2893"/>
      <c r="M4" s="2894"/>
      <c r="N4" s="2894"/>
      <c r="O4" s="2894"/>
      <c r="P4" s="3501" t="s">
        <v>2231</v>
      </c>
      <c r="Q4" s="3502"/>
      <c r="R4" s="3507" t="s">
        <v>2227</v>
      </c>
      <c r="S4" s="3508"/>
      <c r="T4" s="3507" t="s">
        <v>2228</v>
      </c>
      <c r="U4" s="3508"/>
      <c r="V4" s="3513" t="s">
        <v>2229</v>
      </c>
      <c r="W4" s="3513"/>
      <c r="X4" s="1490"/>
      <c r="Y4" s="3507" t="s">
        <v>2231</v>
      </c>
      <c r="Z4" s="3508"/>
      <c r="AA4" s="3494" t="s">
        <v>2227</v>
      </c>
      <c r="AB4" s="3495" t="s">
        <v>2228</v>
      </c>
      <c r="AC4" s="3494" t="s">
        <v>2229</v>
      </c>
    </row>
    <row r="5" spans="1:29" ht="15">
      <c r="A5" s="364"/>
      <c r="B5" s="365"/>
      <c r="C5" s="3516" t="s">
        <v>2122</v>
      </c>
      <c r="D5" s="3517"/>
      <c r="E5" s="3523" t="s">
        <v>2123</v>
      </c>
      <c r="F5" s="3524"/>
      <c r="G5" s="3516" t="s">
        <v>2124</v>
      </c>
      <c r="H5" s="3517"/>
      <c r="I5" s="3516" t="s">
        <v>2125</v>
      </c>
      <c r="J5" s="3517"/>
      <c r="K5" s="567"/>
      <c r="L5" s="2893"/>
      <c r="M5" s="2894"/>
      <c r="N5" s="2894"/>
      <c r="O5" s="2894"/>
      <c r="P5" s="3503"/>
      <c r="Q5" s="3504"/>
      <c r="R5" s="3509"/>
      <c r="S5" s="3510"/>
      <c r="T5" s="3509"/>
      <c r="U5" s="3510"/>
      <c r="V5" s="3513"/>
      <c r="W5" s="3513"/>
      <c r="X5" s="1490"/>
      <c r="Y5" s="3509"/>
      <c r="Z5" s="3510"/>
      <c r="AA5" s="3495"/>
      <c r="AB5" s="3495"/>
      <c r="AC5" s="3495"/>
    </row>
    <row r="6" spans="1:29" ht="15.75" thickBot="1">
      <c r="A6" s="366"/>
      <c r="B6" s="367"/>
      <c r="C6" s="3514" t="s">
        <v>2126</v>
      </c>
      <c r="D6" s="3515"/>
      <c r="E6" s="3521" t="s">
        <v>2126</v>
      </c>
      <c r="F6" s="3522"/>
      <c r="G6" s="3514" t="s">
        <v>2126</v>
      </c>
      <c r="H6" s="3515"/>
      <c r="I6" s="3514" t="s">
        <v>2126</v>
      </c>
      <c r="J6" s="3515"/>
      <c r="K6" s="567" t="s">
        <v>2127</v>
      </c>
      <c r="L6" s="2893"/>
      <c r="M6" s="2894"/>
      <c r="N6" s="2894"/>
      <c r="O6" s="2894"/>
      <c r="P6" s="3505"/>
      <c r="Q6" s="3506"/>
      <c r="R6" s="3509"/>
      <c r="S6" s="3510"/>
      <c r="T6" s="3511"/>
      <c r="U6" s="3512"/>
      <c r="V6" s="3513"/>
      <c r="W6" s="3513"/>
      <c r="X6" s="1490"/>
      <c r="Y6" s="3511"/>
      <c r="Z6" s="3512"/>
      <c r="AA6" s="3496"/>
      <c r="AB6" s="3496"/>
      <c r="AC6" s="3496"/>
    </row>
    <row r="7" spans="1:29" s="113" customFormat="1" ht="15.75" thickBot="1">
      <c r="A7" s="368" t="s">
        <v>2128</v>
      </c>
      <c r="B7" s="369"/>
      <c r="C7" s="370">
        <f>'数据-取费表'!B2</f>
        <v>44799</v>
      </c>
      <c r="D7" s="371">
        <v>100</v>
      </c>
      <c r="E7" s="372"/>
      <c r="F7" s="373">
        <f>SUMIF(48:48,YEAR(E7)&amp;"-"&amp;MONTH(E7),49:49)</f>
        <v>0</v>
      </c>
      <c r="G7" s="372"/>
      <c r="H7" s="371">
        <f>SUMIF(48:48,YEAR(G7)&amp;"-"&amp;MONTH(G7),49:49)</f>
        <v>0</v>
      </c>
      <c r="I7" s="372"/>
      <c r="J7" s="371">
        <f>SUMIF(48:48,YEAR(I7)&amp;"-"&amp;MONTH(I7),49:49)</f>
        <v>0</v>
      </c>
      <c r="K7" s="568"/>
      <c r="L7" s="2895"/>
      <c r="M7" s="2896"/>
      <c r="N7" s="2896"/>
      <c r="O7" s="2896"/>
      <c r="P7" s="3518" t="s">
        <v>2129</v>
      </c>
      <c r="Q7" s="3520"/>
      <c r="R7" s="710" t="s">
        <v>17</v>
      </c>
      <c r="S7" s="711">
        <f t="shared" ref="S7:S14" si="0">F7</f>
        <v>0</v>
      </c>
      <c r="T7" s="710" t="s">
        <v>17</v>
      </c>
      <c r="U7" s="711">
        <f t="shared" ref="U7:U14" si="1">H7</f>
        <v>0</v>
      </c>
      <c r="V7" s="710" t="s">
        <v>17</v>
      </c>
      <c r="W7" s="711">
        <f t="shared" ref="W7:W14" si="2">J7</f>
        <v>0</v>
      </c>
      <c r="X7" s="712"/>
      <c r="Y7" s="3518" t="s">
        <v>2129</v>
      </c>
      <c r="Z7" s="3519"/>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518" t="s">
        <v>2132</v>
      </c>
      <c r="Q8" s="3519"/>
      <c r="R8" s="710" t="s">
        <v>17</v>
      </c>
      <c r="S8" s="711">
        <f t="shared" si="0"/>
        <v>0</v>
      </c>
      <c r="T8" s="710" t="s">
        <v>17</v>
      </c>
      <c r="U8" s="711">
        <f t="shared" si="1"/>
        <v>0</v>
      </c>
      <c r="V8" s="710" t="s">
        <v>17</v>
      </c>
      <c r="W8" s="711">
        <f t="shared" si="2"/>
        <v>0</v>
      </c>
      <c r="X8" s="712"/>
      <c r="Y8" s="3518" t="s">
        <v>2132</v>
      </c>
      <c r="Z8" s="3519"/>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82" t="s">
        <v>2135</v>
      </c>
      <c r="Q9" s="1478" t="str">
        <f t="shared" ref="Q9:Q14" si="6">B9</f>
        <v>用途</v>
      </c>
      <c r="R9" s="710" t="s">
        <v>17</v>
      </c>
      <c r="S9" s="711">
        <f t="shared" si="0"/>
        <v>100</v>
      </c>
      <c r="T9" s="710" t="s">
        <v>17</v>
      </c>
      <c r="U9" s="711">
        <f t="shared" si="1"/>
        <v>100</v>
      </c>
      <c r="V9" s="710" t="s">
        <v>17</v>
      </c>
      <c r="W9" s="711">
        <f t="shared" si="2"/>
        <v>100</v>
      </c>
      <c r="X9" s="712"/>
      <c r="Y9" s="3354"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82"/>
      <c r="Q10" s="1478"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82"/>
      <c r="Q11" s="1478">
        <f t="shared" si="6"/>
        <v>111</v>
      </c>
      <c r="R11" s="710" t="s">
        <v>17</v>
      </c>
      <c r="S11" s="711">
        <f t="shared" si="0"/>
        <v>100</v>
      </c>
      <c r="T11" s="710" t="s">
        <v>17</v>
      </c>
      <c r="U11" s="711">
        <f t="shared" si="1"/>
        <v>100</v>
      </c>
      <c r="V11" s="710" t="s">
        <v>17</v>
      </c>
      <c r="W11" s="711">
        <f t="shared" si="2"/>
        <v>100</v>
      </c>
      <c r="X11" s="712"/>
      <c r="Y11" s="335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82"/>
      <c r="Q12" s="1478">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82"/>
      <c r="Q13" s="1478">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84" t="s">
        <v>2140</v>
      </c>
      <c r="Q14" s="1487" t="str">
        <f t="shared" si="6"/>
        <v>交通便捷度</v>
      </c>
      <c r="R14" s="714" t="s">
        <v>17</v>
      </c>
      <c r="S14" s="715">
        <f t="shared" si="0"/>
        <v>100</v>
      </c>
      <c r="T14" s="714" t="s">
        <v>17</v>
      </c>
      <c r="U14" s="715">
        <f t="shared" si="1"/>
        <v>100</v>
      </c>
      <c r="V14" s="714" t="s">
        <v>17</v>
      </c>
      <c r="W14" s="715">
        <f t="shared" si="2"/>
        <v>100</v>
      </c>
      <c r="X14" s="1490"/>
      <c r="Y14" s="3484"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0"/>
      <c r="M15" s="2894"/>
      <c r="N15" s="2894"/>
      <c r="O15" s="2894"/>
      <c r="P15" s="3485"/>
      <c r="Q15" s="1487"/>
      <c r="R15" s="714"/>
      <c r="S15" s="715"/>
      <c r="T15" s="714"/>
      <c r="U15" s="715"/>
      <c r="V15" s="714"/>
      <c r="W15" s="715"/>
      <c r="X15" s="1490"/>
      <c r="Y15" s="3485"/>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85"/>
      <c r="Q16" s="1487" t="str">
        <f>B16</f>
        <v>公共配套设施</v>
      </c>
      <c r="R16" s="714" t="s">
        <v>17</v>
      </c>
      <c r="S16" s="715">
        <f>F16</f>
        <v>100</v>
      </c>
      <c r="T16" s="714" t="s">
        <v>17</v>
      </c>
      <c r="U16" s="715">
        <f>H16</f>
        <v>100</v>
      </c>
      <c r="V16" s="714" t="s">
        <v>17</v>
      </c>
      <c r="W16" s="715">
        <f>J16</f>
        <v>100</v>
      </c>
      <c r="X16" s="1490"/>
      <c r="Y16" s="3485"/>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0"/>
      <c r="M17" s="2894"/>
      <c r="N17" s="2894"/>
      <c r="O17" s="2894"/>
      <c r="P17" s="3485"/>
      <c r="Q17" s="1487"/>
      <c r="R17" s="714"/>
      <c r="S17" s="715"/>
      <c r="T17" s="714"/>
      <c r="U17" s="715"/>
      <c r="V17" s="714"/>
      <c r="W17" s="715"/>
      <c r="X17" s="1490"/>
      <c r="Y17" s="3485"/>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85"/>
      <c r="Q18" s="1487" t="str">
        <f>B18</f>
        <v>基础设施水平</v>
      </c>
      <c r="R18" s="714" t="s">
        <v>17</v>
      </c>
      <c r="S18" s="715">
        <f>F18</f>
        <v>100</v>
      </c>
      <c r="T18" s="714" t="s">
        <v>17</v>
      </c>
      <c r="U18" s="715">
        <f>H18</f>
        <v>100</v>
      </c>
      <c r="V18" s="714" t="s">
        <v>17</v>
      </c>
      <c r="W18" s="715">
        <f>J18</f>
        <v>100</v>
      </c>
      <c r="X18" s="1490"/>
      <c r="Y18" s="3485"/>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0"/>
      <c r="M19" s="2894"/>
      <c r="N19" s="2894"/>
      <c r="O19" s="2894"/>
      <c r="P19" s="3485"/>
      <c r="Q19" s="1487"/>
      <c r="R19" s="714"/>
      <c r="S19" s="715"/>
      <c r="T19" s="714"/>
      <c r="U19" s="715"/>
      <c r="V19" s="714"/>
      <c r="W19" s="715"/>
      <c r="X19" s="1490"/>
      <c r="Y19" s="3485"/>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85"/>
      <c r="Q20" s="1487" t="str">
        <f>B20</f>
        <v>自然及人文环境</v>
      </c>
      <c r="R20" s="714" t="s">
        <v>17</v>
      </c>
      <c r="S20" s="715">
        <f>F20</f>
        <v>100</v>
      </c>
      <c r="T20" s="714" t="s">
        <v>17</v>
      </c>
      <c r="U20" s="715">
        <f>H20</f>
        <v>100</v>
      </c>
      <c r="V20" s="714" t="s">
        <v>17</v>
      </c>
      <c r="W20" s="715">
        <f>J20</f>
        <v>100</v>
      </c>
      <c r="X20" s="1490"/>
      <c r="Y20" s="3485"/>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0"/>
      <c r="M21" s="2894"/>
      <c r="N21" s="2894"/>
      <c r="O21" s="2894"/>
      <c r="P21" s="3485"/>
      <c r="Q21" s="1487"/>
      <c r="R21" s="714"/>
      <c r="S21" s="715"/>
      <c r="T21" s="714"/>
      <c r="U21" s="715"/>
      <c r="V21" s="714"/>
      <c r="W21" s="715"/>
      <c r="X21" s="1490"/>
      <c r="Y21" s="3485"/>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85"/>
      <c r="Q22" s="1487" t="str">
        <f>B22</f>
        <v>楼层</v>
      </c>
      <c r="R22" s="714" t="s">
        <v>17</v>
      </c>
      <c r="S22" s="715">
        <f>F22</f>
        <v>100</v>
      </c>
      <c r="T22" s="714" t="s">
        <v>17</v>
      </c>
      <c r="U22" s="715">
        <f>H22</f>
        <v>100</v>
      </c>
      <c r="V22" s="714" t="s">
        <v>17</v>
      </c>
      <c r="W22" s="715">
        <f>J22</f>
        <v>100</v>
      </c>
      <c r="X22" s="1490"/>
      <c r="Y22" s="3485"/>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85"/>
      <c r="Q23" s="1487">
        <f>B23</f>
        <v>111</v>
      </c>
      <c r="R23" s="714" t="s">
        <v>17</v>
      </c>
      <c r="S23" s="715">
        <f>F23</f>
        <v>100</v>
      </c>
      <c r="T23" s="714" t="s">
        <v>17</v>
      </c>
      <c r="U23" s="715">
        <f>H23</f>
        <v>100</v>
      </c>
      <c r="V23" s="714" t="s">
        <v>17</v>
      </c>
      <c r="W23" s="715">
        <f>J23</f>
        <v>100</v>
      </c>
      <c r="X23" s="1490"/>
      <c r="Y23" s="3485"/>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85"/>
      <c r="Q24" s="1487">
        <f t="shared" ref="Q24:Q36" si="11">B24</f>
        <v>111</v>
      </c>
      <c r="R24" s="714" t="s">
        <v>17</v>
      </c>
      <c r="S24" s="715">
        <f>F24</f>
        <v>100</v>
      </c>
      <c r="T24" s="714" t="s">
        <v>17</v>
      </c>
      <c r="U24" s="715">
        <f>H24</f>
        <v>100</v>
      </c>
      <c r="V24" s="714" t="s">
        <v>17</v>
      </c>
      <c r="W24" s="715">
        <f>J24</f>
        <v>100</v>
      </c>
      <c r="X24" s="1490"/>
      <c r="Y24" s="3485"/>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85"/>
      <c r="Q25" s="1478">
        <f t="shared" si="11"/>
        <v>111</v>
      </c>
      <c r="R25" s="710" t="s">
        <v>17</v>
      </c>
      <c r="S25" s="711">
        <f>F25</f>
        <v>100</v>
      </c>
      <c r="T25" s="710" t="s">
        <v>17</v>
      </c>
      <c r="U25" s="711">
        <f>H25</f>
        <v>100</v>
      </c>
      <c r="V25" s="710" t="s">
        <v>17</v>
      </c>
      <c r="W25" s="711">
        <f>J25</f>
        <v>100</v>
      </c>
      <c r="X25" s="712"/>
      <c r="Y25" s="3485"/>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40"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89"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89"/>
      <c r="Q27" s="716" t="str">
        <f t="shared" si="11"/>
        <v>项目停车位配比</v>
      </c>
      <c r="R27" s="717" t="s">
        <v>17</v>
      </c>
      <c r="S27" s="718">
        <f t="shared" si="12"/>
        <v>100</v>
      </c>
      <c r="T27" s="717" t="s">
        <v>17</v>
      </c>
      <c r="U27" s="718">
        <f t="shared" si="13"/>
        <v>100</v>
      </c>
      <c r="V27" s="717" t="s">
        <v>17</v>
      </c>
      <c r="W27" s="718">
        <f t="shared" si="14"/>
        <v>100</v>
      </c>
      <c r="X27" s="719"/>
      <c r="Y27" s="3489"/>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89"/>
      <c r="Q28" s="1487" t="str">
        <f t="shared" si="11"/>
        <v>公共部分装修</v>
      </c>
      <c r="R28" s="714" t="s">
        <v>17</v>
      </c>
      <c r="S28" s="715">
        <f t="shared" si="12"/>
        <v>100</v>
      </c>
      <c r="T28" s="714" t="s">
        <v>17</v>
      </c>
      <c r="U28" s="715">
        <f t="shared" si="13"/>
        <v>100</v>
      </c>
      <c r="V28" s="714" t="s">
        <v>17</v>
      </c>
      <c r="W28" s="715">
        <f t="shared" si="14"/>
        <v>100</v>
      </c>
      <c r="X28" s="1490"/>
      <c r="Y28" s="3489"/>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89"/>
      <c r="Q29" s="1487" t="str">
        <f t="shared" si="11"/>
        <v>成新率</v>
      </c>
      <c r="R29" s="714" t="s">
        <v>17</v>
      </c>
      <c r="S29" s="715" t="e">
        <f t="shared" si="12"/>
        <v>#N/A</v>
      </c>
      <c r="T29" s="714" t="s">
        <v>17</v>
      </c>
      <c r="U29" s="715" t="e">
        <f t="shared" si="13"/>
        <v>#N/A</v>
      </c>
      <c r="V29" s="714" t="s">
        <v>17</v>
      </c>
      <c r="W29" s="715" t="e">
        <f t="shared" si="14"/>
        <v>#N/A</v>
      </c>
      <c r="X29" s="1490"/>
      <c r="Y29" s="3489"/>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89"/>
      <c r="Q30" s="1487" t="str">
        <f t="shared" si="11"/>
        <v>物业等级</v>
      </c>
      <c r="R30" s="714" t="s">
        <v>17</v>
      </c>
      <c r="S30" s="715">
        <f t="shared" si="12"/>
        <v>100</v>
      </c>
      <c r="T30" s="714" t="s">
        <v>17</v>
      </c>
      <c r="U30" s="715">
        <f t="shared" si="13"/>
        <v>100</v>
      </c>
      <c r="V30" s="714" t="s">
        <v>17</v>
      </c>
      <c r="W30" s="715">
        <f t="shared" si="14"/>
        <v>100</v>
      </c>
      <c r="X30" s="1490"/>
      <c r="Y30" s="3489"/>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89"/>
      <c r="Q31" s="1478" t="str">
        <f t="shared" si="11"/>
        <v>停车位面积</v>
      </c>
      <c r="R31" s="710" t="s">
        <v>17</v>
      </c>
      <c r="S31" s="711" t="e">
        <f t="shared" si="12"/>
        <v>#N/A</v>
      </c>
      <c r="T31" s="710" t="s">
        <v>17</v>
      </c>
      <c r="U31" s="711" t="e">
        <f t="shared" si="13"/>
        <v>#N/A</v>
      </c>
      <c r="V31" s="710" t="s">
        <v>17</v>
      </c>
      <c r="W31" s="711" t="e">
        <f t="shared" si="14"/>
        <v>#N/A</v>
      </c>
      <c r="X31" s="712"/>
      <c r="Y31" s="3489"/>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89" t="s">
        <v>2145</v>
      </c>
      <c r="Q32" s="1487" t="str">
        <f t="shared" si="11"/>
        <v>车位类型</v>
      </c>
      <c r="R32" s="714" t="s">
        <v>17</v>
      </c>
      <c r="S32" s="715">
        <f t="shared" si="12"/>
        <v>100</v>
      </c>
      <c r="T32" s="714" t="s">
        <v>17</v>
      </c>
      <c r="U32" s="715">
        <f t="shared" si="13"/>
        <v>100</v>
      </c>
      <c r="V32" s="714" t="s">
        <v>17</v>
      </c>
      <c r="W32" s="715">
        <f t="shared" si="14"/>
        <v>100</v>
      </c>
      <c r="X32" s="1490"/>
      <c r="Y32" s="3489"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89"/>
      <c r="Q33" s="1487" t="str">
        <f t="shared" si="11"/>
        <v>是否直接入户</v>
      </c>
      <c r="R33" s="714" t="s">
        <v>17</v>
      </c>
      <c r="S33" s="715">
        <f t="shared" si="12"/>
        <v>100</v>
      </c>
      <c r="T33" s="714" t="s">
        <v>17</v>
      </c>
      <c r="U33" s="715">
        <f t="shared" si="13"/>
        <v>100</v>
      </c>
      <c r="V33" s="714" t="s">
        <v>17</v>
      </c>
      <c r="W33" s="715">
        <f t="shared" si="14"/>
        <v>100</v>
      </c>
      <c r="X33" s="1490"/>
      <c r="Y33" s="3489"/>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89"/>
      <c r="Q34" s="1487">
        <f t="shared" si="11"/>
        <v>111</v>
      </c>
      <c r="R34" s="714" t="s">
        <v>17</v>
      </c>
      <c r="S34" s="715">
        <f t="shared" si="12"/>
        <v>100</v>
      </c>
      <c r="T34" s="714" t="s">
        <v>17</v>
      </c>
      <c r="U34" s="715">
        <f t="shared" si="13"/>
        <v>100</v>
      </c>
      <c r="V34" s="714" t="s">
        <v>17</v>
      </c>
      <c r="W34" s="715">
        <f t="shared" si="14"/>
        <v>100</v>
      </c>
      <c r="X34" s="1490"/>
      <c r="Y34" s="3489"/>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89"/>
      <c r="Q35" s="716">
        <f t="shared" si="11"/>
        <v>111</v>
      </c>
      <c r="R35" s="717" t="s">
        <v>17</v>
      </c>
      <c r="S35" s="718">
        <f t="shared" si="12"/>
        <v>100</v>
      </c>
      <c r="T35" s="717" t="s">
        <v>17</v>
      </c>
      <c r="U35" s="718">
        <f t="shared" si="13"/>
        <v>100</v>
      </c>
      <c r="V35" s="717" t="s">
        <v>17</v>
      </c>
      <c r="W35" s="718">
        <f t="shared" si="14"/>
        <v>100</v>
      </c>
      <c r="X35" s="719"/>
      <c r="Y35" s="3489"/>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89"/>
      <c r="Q36" s="1487">
        <f t="shared" si="11"/>
        <v>111</v>
      </c>
      <c r="R36" s="714" t="s">
        <v>17</v>
      </c>
      <c r="S36" s="715">
        <f t="shared" si="12"/>
        <v>100</v>
      </c>
      <c r="T36" s="714" t="s">
        <v>17</v>
      </c>
      <c r="U36" s="715">
        <f t="shared" si="13"/>
        <v>100</v>
      </c>
      <c r="V36" s="714" t="s">
        <v>17</v>
      </c>
      <c r="W36" s="715">
        <f t="shared" si="14"/>
        <v>100</v>
      </c>
      <c r="X36" s="1490"/>
      <c r="Y36" s="3489"/>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2"/>
      <c r="M37" s="2903"/>
      <c r="N37" s="2894"/>
      <c r="O37" s="2903"/>
      <c r="P37" s="3482" t="str">
        <f>A37</f>
        <v>成交单价</v>
      </c>
      <c r="Q37" s="3482"/>
      <c r="R37" s="3483">
        <f>E37</f>
        <v>0</v>
      </c>
      <c r="S37" s="3483"/>
      <c r="T37" s="3483">
        <f>G37</f>
        <v>0</v>
      </c>
      <c r="U37" s="3483"/>
      <c r="V37" s="3483">
        <f>I37</f>
        <v>0</v>
      </c>
      <c r="W37" s="3483"/>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2"/>
      <c r="M38" s="2903"/>
      <c r="N38" s="2903"/>
      <c r="O38" s="2903"/>
      <c r="P38" s="3482" t="str">
        <f>A38</f>
        <v>比较价值（元/平方米）</v>
      </c>
      <c r="Q38" s="3482"/>
      <c r="R38" s="3483" t="e">
        <f>IF(F1="售价",ROUND(PRODUCT(R37,AA7:AA36),0),ROUND(PRODUCT(R37,AA7:AA36),1))</f>
        <v>#DIV/0!</v>
      </c>
      <c r="S38" s="3483"/>
      <c r="T38" s="3483" t="e">
        <f>IF(F1="售价",ROUND(PRODUCT(T37,AB7:AB36),0),ROUND(PRODUCT(T37,AB7:AB36),1))</f>
        <v>#DIV/0!</v>
      </c>
      <c r="U38" s="3483"/>
      <c r="V38" s="3483" t="e">
        <f>IF(F1="售价",ROUND(PRODUCT(V37,AC7:AC36),0),ROUND(PRODUCT(V37,AC7:AC36),1))</f>
        <v>#DIV/0!</v>
      </c>
      <c r="W38" s="3483"/>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479" t="str">
        <f>A39</f>
        <v>估价对象XX用房的比较价值（楼面单价，元/平方米）</v>
      </c>
      <c r="Q39" s="3480"/>
      <c r="R39" s="3541" t="e">
        <f>IF(F1="售价",ROUND(IF(D38="简单平均",AVERAGE(R38:W38),R38*F38+T38*H38+V38*J38),0),ROUND(IF(D38="简单平均",AVERAGE(R38:V38),R38*F38+T38*H38+V38*J38),1))</f>
        <v>#DIV/0!</v>
      </c>
      <c r="S39" s="3541"/>
      <c r="T39" s="3541"/>
      <c r="U39" s="3541"/>
      <c r="V39" s="3541"/>
      <c r="W39" s="3541"/>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9" t="str">
        <f>YEAR(C7)&amp;"-"&amp;MONTH(C7)</f>
        <v>2022-8</v>
      </c>
      <c r="D48" s="1300">
        <f>EDATE(C48,-1)</f>
        <v>44743</v>
      </c>
      <c r="E48" s="1300">
        <f t="shared" ref="E48:O48" si="16">EDATE(D48,-1)</f>
        <v>44713</v>
      </c>
      <c r="F48" s="1300">
        <f t="shared" si="16"/>
        <v>44682</v>
      </c>
      <c r="G48" s="1300">
        <f t="shared" si="16"/>
        <v>44652</v>
      </c>
      <c r="H48" s="1300">
        <f t="shared" si="16"/>
        <v>44621</v>
      </c>
      <c r="I48" s="1300">
        <f t="shared" si="16"/>
        <v>44593</v>
      </c>
      <c r="J48" s="1300">
        <f t="shared" si="16"/>
        <v>44562</v>
      </c>
      <c r="K48" s="1300">
        <f t="shared" si="16"/>
        <v>44531</v>
      </c>
      <c r="L48" s="1300">
        <f t="shared" si="16"/>
        <v>44501</v>
      </c>
      <c r="M48" s="1300">
        <f t="shared" si="16"/>
        <v>44470</v>
      </c>
      <c r="N48" s="1300">
        <f t="shared" si="16"/>
        <v>44440</v>
      </c>
      <c r="O48" s="1300">
        <f t="shared" si="16"/>
        <v>44409</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7"/>
      <c r="R49" s="2837"/>
      <c r="S49" s="2837"/>
      <c r="T49" s="2837"/>
      <c r="U49" s="2837"/>
      <c r="V49" s="2837"/>
      <c r="W49" s="2837"/>
      <c r="X49" s="2837"/>
      <c r="Y49" s="2837"/>
      <c r="Z49" s="2837"/>
      <c r="AA49" s="2837"/>
      <c r="AB49" s="2837"/>
      <c r="AC49" s="2837"/>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7"/>
      <c r="S50" s="2837"/>
      <c r="T50" s="2837"/>
      <c r="U50" s="2837"/>
      <c r="V50" s="2837"/>
      <c r="W50" s="2837"/>
      <c r="X50" s="2837"/>
      <c r="Y50" s="2837"/>
      <c r="Z50" s="2837"/>
      <c r="AA50" s="2837"/>
      <c r="AB50" s="2837"/>
      <c r="AC50" s="2837"/>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7"/>
      <c r="S51" s="2837"/>
      <c r="T51" s="2837"/>
      <c r="U51" s="2837"/>
      <c r="V51" s="2837"/>
      <c r="W51" s="2837"/>
      <c r="X51" s="2837"/>
      <c r="Y51" s="2837"/>
      <c r="Z51" s="2837"/>
      <c r="AA51" s="2837"/>
      <c r="AB51" s="2837"/>
      <c r="AC51" s="2837"/>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7"/>
      <c r="S52" s="2837"/>
      <c r="T52" s="2837"/>
      <c r="U52" s="2837"/>
      <c r="V52" s="2837"/>
      <c r="W52" s="2837"/>
      <c r="X52" s="2837"/>
      <c r="Y52" s="2837"/>
      <c r="Z52" s="2837"/>
      <c r="AA52" s="2837"/>
      <c r="AB52" s="2837"/>
      <c r="AC52" s="2837"/>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7"/>
      <c r="S73" s="2837"/>
      <c r="T73" s="2837"/>
      <c r="U73" s="2837"/>
      <c r="V73" s="2837"/>
      <c r="W73" s="2837"/>
      <c r="X73" s="2837"/>
      <c r="Y73" s="2837"/>
      <c r="Z73" s="2837"/>
      <c r="AA73" s="2837"/>
      <c r="AB73" s="2837"/>
      <c r="AC73" s="2837"/>
    </row>
    <row r="74" spans="1:29" s="113" customFormat="1" ht="15.75" thickBot="1">
      <c r="A74" s="536"/>
      <c r="B74" s="500"/>
      <c r="C74" s="517"/>
      <c r="D74" s="493"/>
      <c r="E74" s="493"/>
      <c r="F74" s="493"/>
      <c r="G74" s="493"/>
      <c r="H74" s="493"/>
      <c r="I74" s="493"/>
      <c r="J74" s="493"/>
      <c r="K74" s="493"/>
      <c r="L74" s="493"/>
      <c r="M74" s="494"/>
      <c r="N74" s="2932"/>
      <c r="O74" s="2932"/>
      <c r="P74" s="2940"/>
      <c r="Q74" s="2917"/>
      <c r="R74" s="2837"/>
      <c r="S74" s="2837"/>
      <c r="T74" s="2837"/>
      <c r="U74" s="2837"/>
      <c r="V74" s="2837"/>
      <c r="W74" s="2837"/>
      <c r="X74" s="2837"/>
      <c r="Y74" s="2837"/>
      <c r="Z74" s="2837"/>
      <c r="AA74" s="2837"/>
      <c r="AB74" s="2837"/>
      <c r="AC74" s="2837"/>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7"/>
      <c r="S75" s="2837"/>
      <c r="T75" s="2837"/>
      <c r="U75" s="2837"/>
      <c r="V75" s="2837"/>
      <c r="W75" s="2837"/>
      <c r="X75" s="2837"/>
      <c r="Y75" s="2837"/>
      <c r="Z75" s="2837"/>
      <c r="AA75" s="2837"/>
      <c r="AB75" s="2837"/>
      <c r="AC75" s="2837"/>
    </row>
    <row r="76" spans="1:29" s="113" customFormat="1" ht="15.75" thickBot="1">
      <c r="A76" s="536"/>
      <c r="B76" s="500"/>
      <c r="C76" s="517"/>
      <c r="D76" s="493"/>
      <c r="E76" s="493"/>
      <c r="F76" s="493"/>
      <c r="G76" s="493"/>
      <c r="H76" s="493"/>
      <c r="I76" s="493"/>
      <c r="J76" s="493"/>
      <c r="K76" s="493"/>
      <c r="L76" s="493"/>
      <c r="M76" s="494"/>
      <c r="N76" s="2932"/>
      <c r="O76" s="2932"/>
      <c r="P76" s="2940"/>
      <c r="Q76" s="2917"/>
      <c r="R76" s="2837"/>
      <c r="S76" s="2837"/>
      <c r="T76" s="2837"/>
      <c r="U76" s="2837"/>
      <c r="V76" s="2837"/>
      <c r="W76" s="2837"/>
      <c r="X76" s="2837"/>
      <c r="Y76" s="2837"/>
      <c r="Z76" s="2837"/>
      <c r="AA76" s="2837"/>
      <c r="AB76" s="2837"/>
      <c r="AC76" s="2837"/>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2893"/>
      <c r="M4" s="2894"/>
      <c r="N4" s="2894"/>
      <c r="O4" s="2894"/>
      <c r="P4" s="3501" t="s">
        <v>2231</v>
      </c>
      <c r="Q4" s="3502"/>
      <c r="R4" s="3507" t="s">
        <v>2227</v>
      </c>
      <c r="S4" s="3508"/>
      <c r="T4" s="3507" t="s">
        <v>2228</v>
      </c>
      <c r="U4" s="3508"/>
      <c r="V4" s="3513" t="s">
        <v>2229</v>
      </c>
      <c r="W4" s="3513"/>
      <c r="X4" s="1490"/>
      <c r="Y4" s="3507" t="s">
        <v>2231</v>
      </c>
      <c r="Z4" s="3508"/>
      <c r="AA4" s="3494" t="s">
        <v>2227</v>
      </c>
      <c r="AB4" s="3495" t="s">
        <v>2228</v>
      </c>
      <c r="AC4" s="3494" t="s">
        <v>2229</v>
      </c>
    </row>
    <row r="5" spans="1:29" ht="15">
      <c r="A5" s="364"/>
      <c r="B5" s="365"/>
      <c r="C5" s="3516" t="s">
        <v>2122</v>
      </c>
      <c r="D5" s="3517"/>
      <c r="E5" s="3523" t="s">
        <v>2123</v>
      </c>
      <c r="F5" s="3524"/>
      <c r="G5" s="3516" t="s">
        <v>2124</v>
      </c>
      <c r="H5" s="3517"/>
      <c r="I5" s="3516" t="s">
        <v>2125</v>
      </c>
      <c r="J5" s="3517"/>
      <c r="K5" s="567"/>
      <c r="L5" s="2893"/>
      <c r="M5" s="2894"/>
      <c r="N5" s="2894"/>
      <c r="O5" s="2894"/>
      <c r="P5" s="3503"/>
      <c r="Q5" s="3504"/>
      <c r="R5" s="3509"/>
      <c r="S5" s="3510"/>
      <c r="T5" s="3509"/>
      <c r="U5" s="3510"/>
      <c r="V5" s="3513"/>
      <c r="W5" s="3513"/>
      <c r="X5" s="1490"/>
      <c r="Y5" s="3509"/>
      <c r="Z5" s="3510"/>
      <c r="AA5" s="3495"/>
      <c r="AB5" s="3495"/>
      <c r="AC5" s="3495"/>
    </row>
    <row r="6" spans="1:29" ht="15.75" thickBot="1">
      <c r="A6" s="366"/>
      <c r="B6" s="367"/>
      <c r="C6" s="3514" t="s">
        <v>2126</v>
      </c>
      <c r="D6" s="3515"/>
      <c r="E6" s="3521" t="s">
        <v>2126</v>
      </c>
      <c r="F6" s="3522"/>
      <c r="G6" s="3514" t="s">
        <v>2126</v>
      </c>
      <c r="H6" s="3515"/>
      <c r="I6" s="3514" t="s">
        <v>2126</v>
      </c>
      <c r="J6" s="3515"/>
      <c r="K6" s="567" t="s">
        <v>2127</v>
      </c>
      <c r="L6" s="2893"/>
      <c r="M6" s="2894"/>
      <c r="N6" s="2894"/>
      <c r="O6" s="2894"/>
      <c r="P6" s="3505"/>
      <c r="Q6" s="3506"/>
      <c r="R6" s="3509"/>
      <c r="S6" s="3510"/>
      <c r="T6" s="3511"/>
      <c r="U6" s="3512"/>
      <c r="V6" s="3513"/>
      <c r="W6" s="3513"/>
      <c r="X6" s="1490"/>
      <c r="Y6" s="3511"/>
      <c r="Z6" s="3512"/>
      <c r="AA6" s="3496"/>
      <c r="AB6" s="3496"/>
      <c r="AC6" s="3496"/>
    </row>
    <row r="7" spans="1:29" s="113" customFormat="1" ht="15.75" thickBot="1">
      <c r="A7" s="368" t="s">
        <v>2128</v>
      </c>
      <c r="B7" s="369"/>
      <c r="C7" s="370">
        <f>'数据-取费表'!B2</f>
        <v>44799</v>
      </c>
      <c r="D7" s="371">
        <v>100</v>
      </c>
      <c r="E7" s="372"/>
      <c r="F7" s="373">
        <f>SUMIF(46:46,YEAR(E7)&amp;"-"&amp;MONTH(E7),47:47)</f>
        <v>0</v>
      </c>
      <c r="G7" s="2111"/>
      <c r="H7" s="371">
        <f>SUMIF(46:46,YEAR(G7)&amp;"-"&amp;MONTH(G7),47:47)</f>
        <v>0</v>
      </c>
      <c r="I7" s="372"/>
      <c r="J7" s="371">
        <f>SUMIF(46:46,YEAR(I7)&amp;"-"&amp;MONTH(I7),47:47)</f>
        <v>0</v>
      </c>
      <c r="K7" s="568"/>
      <c r="L7" s="2895"/>
      <c r="M7" s="2896"/>
      <c r="N7" s="2896"/>
      <c r="O7" s="2896"/>
      <c r="P7" s="3518" t="s">
        <v>2129</v>
      </c>
      <c r="Q7" s="3520"/>
      <c r="R7" s="710" t="s">
        <v>17</v>
      </c>
      <c r="S7" s="711">
        <f t="shared" ref="S7:S14" si="0">F7</f>
        <v>0</v>
      </c>
      <c r="T7" s="710" t="s">
        <v>17</v>
      </c>
      <c r="U7" s="711">
        <f t="shared" ref="U7:U14" si="1">H7</f>
        <v>0</v>
      </c>
      <c r="V7" s="710" t="s">
        <v>17</v>
      </c>
      <c r="W7" s="711">
        <f t="shared" ref="W7:W14" si="2">J7</f>
        <v>0</v>
      </c>
      <c r="X7" s="712"/>
      <c r="Y7" s="3518" t="s">
        <v>2129</v>
      </c>
      <c r="Z7" s="3519"/>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518" t="s">
        <v>2132</v>
      </c>
      <c r="Q8" s="3519"/>
      <c r="R8" s="710" t="s">
        <v>17</v>
      </c>
      <c r="S8" s="711">
        <f t="shared" si="0"/>
        <v>0</v>
      </c>
      <c r="T8" s="710" t="s">
        <v>17</v>
      </c>
      <c r="U8" s="711">
        <f t="shared" si="1"/>
        <v>0</v>
      </c>
      <c r="V8" s="710" t="s">
        <v>17</v>
      </c>
      <c r="W8" s="711">
        <f t="shared" si="2"/>
        <v>0</v>
      </c>
      <c r="X8" s="712"/>
      <c r="Y8" s="3518" t="s">
        <v>2132</v>
      </c>
      <c r="Z8" s="3519"/>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82" t="s">
        <v>2135</v>
      </c>
      <c r="Q9" s="1478" t="str">
        <f t="shared" ref="Q9:Q14" si="6">B9</f>
        <v>用途</v>
      </c>
      <c r="R9" s="710" t="s">
        <v>17</v>
      </c>
      <c r="S9" s="711">
        <f t="shared" si="0"/>
        <v>100</v>
      </c>
      <c r="T9" s="710" t="s">
        <v>17</v>
      </c>
      <c r="U9" s="711">
        <f t="shared" si="1"/>
        <v>100</v>
      </c>
      <c r="V9" s="710" t="s">
        <v>17</v>
      </c>
      <c r="W9" s="711">
        <f t="shared" si="2"/>
        <v>100</v>
      </c>
      <c r="X9" s="712"/>
      <c r="Y9" s="3354"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82"/>
      <c r="Q10" s="1478" t="str">
        <f t="shared" si="6"/>
        <v>土地使用年限（年）</v>
      </c>
      <c r="R10" s="710" t="s">
        <v>17</v>
      </c>
      <c r="S10" s="711">
        <f t="shared" si="0"/>
        <v>100</v>
      </c>
      <c r="T10" s="710" t="s">
        <v>17</v>
      </c>
      <c r="U10" s="711">
        <f t="shared" si="1"/>
        <v>100</v>
      </c>
      <c r="V10" s="710" t="s">
        <v>17</v>
      </c>
      <c r="W10" s="711">
        <f t="shared" si="2"/>
        <v>100</v>
      </c>
      <c r="X10" s="712"/>
      <c r="Y10" s="3354"/>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82"/>
      <c r="Q11" s="1478">
        <f t="shared" si="6"/>
        <v>111</v>
      </c>
      <c r="R11" s="710" t="s">
        <v>17</v>
      </c>
      <c r="S11" s="711">
        <f t="shared" si="0"/>
        <v>100</v>
      </c>
      <c r="T11" s="710" t="s">
        <v>17</v>
      </c>
      <c r="U11" s="711">
        <f t="shared" si="1"/>
        <v>100</v>
      </c>
      <c r="V11" s="710" t="s">
        <v>17</v>
      </c>
      <c r="W11" s="711">
        <f t="shared" si="2"/>
        <v>100</v>
      </c>
      <c r="X11" s="712"/>
      <c r="Y11" s="3354"/>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82"/>
      <c r="Q12" s="1478">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0"/>
      <c r="M13" s="2894"/>
      <c r="N13" s="2894"/>
      <c r="O13" s="2952"/>
      <c r="P13" s="3482"/>
      <c r="Q13" s="1478">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84" t="s">
        <v>2140</v>
      </c>
      <c r="Q14" s="1487" t="str">
        <f t="shared" si="6"/>
        <v>交通便捷度</v>
      </c>
      <c r="R14" s="714" t="s">
        <v>17</v>
      </c>
      <c r="S14" s="715">
        <f t="shared" si="0"/>
        <v>100</v>
      </c>
      <c r="T14" s="714" t="s">
        <v>17</v>
      </c>
      <c r="U14" s="715">
        <f t="shared" si="1"/>
        <v>100</v>
      </c>
      <c r="V14" s="714" t="s">
        <v>17</v>
      </c>
      <c r="W14" s="715">
        <f t="shared" si="2"/>
        <v>100</v>
      </c>
      <c r="X14" s="1490"/>
      <c r="Y14" s="3484"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0"/>
      <c r="M15" s="2894"/>
      <c r="N15" s="2894"/>
      <c r="O15" s="2952"/>
      <c r="P15" s="3485"/>
      <c r="Q15" s="1487"/>
      <c r="R15" s="714"/>
      <c r="S15" s="715"/>
      <c r="T15" s="714"/>
      <c r="U15" s="715"/>
      <c r="V15" s="714"/>
      <c r="W15" s="715"/>
      <c r="X15" s="1490"/>
      <c r="Y15" s="3485"/>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85"/>
      <c r="Q16" s="1487" t="str">
        <f>B16</f>
        <v>公共配套设施</v>
      </c>
      <c r="R16" s="714" t="s">
        <v>17</v>
      </c>
      <c r="S16" s="715">
        <f>F16</f>
        <v>100</v>
      </c>
      <c r="T16" s="714" t="s">
        <v>17</v>
      </c>
      <c r="U16" s="715">
        <f>H16</f>
        <v>100</v>
      </c>
      <c r="V16" s="714" t="s">
        <v>17</v>
      </c>
      <c r="W16" s="715">
        <f>J16</f>
        <v>100</v>
      </c>
      <c r="X16" s="1490"/>
      <c r="Y16" s="3485"/>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0"/>
      <c r="M17" s="2894"/>
      <c r="N17" s="2894"/>
      <c r="O17" s="2952"/>
      <c r="P17" s="3485"/>
      <c r="Q17" s="1487"/>
      <c r="R17" s="714"/>
      <c r="S17" s="715"/>
      <c r="T17" s="714"/>
      <c r="U17" s="715"/>
      <c r="V17" s="714"/>
      <c r="W17" s="715"/>
      <c r="X17" s="1490"/>
      <c r="Y17" s="3485"/>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85"/>
      <c r="Q18" s="1487" t="str">
        <f>B18</f>
        <v>基础设施水平</v>
      </c>
      <c r="R18" s="714" t="s">
        <v>17</v>
      </c>
      <c r="S18" s="715">
        <f>F18</f>
        <v>100</v>
      </c>
      <c r="T18" s="714" t="s">
        <v>17</v>
      </c>
      <c r="U18" s="715">
        <f>H18</f>
        <v>100</v>
      </c>
      <c r="V18" s="714" t="s">
        <v>17</v>
      </c>
      <c r="W18" s="715">
        <f>J18</f>
        <v>100</v>
      </c>
      <c r="X18" s="1490"/>
      <c r="Y18" s="3485"/>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0"/>
      <c r="M19" s="2894"/>
      <c r="N19" s="2894"/>
      <c r="O19" s="2952"/>
      <c r="P19" s="3485"/>
      <c r="Q19" s="1487"/>
      <c r="R19" s="714"/>
      <c r="S19" s="715"/>
      <c r="T19" s="714"/>
      <c r="U19" s="715"/>
      <c r="V19" s="714"/>
      <c r="W19" s="715"/>
      <c r="X19" s="1490"/>
      <c r="Y19" s="3485"/>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85"/>
      <c r="Q20" s="1487" t="str">
        <f>B20</f>
        <v>自然及人文环境</v>
      </c>
      <c r="R20" s="714" t="s">
        <v>17</v>
      </c>
      <c r="S20" s="715">
        <f>F20</f>
        <v>100</v>
      </c>
      <c r="T20" s="714" t="s">
        <v>17</v>
      </c>
      <c r="U20" s="715">
        <f>H20</f>
        <v>100</v>
      </c>
      <c r="V20" s="714" t="s">
        <v>17</v>
      </c>
      <c r="W20" s="715">
        <f>J20</f>
        <v>100</v>
      </c>
      <c r="X20" s="1490"/>
      <c r="Y20" s="3485"/>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0"/>
      <c r="M21" s="2894"/>
      <c r="N21" s="2894"/>
      <c r="O21" s="2952"/>
      <c r="P21" s="3485"/>
      <c r="Q21" s="1487"/>
      <c r="R21" s="714"/>
      <c r="S21" s="715"/>
      <c r="T21" s="714"/>
      <c r="U21" s="715"/>
      <c r="V21" s="714"/>
      <c r="W21" s="715"/>
      <c r="X21" s="1490"/>
      <c r="Y21" s="3485"/>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85"/>
      <c r="Q22" s="1487" t="str">
        <f>B22</f>
        <v>楼层</v>
      </c>
      <c r="R22" s="714" t="s">
        <v>17</v>
      </c>
      <c r="S22" s="715">
        <f>F22</f>
        <v>100</v>
      </c>
      <c r="T22" s="714" t="s">
        <v>17</v>
      </c>
      <c r="U22" s="715">
        <f>H22</f>
        <v>100</v>
      </c>
      <c r="V22" s="714" t="s">
        <v>17</v>
      </c>
      <c r="W22" s="715">
        <f>J22</f>
        <v>100</v>
      </c>
      <c r="X22" s="1490"/>
      <c r="Y22" s="3485"/>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85"/>
      <c r="Q23" s="1487">
        <f>B23</f>
        <v>111</v>
      </c>
      <c r="R23" s="714" t="s">
        <v>17</v>
      </c>
      <c r="S23" s="715">
        <f>F23</f>
        <v>100</v>
      </c>
      <c r="T23" s="714" t="s">
        <v>17</v>
      </c>
      <c r="U23" s="715">
        <f>H23</f>
        <v>100</v>
      </c>
      <c r="V23" s="714" t="s">
        <v>17</v>
      </c>
      <c r="W23" s="715">
        <f>J23</f>
        <v>100</v>
      </c>
      <c r="X23" s="1490"/>
      <c r="Y23" s="3485"/>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85"/>
      <c r="Q24" s="1487">
        <f t="shared" ref="Q24:Q34" si="11">B24</f>
        <v>111</v>
      </c>
      <c r="R24" s="714" t="s">
        <v>17</v>
      </c>
      <c r="S24" s="715">
        <f>F24</f>
        <v>100</v>
      </c>
      <c r="T24" s="714" t="s">
        <v>17</v>
      </c>
      <c r="U24" s="715">
        <f>H24</f>
        <v>100</v>
      </c>
      <c r="V24" s="714" t="s">
        <v>17</v>
      </c>
      <c r="W24" s="715">
        <f>J24</f>
        <v>100</v>
      </c>
      <c r="X24" s="1490"/>
      <c r="Y24" s="3485"/>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5"/>
      <c r="M25" s="2896"/>
      <c r="N25" s="2896"/>
      <c r="O25" s="2950"/>
      <c r="P25" s="3485"/>
      <c r="Q25" s="1478">
        <f t="shared" si="11"/>
        <v>111</v>
      </c>
      <c r="R25" s="710" t="s">
        <v>17</v>
      </c>
      <c r="S25" s="711">
        <f>F25</f>
        <v>100</v>
      </c>
      <c r="T25" s="710" t="s">
        <v>17</v>
      </c>
      <c r="U25" s="711">
        <f>H25</f>
        <v>100</v>
      </c>
      <c r="V25" s="710" t="s">
        <v>17</v>
      </c>
      <c r="W25" s="711">
        <f>J25</f>
        <v>100</v>
      </c>
      <c r="X25" s="712"/>
      <c r="Y25" s="3485"/>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0"/>
      <c r="M26" s="2894"/>
      <c r="N26" s="2894"/>
      <c r="O26" s="2952"/>
      <c r="P26" s="3540"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89"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89"/>
      <c r="Q27" s="716" t="str">
        <f t="shared" si="11"/>
        <v>成新率</v>
      </c>
      <c r="R27" s="717" t="s">
        <v>17</v>
      </c>
      <c r="S27" s="718" t="e">
        <f t="shared" si="12"/>
        <v>#N/A</v>
      </c>
      <c r="T27" s="717" t="s">
        <v>17</v>
      </c>
      <c r="U27" s="718" t="e">
        <f t="shared" si="13"/>
        <v>#N/A</v>
      </c>
      <c r="V27" s="717" t="s">
        <v>17</v>
      </c>
      <c r="W27" s="718" t="e">
        <f t="shared" si="14"/>
        <v>#N/A</v>
      </c>
      <c r="X27" s="719"/>
      <c r="Y27" s="3489"/>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89"/>
      <c r="Q28" s="1487" t="str">
        <f t="shared" si="11"/>
        <v>物业等级</v>
      </c>
      <c r="R28" s="714" t="s">
        <v>17</v>
      </c>
      <c r="S28" s="715">
        <f t="shared" si="12"/>
        <v>100</v>
      </c>
      <c r="T28" s="714" t="s">
        <v>17</v>
      </c>
      <c r="U28" s="715">
        <f t="shared" si="13"/>
        <v>100</v>
      </c>
      <c r="V28" s="714" t="s">
        <v>17</v>
      </c>
      <c r="W28" s="715">
        <f t="shared" si="14"/>
        <v>100</v>
      </c>
      <c r="X28" s="1490"/>
      <c r="Y28" s="3489"/>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89"/>
      <c r="Q29" s="1487" t="str">
        <f t="shared" si="11"/>
        <v>有无电梯</v>
      </c>
      <c r="R29" s="714" t="s">
        <v>17</v>
      </c>
      <c r="S29" s="715">
        <f t="shared" si="12"/>
        <v>100</v>
      </c>
      <c r="T29" s="714" t="s">
        <v>17</v>
      </c>
      <c r="U29" s="715">
        <f t="shared" si="13"/>
        <v>100</v>
      </c>
      <c r="V29" s="714" t="s">
        <v>17</v>
      </c>
      <c r="W29" s="715">
        <f t="shared" si="14"/>
        <v>100</v>
      </c>
      <c r="X29" s="1490"/>
      <c r="Y29" s="3489"/>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89"/>
      <c r="Q30" s="1487" t="str">
        <f t="shared" si="11"/>
        <v>建筑面积</v>
      </c>
      <c r="R30" s="714" t="s">
        <v>17</v>
      </c>
      <c r="S30" s="715" t="e">
        <f t="shared" si="12"/>
        <v>#N/A</v>
      </c>
      <c r="T30" s="714" t="s">
        <v>17</v>
      </c>
      <c r="U30" s="715" t="e">
        <f t="shared" si="13"/>
        <v>#N/A</v>
      </c>
      <c r="V30" s="714" t="s">
        <v>17</v>
      </c>
      <c r="W30" s="715" t="e">
        <f t="shared" si="14"/>
        <v>#N/A</v>
      </c>
      <c r="X30" s="1490"/>
      <c r="Y30" s="3489"/>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89"/>
      <c r="Q31" s="1478" t="str">
        <f t="shared" si="11"/>
        <v>是否封闭</v>
      </c>
      <c r="R31" s="710" t="s">
        <v>17</v>
      </c>
      <c r="S31" s="711">
        <f t="shared" si="12"/>
        <v>100</v>
      </c>
      <c r="T31" s="710" t="s">
        <v>17</v>
      </c>
      <c r="U31" s="711">
        <f t="shared" si="13"/>
        <v>100</v>
      </c>
      <c r="V31" s="710" t="s">
        <v>17</v>
      </c>
      <c r="W31" s="711">
        <f t="shared" si="14"/>
        <v>100</v>
      </c>
      <c r="X31" s="712"/>
      <c r="Y31" s="3489"/>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89" t="s">
        <v>2145</v>
      </c>
      <c r="Q32" s="1487">
        <f t="shared" si="11"/>
        <v>111</v>
      </c>
      <c r="R32" s="714" t="s">
        <v>17</v>
      </c>
      <c r="S32" s="715">
        <f t="shared" si="12"/>
        <v>100</v>
      </c>
      <c r="T32" s="714" t="s">
        <v>17</v>
      </c>
      <c r="U32" s="715">
        <f t="shared" si="13"/>
        <v>100</v>
      </c>
      <c r="V32" s="714" t="s">
        <v>17</v>
      </c>
      <c r="W32" s="715">
        <f t="shared" si="14"/>
        <v>100</v>
      </c>
      <c r="X32" s="1490"/>
      <c r="Y32" s="3489"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89"/>
      <c r="Q33" s="1487">
        <f t="shared" si="11"/>
        <v>111</v>
      </c>
      <c r="R33" s="714" t="s">
        <v>17</v>
      </c>
      <c r="S33" s="715">
        <f t="shared" si="12"/>
        <v>100</v>
      </c>
      <c r="T33" s="714" t="s">
        <v>17</v>
      </c>
      <c r="U33" s="715">
        <f t="shared" si="13"/>
        <v>100</v>
      </c>
      <c r="V33" s="714" t="s">
        <v>17</v>
      </c>
      <c r="W33" s="715">
        <f t="shared" si="14"/>
        <v>100</v>
      </c>
      <c r="X33" s="1490"/>
      <c r="Y33" s="3489"/>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0"/>
      <c r="M34" s="2894"/>
      <c r="N34" s="2894"/>
      <c r="O34" s="2952"/>
      <c r="P34" s="3489"/>
      <c r="Q34" s="1487">
        <f t="shared" si="11"/>
        <v>111</v>
      </c>
      <c r="R34" s="714" t="s">
        <v>17</v>
      </c>
      <c r="S34" s="715">
        <f t="shared" si="12"/>
        <v>100</v>
      </c>
      <c r="T34" s="714" t="s">
        <v>17</v>
      </c>
      <c r="U34" s="715">
        <f t="shared" si="13"/>
        <v>100</v>
      </c>
      <c r="V34" s="714" t="s">
        <v>17</v>
      </c>
      <c r="W34" s="715">
        <f t="shared" si="14"/>
        <v>100</v>
      </c>
      <c r="X34" s="1490"/>
      <c r="Y34" s="3489"/>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2"/>
      <c r="M35" s="2903"/>
      <c r="N35" s="2894"/>
      <c r="O35" s="2903"/>
      <c r="P35" s="3482" t="str">
        <f>A35</f>
        <v>成交单价（元/平方米）</v>
      </c>
      <c r="Q35" s="3482"/>
      <c r="R35" s="3483">
        <f>E35</f>
        <v>0</v>
      </c>
      <c r="S35" s="3483"/>
      <c r="T35" s="3483">
        <f>G35</f>
        <v>0</v>
      </c>
      <c r="U35" s="3483"/>
      <c r="V35" s="3483">
        <f>I35</f>
        <v>0</v>
      </c>
      <c r="W35" s="3483"/>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2"/>
      <c r="M36" s="2903"/>
      <c r="N36" s="2894"/>
      <c r="O36" s="2903"/>
      <c r="P36" s="3482" t="str">
        <f>A36</f>
        <v>比较价值（元/平方米）</v>
      </c>
      <c r="Q36" s="3482"/>
      <c r="R36" s="3483" t="e">
        <f>IF(F1="售价",ROUND(PRODUCT(R35,AA7:AA34),0),ROUND(PRODUCT(R35,AA7:AA34),1))</f>
        <v>#DIV/0!</v>
      </c>
      <c r="S36" s="3483"/>
      <c r="T36" s="3483" t="e">
        <f>IF(F1="售价",ROUND(PRODUCT(T35,AB7:AB34),0),ROUND(PRODUCT(T35,AB7:AB34),1))</f>
        <v>#DIV/0!</v>
      </c>
      <c r="U36" s="3483"/>
      <c r="V36" s="3483" t="e">
        <f>IF(F1="售价",ROUND(PRODUCT(V35,AC7:AC34),0),ROUND(PRODUCT(V35,AC7:AC34),1))</f>
        <v>#DIV/0!</v>
      </c>
      <c r="W36" s="3483"/>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479" t="str">
        <f>A37</f>
        <v>估价对象XX用房的比较价值（楼面单价，元/平方米）</v>
      </c>
      <c r="Q37" s="3480"/>
      <c r="R37" s="3541" t="e">
        <f>IF(F1="售价",ROUND(IF(D36="简单平均",AVERAGE(R36:W36),R36*F36+T36*H36+V36*J36),0),ROUND(IF(D36="简单平均",AVERAGE(R36:V36),R36*F36+T36*H36+V36*J36),1))</f>
        <v>#DIV/0!</v>
      </c>
      <c r="S37" s="3541"/>
      <c r="T37" s="3541"/>
      <c r="U37" s="3541"/>
      <c r="V37" s="3541"/>
      <c r="W37" s="3541"/>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9" t="str">
        <f>YEAR(C7)&amp;"-"&amp;MONTH(C7)</f>
        <v>2022-8</v>
      </c>
      <c r="D46" s="1300">
        <f>EDATE(C46,-1)</f>
        <v>44743</v>
      </c>
      <c r="E46" s="1300">
        <f t="shared" ref="E46:O46" si="16">EDATE(D46,-1)</f>
        <v>44713</v>
      </c>
      <c r="F46" s="1300">
        <f t="shared" si="16"/>
        <v>44682</v>
      </c>
      <c r="G46" s="1300">
        <f t="shared" si="16"/>
        <v>44652</v>
      </c>
      <c r="H46" s="1300">
        <f t="shared" si="16"/>
        <v>44621</v>
      </c>
      <c r="I46" s="1300">
        <f t="shared" si="16"/>
        <v>44593</v>
      </c>
      <c r="J46" s="1300">
        <f t="shared" si="16"/>
        <v>44562</v>
      </c>
      <c r="K46" s="1300">
        <f t="shared" si="16"/>
        <v>44531</v>
      </c>
      <c r="L46" s="1300">
        <f t="shared" si="16"/>
        <v>44501</v>
      </c>
      <c r="M46" s="1300">
        <f t="shared" si="16"/>
        <v>44470</v>
      </c>
      <c r="N46" s="1300">
        <f t="shared" si="16"/>
        <v>44440</v>
      </c>
      <c r="O46" s="1300">
        <f t="shared" si="16"/>
        <v>44409</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8">
        <v>100</v>
      </c>
      <c r="D47" s="469"/>
      <c r="E47" s="469"/>
      <c r="F47" s="469"/>
      <c r="G47" s="469"/>
      <c r="H47" s="469"/>
      <c r="I47" s="469"/>
      <c r="J47" s="469"/>
      <c r="K47" s="469"/>
      <c r="L47" s="469"/>
      <c r="M47" s="470"/>
      <c r="N47" s="469"/>
      <c r="O47" s="471"/>
      <c r="P47" s="2917"/>
      <c r="Q47" s="2837"/>
      <c r="R47" s="2837"/>
      <c r="S47" s="2837"/>
      <c r="T47" s="2837"/>
      <c r="U47" s="2837"/>
      <c r="V47" s="2837"/>
      <c r="W47" s="2837"/>
      <c r="X47" s="2837"/>
      <c r="Y47" s="2837"/>
      <c r="Z47" s="2837"/>
      <c r="AA47" s="2837"/>
      <c r="AB47" s="2837"/>
      <c r="AC47" s="2837"/>
      <c r="AD47" s="2837"/>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7"/>
      <c r="S48" s="2837"/>
      <c r="T48" s="2837"/>
      <c r="U48" s="2837"/>
      <c r="V48" s="2837"/>
      <c r="W48" s="2837"/>
      <c r="X48" s="2837"/>
      <c r="Y48" s="2837"/>
      <c r="Z48" s="2837"/>
      <c r="AA48" s="2837"/>
      <c r="AB48" s="2837"/>
      <c r="AC48" s="2837"/>
      <c r="AD48" s="2837"/>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7"/>
      <c r="S49" s="2837"/>
      <c r="T49" s="2837"/>
      <c r="U49" s="2837"/>
      <c r="V49" s="2837"/>
      <c r="W49" s="2837"/>
      <c r="X49" s="2837"/>
      <c r="Y49" s="2837"/>
      <c r="Z49" s="2837"/>
      <c r="AA49" s="2837"/>
      <c r="AB49" s="2837"/>
      <c r="AC49" s="2837"/>
      <c r="AD49" s="2837"/>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7"/>
      <c r="S50" s="2837"/>
      <c r="T50" s="2837"/>
      <c r="U50" s="2837"/>
      <c r="V50" s="2837"/>
      <c r="W50" s="2837"/>
      <c r="X50" s="2837"/>
      <c r="Y50" s="2837"/>
      <c r="Z50" s="2837"/>
      <c r="AA50" s="2837"/>
      <c r="AB50" s="2837"/>
      <c r="AC50" s="2837"/>
      <c r="AD50" s="2837"/>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7"/>
      <c r="S71" s="2837"/>
      <c r="T71" s="2837"/>
      <c r="U71" s="2837"/>
      <c r="V71" s="2837"/>
      <c r="W71" s="2837"/>
      <c r="X71" s="2837"/>
      <c r="Y71" s="2837"/>
      <c r="Z71" s="2837"/>
      <c r="AA71" s="2837"/>
      <c r="AB71" s="2837"/>
      <c r="AC71" s="2837"/>
      <c r="AD71" s="2837"/>
    </row>
    <row r="72" spans="1:30" s="113" customFormat="1" ht="15.75" thickBot="1">
      <c r="A72" s="536"/>
      <c r="B72" s="500"/>
      <c r="C72" s="517"/>
      <c r="D72" s="493"/>
      <c r="E72" s="493"/>
      <c r="F72" s="493"/>
      <c r="G72" s="493"/>
      <c r="H72" s="493"/>
      <c r="I72" s="493"/>
      <c r="J72" s="493"/>
      <c r="K72" s="493"/>
      <c r="L72" s="493"/>
      <c r="M72" s="494"/>
      <c r="N72" s="2932"/>
      <c r="O72" s="2932"/>
      <c r="P72" s="2956"/>
      <c r="Q72" s="2917"/>
      <c r="R72" s="2837"/>
      <c r="S72" s="2837"/>
      <c r="T72" s="2837"/>
      <c r="U72" s="2837"/>
      <c r="V72" s="2837"/>
      <c r="W72" s="2837"/>
      <c r="X72" s="2837"/>
      <c r="Y72" s="2837"/>
      <c r="Z72" s="2837"/>
      <c r="AA72" s="2837"/>
      <c r="AB72" s="2837"/>
      <c r="AC72" s="2837"/>
      <c r="AD72" s="2837"/>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7"/>
      <c r="S73" s="2837"/>
      <c r="T73" s="2837"/>
      <c r="U73" s="2837"/>
      <c r="V73" s="2837"/>
      <c r="W73" s="2837"/>
      <c r="X73" s="2837"/>
      <c r="Y73" s="2837"/>
      <c r="Z73" s="2837"/>
      <c r="AA73" s="2837"/>
      <c r="AB73" s="2837"/>
      <c r="AC73" s="2837"/>
      <c r="AD73" s="2837"/>
    </row>
    <row r="74" spans="1:30" s="113" customFormat="1" ht="15.75" thickBot="1">
      <c r="A74" s="536"/>
      <c r="B74" s="500"/>
      <c r="C74" s="517"/>
      <c r="D74" s="493"/>
      <c r="E74" s="493"/>
      <c r="F74" s="493"/>
      <c r="G74" s="493"/>
      <c r="H74" s="493"/>
      <c r="I74" s="493"/>
      <c r="J74" s="493"/>
      <c r="K74" s="493"/>
      <c r="L74" s="493"/>
      <c r="M74" s="494"/>
      <c r="N74" s="2932"/>
      <c r="O74" s="2932"/>
      <c r="P74" s="2956"/>
      <c r="Q74" s="2917"/>
      <c r="R74" s="2837"/>
      <c r="S74" s="2837"/>
      <c r="T74" s="2837"/>
      <c r="U74" s="2837"/>
      <c r="V74" s="2837"/>
      <c r="W74" s="2837"/>
      <c r="X74" s="2837"/>
      <c r="Y74" s="2837"/>
      <c r="Z74" s="2837"/>
      <c r="AA74" s="2837"/>
      <c r="AB74" s="2837"/>
      <c r="AC74" s="2837"/>
      <c r="AD74" s="2837"/>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497" t="s">
        <v>2226</v>
      </c>
      <c r="D4" s="3498"/>
      <c r="E4" s="3499" t="s">
        <v>2227</v>
      </c>
      <c r="F4" s="3500"/>
      <c r="G4" s="3497" t="s">
        <v>2228</v>
      </c>
      <c r="H4" s="3498"/>
      <c r="I4" s="3497" t="s">
        <v>2229</v>
      </c>
      <c r="J4" s="3498"/>
      <c r="K4" s="567" t="s">
        <v>2230</v>
      </c>
      <c r="L4" s="2893"/>
      <c r="M4" s="2894"/>
      <c r="N4" s="2894"/>
      <c r="O4" s="2894"/>
      <c r="P4" s="3501" t="s">
        <v>2231</v>
      </c>
      <c r="Q4" s="3502"/>
      <c r="R4" s="3507" t="s">
        <v>2227</v>
      </c>
      <c r="S4" s="3508"/>
      <c r="T4" s="3507" t="s">
        <v>2228</v>
      </c>
      <c r="U4" s="3508"/>
      <c r="V4" s="3513" t="s">
        <v>2229</v>
      </c>
      <c r="W4" s="3513"/>
      <c r="X4" s="1490"/>
      <c r="Y4" s="3507" t="s">
        <v>2231</v>
      </c>
      <c r="Z4" s="3508"/>
      <c r="AA4" s="3494" t="s">
        <v>2227</v>
      </c>
      <c r="AB4" s="3495" t="s">
        <v>2228</v>
      </c>
      <c r="AC4" s="3494" t="s">
        <v>2229</v>
      </c>
    </row>
    <row r="5" spans="1:30" ht="15">
      <c r="A5" s="364"/>
      <c r="B5" s="365"/>
      <c r="C5" s="3516" t="s">
        <v>2122</v>
      </c>
      <c r="D5" s="3517"/>
      <c r="E5" s="3523" t="s">
        <v>2123</v>
      </c>
      <c r="F5" s="3524"/>
      <c r="G5" s="3516" t="s">
        <v>2124</v>
      </c>
      <c r="H5" s="3517"/>
      <c r="I5" s="3516" t="s">
        <v>2125</v>
      </c>
      <c r="J5" s="3517"/>
      <c r="K5" s="567"/>
      <c r="L5" s="2893"/>
      <c r="M5" s="2894"/>
      <c r="N5" s="2894"/>
      <c r="O5" s="2894"/>
      <c r="P5" s="3503"/>
      <c r="Q5" s="3504"/>
      <c r="R5" s="3509"/>
      <c r="S5" s="3510"/>
      <c r="T5" s="3509"/>
      <c r="U5" s="3510"/>
      <c r="V5" s="3513"/>
      <c r="W5" s="3513"/>
      <c r="X5" s="1490"/>
      <c r="Y5" s="3509"/>
      <c r="Z5" s="3510"/>
      <c r="AA5" s="3495"/>
      <c r="AB5" s="3495"/>
      <c r="AC5" s="3495"/>
    </row>
    <row r="6" spans="1:30" ht="15.75" thickBot="1">
      <c r="A6" s="366"/>
      <c r="B6" s="367"/>
      <c r="C6" s="3514" t="s">
        <v>2126</v>
      </c>
      <c r="D6" s="3515"/>
      <c r="E6" s="3521" t="s">
        <v>2126</v>
      </c>
      <c r="F6" s="3522"/>
      <c r="G6" s="3514" t="s">
        <v>2126</v>
      </c>
      <c r="H6" s="3515"/>
      <c r="I6" s="3514" t="s">
        <v>2126</v>
      </c>
      <c r="J6" s="3515"/>
      <c r="K6" s="567" t="s">
        <v>2127</v>
      </c>
      <c r="L6" s="2893"/>
      <c r="M6" s="2894"/>
      <c r="N6" s="2894"/>
      <c r="O6" s="2894"/>
      <c r="P6" s="3505"/>
      <c r="Q6" s="3506"/>
      <c r="R6" s="3509"/>
      <c r="S6" s="3510"/>
      <c r="T6" s="3511"/>
      <c r="U6" s="3512"/>
      <c r="V6" s="3513"/>
      <c r="W6" s="3513"/>
      <c r="X6" s="1490"/>
      <c r="Y6" s="3511"/>
      <c r="Z6" s="3512"/>
      <c r="AA6" s="3496"/>
      <c r="AB6" s="3496"/>
      <c r="AC6" s="3496"/>
    </row>
    <row r="7" spans="1:30" s="113" customFormat="1" ht="15.75" thickBot="1">
      <c r="A7" s="368" t="s">
        <v>2128</v>
      </c>
      <c r="B7" s="369"/>
      <c r="C7" s="370">
        <f>'数据-取费表'!B2</f>
        <v>44799</v>
      </c>
      <c r="D7" s="371">
        <v>100</v>
      </c>
      <c r="E7" s="372"/>
      <c r="F7" s="373">
        <f>SUMIF(69:69,YEAR(E7)&amp;"-"&amp;INT((MONTH(E7)+2)/3),70:70)</f>
        <v>0</v>
      </c>
      <c r="G7" s="2111"/>
      <c r="H7" s="371">
        <f>SUMIF(69:69,YEAR(G7)&amp;"-"&amp;INT((MONTH(G7)+2)/3),70:70)</f>
        <v>0</v>
      </c>
      <c r="I7" s="2111"/>
      <c r="J7" s="371">
        <f>SUMIF(69:69,YEAR(I7)&amp;"-"&amp;INT((MONTH(I7)+2)/3),70:70)</f>
        <v>0</v>
      </c>
      <c r="K7" s="568"/>
      <c r="L7" s="2895"/>
      <c r="M7" s="2896"/>
      <c r="N7" s="2896"/>
      <c r="O7" s="2896"/>
      <c r="P7" s="3518" t="s">
        <v>2129</v>
      </c>
      <c r="Q7" s="3520"/>
      <c r="R7" s="710" t="s">
        <v>17</v>
      </c>
      <c r="S7" s="711">
        <f t="shared" ref="S7:S15" si="0">F7</f>
        <v>0</v>
      </c>
      <c r="T7" s="710" t="s">
        <v>17</v>
      </c>
      <c r="U7" s="711">
        <f t="shared" ref="U7:U15" si="1">H7</f>
        <v>0</v>
      </c>
      <c r="V7" s="710" t="s">
        <v>17</v>
      </c>
      <c r="W7" s="711">
        <f t="shared" ref="W7:W15" si="2">J7</f>
        <v>0</v>
      </c>
      <c r="X7" s="712"/>
      <c r="Y7" s="3518" t="s">
        <v>2129</v>
      </c>
      <c r="Z7" s="3519"/>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518" t="s">
        <v>2132</v>
      </c>
      <c r="Q8" s="3519"/>
      <c r="R8" s="710" t="s">
        <v>17</v>
      </c>
      <c r="S8" s="711">
        <f t="shared" si="0"/>
        <v>0</v>
      </c>
      <c r="T8" s="710" t="s">
        <v>17</v>
      </c>
      <c r="U8" s="711">
        <f t="shared" si="1"/>
        <v>0</v>
      </c>
      <c r="V8" s="710" t="s">
        <v>17</v>
      </c>
      <c r="W8" s="711">
        <f t="shared" si="2"/>
        <v>0</v>
      </c>
      <c r="X8" s="712"/>
      <c r="Y8" s="3518" t="s">
        <v>2132</v>
      </c>
      <c r="Z8" s="3519"/>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5"/>
      <c r="M9" s="2896"/>
      <c r="N9" s="2896"/>
      <c r="O9" s="2950"/>
      <c r="P9" s="3482" t="s">
        <v>2135</v>
      </c>
      <c r="Q9" s="1478" t="str">
        <f t="shared" ref="Q9:Q15" si="6">B9</f>
        <v>用途</v>
      </c>
      <c r="R9" s="710" t="s">
        <v>17</v>
      </c>
      <c r="S9" s="711">
        <f t="shared" si="0"/>
        <v>100</v>
      </c>
      <c r="T9" s="710" t="s">
        <v>17</v>
      </c>
      <c r="U9" s="711">
        <f t="shared" si="1"/>
        <v>100</v>
      </c>
      <c r="V9" s="710" t="s">
        <v>17</v>
      </c>
      <c r="W9" s="711">
        <f t="shared" si="2"/>
        <v>100</v>
      </c>
      <c r="X9" s="712"/>
      <c r="Y9" s="3354"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127</v>
      </c>
      <c r="G10" s="422"/>
      <c r="H10" s="132">
        <f>ROUND(100/'数据-取费表'!G16,0)</f>
        <v>127</v>
      </c>
      <c r="I10" s="422"/>
      <c r="J10" s="132">
        <f>ROUND(100/'数据-取费表'!G16,0)</f>
        <v>127</v>
      </c>
      <c r="K10" s="628"/>
      <c r="L10" s="2897"/>
      <c r="M10" s="2898"/>
      <c r="N10" s="2898"/>
      <c r="O10" s="2951"/>
      <c r="P10" s="3482"/>
      <c r="Q10" s="1478" t="str">
        <f t="shared" si="6"/>
        <v>土地使用年限（年）</v>
      </c>
      <c r="R10" s="710" t="s">
        <v>17</v>
      </c>
      <c r="S10" s="711">
        <f t="shared" si="0"/>
        <v>127</v>
      </c>
      <c r="T10" s="710" t="s">
        <v>17</v>
      </c>
      <c r="U10" s="711">
        <f t="shared" si="1"/>
        <v>127</v>
      </c>
      <c r="V10" s="710" t="s">
        <v>17</v>
      </c>
      <c r="W10" s="711">
        <f t="shared" si="2"/>
        <v>127</v>
      </c>
      <c r="X10" s="712"/>
      <c r="Y10" s="3354"/>
      <c r="Z10" s="55" t="str">
        <f t="shared" si="7"/>
        <v>土地使用年限（年）</v>
      </c>
      <c r="AA10" s="713">
        <f t="shared" si="3"/>
        <v>0.78740157480314965</v>
      </c>
      <c r="AB10" s="713">
        <f t="shared" si="4"/>
        <v>0.78740157480314965</v>
      </c>
      <c r="AC10" s="713">
        <f t="shared" si="5"/>
        <v>0.78740157480314965</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482"/>
      <c r="Q11" s="1478"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482"/>
      <c r="Q12" s="1478" t="str">
        <f t="shared" si="6"/>
        <v>配建</v>
      </c>
      <c r="R12" s="710" t="s">
        <v>17</v>
      </c>
      <c r="S12" s="711">
        <f t="shared" si="0"/>
        <v>100</v>
      </c>
      <c r="T12" s="710" t="s">
        <v>17</v>
      </c>
      <c r="U12" s="711">
        <f t="shared" si="1"/>
        <v>100</v>
      </c>
      <c r="V12" s="710" t="s">
        <v>17</v>
      </c>
      <c r="W12" s="711">
        <f t="shared" si="2"/>
        <v>100</v>
      </c>
      <c r="X12" s="712"/>
      <c r="Y12" s="3354"/>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82"/>
      <c r="Q13" s="1478">
        <f t="shared" si="6"/>
        <v>111</v>
      </c>
      <c r="R13" s="710" t="s">
        <v>17</v>
      </c>
      <c r="S13" s="711">
        <f t="shared" si="0"/>
        <v>100</v>
      </c>
      <c r="T13" s="710" t="s">
        <v>17</v>
      </c>
      <c r="U13" s="711">
        <f t="shared" si="1"/>
        <v>100</v>
      </c>
      <c r="V13" s="710" t="s">
        <v>17</v>
      </c>
      <c r="W13" s="711">
        <f t="shared" si="2"/>
        <v>100</v>
      </c>
      <c r="X13" s="712"/>
      <c r="Y13" s="3354"/>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82"/>
      <c r="Q14" s="1478">
        <f t="shared" si="6"/>
        <v>111</v>
      </c>
      <c r="R14" s="710" t="s">
        <v>17</v>
      </c>
      <c r="S14" s="711">
        <f t="shared" si="0"/>
        <v>100</v>
      </c>
      <c r="T14" s="710" t="s">
        <v>17</v>
      </c>
      <c r="U14" s="711">
        <f t="shared" si="1"/>
        <v>100</v>
      </c>
      <c r="V14" s="710" t="s">
        <v>17</v>
      </c>
      <c r="W14" s="711">
        <f t="shared" si="2"/>
        <v>100</v>
      </c>
      <c r="X14" s="712"/>
      <c r="Y14" s="3354"/>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84" t="s">
        <v>2140</v>
      </c>
      <c r="Q15" s="1487" t="str">
        <f t="shared" si="6"/>
        <v>居住社区成熟度</v>
      </c>
      <c r="R15" s="714" t="s">
        <v>17</v>
      </c>
      <c r="S15" s="715">
        <f t="shared" si="0"/>
        <v>100</v>
      </c>
      <c r="T15" s="714" t="s">
        <v>17</v>
      </c>
      <c r="U15" s="715">
        <f t="shared" si="1"/>
        <v>100</v>
      </c>
      <c r="V15" s="714" t="s">
        <v>17</v>
      </c>
      <c r="W15" s="715">
        <f t="shared" si="2"/>
        <v>100</v>
      </c>
      <c r="X15" s="1490"/>
      <c r="Y15" s="3484"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0"/>
      <c r="M16" s="2894"/>
      <c r="N16" s="2894"/>
      <c r="O16" s="2952"/>
      <c r="P16" s="3485"/>
      <c r="Q16" s="1487"/>
      <c r="R16" s="714"/>
      <c r="S16" s="715"/>
      <c r="T16" s="714"/>
      <c r="U16" s="715"/>
      <c r="V16" s="714"/>
      <c r="W16" s="715"/>
      <c r="X16" s="1490"/>
      <c r="Y16" s="3485"/>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485"/>
      <c r="Q17" s="1487" t="str">
        <f>B17</f>
        <v>商业繁华度</v>
      </c>
      <c r="R17" s="714" t="s">
        <v>17</v>
      </c>
      <c r="S17" s="715">
        <f>F17</f>
        <v>100</v>
      </c>
      <c r="T17" s="714" t="s">
        <v>17</v>
      </c>
      <c r="U17" s="715">
        <f>H17</f>
        <v>100</v>
      </c>
      <c r="V17" s="714" t="s">
        <v>17</v>
      </c>
      <c r="W17" s="715">
        <f>J17</f>
        <v>100</v>
      </c>
      <c r="X17" s="1490"/>
      <c r="Y17" s="3485"/>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0"/>
      <c r="M18" s="2894"/>
      <c r="N18" s="2894"/>
      <c r="O18" s="2952"/>
      <c r="P18" s="3485"/>
      <c r="Q18" s="1487"/>
      <c r="R18" s="714"/>
      <c r="S18" s="715"/>
      <c r="T18" s="714"/>
      <c r="U18" s="715"/>
      <c r="V18" s="714"/>
      <c r="W18" s="715"/>
      <c r="X18" s="1490"/>
      <c r="Y18" s="3485"/>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485"/>
      <c r="Q19" s="1487" t="str">
        <f>B19</f>
        <v>办公集聚程度</v>
      </c>
      <c r="R19" s="714" t="s">
        <v>17</v>
      </c>
      <c r="S19" s="715">
        <f>F19</f>
        <v>100</v>
      </c>
      <c r="T19" s="714" t="s">
        <v>17</v>
      </c>
      <c r="U19" s="715">
        <f>H19</f>
        <v>100</v>
      </c>
      <c r="V19" s="714" t="s">
        <v>17</v>
      </c>
      <c r="W19" s="715">
        <f>J19</f>
        <v>100</v>
      </c>
      <c r="X19" s="1490"/>
      <c r="Y19" s="3485"/>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0"/>
      <c r="M20" s="2894"/>
      <c r="N20" s="2894"/>
      <c r="O20" s="2952"/>
      <c r="P20" s="3485"/>
      <c r="Q20" s="1487"/>
      <c r="R20" s="714"/>
      <c r="S20" s="715"/>
      <c r="T20" s="714"/>
      <c r="U20" s="715"/>
      <c r="V20" s="714"/>
      <c r="W20" s="715"/>
      <c r="X20" s="1490"/>
      <c r="Y20" s="3485"/>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485"/>
      <c r="Q21" s="1487" t="str">
        <f>B21</f>
        <v>交通便捷度</v>
      </c>
      <c r="R21" s="714" t="s">
        <v>17</v>
      </c>
      <c r="S21" s="715">
        <f>F21</f>
        <v>100</v>
      </c>
      <c r="T21" s="714" t="s">
        <v>17</v>
      </c>
      <c r="U21" s="715">
        <f>H21</f>
        <v>100</v>
      </c>
      <c r="V21" s="714" t="s">
        <v>17</v>
      </c>
      <c r="W21" s="715">
        <f>J21</f>
        <v>100</v>
      </c>
      <c r="X21" s="1490"/>
      <c r="Y21" s="3485"/>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0"/>
      <c r="M22" s="2894"/>
      <c r="N22" s="2894"/>
      <c r="O22" s="2952"/>
      <c r="P22" s="3485"/>
      <c r="Q22" s="1487"/>
      <c r="R22" s="714"/>
      <c r="S22" s="715"/>
      <c r="T22" s="714"/>
      <c r="U22" s="715"/>
      <c r="V22" s="714"/>
      <c r="W22" s="715"/>
      <c r="X22" s="1490"/>
      <c r="Y22" s="3485"/>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485"/>
      <c r="Q23" s="1487" t="str">
        <f t="shared" ref="Q23:Q37" si="8">B23</f>
        <v>区域土地利用方向</v>
      </c>
      <c r="R23" s="714" t="s">
        <v>17</v>
      </c>
      <c r="S23" s="715">
        <f>F23</f>
        <v>100</v>
      </c>
      <c r="T23" s="714" t="s">
        <v>17</v>
      </c>
      <c r="U23" s="715">
        <f>H23</f>
        <v>100</v>
      </c>
      <c r="V23" s="714" t="s">
        <v>17</v>
      </c>
      <c r="W23" s="715">
        <f>J23</f>
        <v>100</v>
      </c>
      <c r="X23" s="1490"/>
      <c r="Y23" s="3485"/>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0"/>
      <c r="M24" s="2894"/>
      <c r="N24" s="2894"/>
      <c r="O24" s="2952"/>
      <c r="P24" s="3485"/>
      <c r="Q24" s="1487"/>
      <c r="R24" s="714"/>
      <c r="S24" s="715"/>
      <c r="T24" s="714"/>
      <c r="U24" s="715"/>
      <c r="V24" s="714"/>
      <c r="W24" s="715"/>
      <c r="X24" s="1490"/>
      <c r="Y24" s="3485"/>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485"/>
      <c r="Q25" s="1487" t="str">
        <f t="shared" si="8"/>
        <v>自然及人文环境状况</v>
      </c>
      <c r="R25" s="714" t="s">
        <v>17</v>
      </c>
      <c r="S25" s="715">
        <f>F25</f>
        <v>100</v>
      </c>
      <c r="T25" s="714" t="s">
        <v>17</v>
      </c>
      <c r="U25" s="715">
        <f>H25</f>
        <v>100</v>
      </c>
      <c r="V25" s="714" t="s">
        <v>17</v>
      </c>
      <c r="W25" s="715">
        <f>J25</f>
        <v>100</v>
      </c>
      <c r="X25" s="1490"/>
      <c r="Y25" s="3485"/>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0"/>
      <c r="M26" s="2894"/>
      <c r="N26" s="2894"/>
      <c r="O26" s="2952"/>
      <c r="P26" s="3485"/>
      <c r="Q26" s="1487"/>
      <c r="R26" s="714"/>
      <c r="S26" s="715"/>
      <c r="T26" s="714"/>
      <c r="U26" s="715"/>
      <c r="V26" s="714"/>
      <c r="W26" s="715"/>
      <c r="X26" s="1490"/>
      <c r="Y26" s="3485"/>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485"/>
      <c r="Q27" s="1478" t="str">
        <f t="shared" si="8"/>
        <v>公共配套设施</v>
      </c>
      <c r="R27" s="710" t="s">
        <v>17</v>
      </c>
      <c r="S27" s="711">
        <f>F27</f>
        <v>100</v>
      </c>
      <c r="T27" s="710" t="s">
        <v>17</v>
      </c>
      <c r="U27" s="711">
        <f>H27</f>
        <v>100</v>
      </c>
      <c r="V27" s="710" t="s">
        <v>17</v>
      </c>
      <c r="W27" s="711">
        <f>J27</f>
        <v>100</v>
      </c>
      <c r="X27" s="712"/>
      <c r="Y27" s="3485"/>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5"/>
      <c r="M28" s="2896"/>
      <c r="N28" s="2896"/>
      <c r="O28" s="2950"/>
      <c r="P28" s="3485"/>
      <c r="Q28" s="1478"/>
      <c r="R28" s="710"/>
      <c r="S28" s="711"/>
      <c r="T28" s="710"/>
      <c r="U28" s="711"/>
      <c r="V28" s="710"/>
      <c r="W28" s="711"/>
      <c r="X28" s="712"/>
      <c r="Y28" s="3485"/>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485"/>
      <c r="Q29" s="1478" t="str">
        <f t="shared" ref="Q29" si="9">B29</f>
        <v>基础设施水平</v>
      </c>
      <c r="R29" s="710" t="s">
        <v>17</v>
      </c>
      <c r="S29" s="711">
        <f>F29</f>
        <v>100</v>
      </c>
      <c r="T29" s="710" t="s">
        <v>17</v>
      </c>
      <c r="U29" s="711">
        <f>H29</f>
        <v>100</v>
      </c>
      <c r="V29" s="710" t="s">
        <v>17</v>
      </c>
      <c r="W29" s="711">
        <f>J29</f>
        <v>100</v>
      </c>
      <c r="X29" s="712"/>
      <c r="Y29" s="3485"/>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5"/>
      <c r="M30" s="2896"/>
      <c r="N30" s="2896"/>
      <c r="O30" s="2950"/>
      <c r="P30" s="3485"/>
      <c r="Q30" s="1478"/>
      <c r="R30" s="710"/>
      <c r="S30" s="711"/>
      <c r="T30" s="710"/>
      <c r="U30" s="711"/>
      <c r="V30" s="710"/>
      <c r="W30" s="711"/>
      <c r="X30" s="712"/>
      <c r="Y30" s="3485"/>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485"/>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85"/>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485"/>
      <c r="Q32" s="1487" t="str">
        <f t="shared" si="8"/>
        <v>毗邻道路的类型与等级</v>
      </c>
      <c r="R32" s="714" t="s">
        <v>17</v>
      </c>
      <c r="S32" s="715">
        <f t="shared" si="10"/>
        <v>100</v>
      </c>
      <c r="T32" s="714" t="s">
        <v>17</v>
      </c>
      <c r="U32" s="715">
        <f t="shared" si="11"/>
        <v>100</v>
      </c>
      <c r="V32" s="714" t="s">
        <v>17</v>
      </c>
      <c r="W32" s="715">
        <f t="shared" si="12"/>
        <v>100</v>
      </c>
      <c r="X32" s="1490"/>
      <c r="Y32" s="3485"/>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0"/>
      <c r="M33" s="2894"/>
      <c r="N33" s="2894"/>
      <c r="O33" s="2952"/>
      <c r="P33" s="3485"/>
      <c r="Q33" s="1487"/>
      <c r="R33" s="714"/>
      <c r="S33" s="715"/>
      <c r="T33" s="714"/>
      <c r="U33" s="715"/>
      <c r="V33" s="714"/>
      <c r="W33" s="715"/>
      <c r="X33" s="1490"/>
      <c r="Y33" s="3485"/>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485"/>
      <c r="Q34" s="1487" t="str">
        <f t="shared" si="8"/>
        <v>土地级别</v>
      </c>
      <c r="R34" s="714" t="s">
        <v>17</v>
      </c>
      <c r="S34" s="715">
        <f t="shared" si="10"/>
        <v>100</v>
      </c>
      <c r="T34" s="714" t="s">
        <v>17</v>
      </c>
      <c r="U34" s="715">
        <f t="shared" si="11"/>
        <v>100</v>
      </c>
      <c r="V34" s="714" t="s">
        <v>17</v>
      </c>
      <c r="W34" s="715">
        <f t="shared" si="12"/>
        <v>100</v>
      </c>
      <c r="X34" s="1490"/>
      <c r="Y34" s="3485"/>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85"/>
      <c r="Q35" s="1487">
        <f t="shared" si="8"/>
        <v>111</v>
      </c>
      <c r="R35" s="714" t="s">
        <v>17</v>
      </c>
      <c r="S35" s="715">
        <f t="shared" si="10"/>
        <v>100</v>
      </c>
      <c r="T35" s="714" t="s">
        <v>17</v>
      </c>
      <c r="U35" s="715">
        <f t="shared" si="11"/>
        <v>100</v>
      </c>
      <c r="V35" s="714" t="s">
        <v>17</v>
      </c>
      <c r="W35" s="715">
        <f t="shared" si="12"/>
        <v>100</v>
      </c>
      <c r="X35" s="1490"/>
      <c r="Y35" s="3485"/>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40" t="s">
        <v>2145</v>
      </c>
      <c r="Q36" s="1487">
        <f t="shared" si="8"/>
        <v>111</v>
      </c>
      <c r="R36" s="714" t="s">
        <v>17</v>
      </c>
      <c r="S36" s="715">
        <f t="shared" si="10"/>
        <v>100</v>
      </c>
      <c r="T36" s="714" t="s">
        <v>17</v>
      </c>
      <c r="U36" s="715">
        <f t="shared" si="11"/>
        <v>100</v>
      </c>
      <c r="V36" s="714" t="s">
        <v>17</v>
      </c>
      <c r="W36" s="715">
        <f t="shared" si="12"/>
        <v>100</v>
      </c>
      <c r="X36" s="1490"/>
      <c r="Y36" s="3489"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89"/>
      <c r="Q37" s="1487">
        <f t="shared" si="8"/>
        <v>111</v>
      </c>
      <c r="R37" s="717" t="s">
        <v>17</v>
      </c>
      <c r="S37" s="718">
        <f t="shared" si="10"/>
        <v>100</v>
      </c>
      <c r="T37" s="717" t="s">
        <v>17</v>
      </c>
      <c r="U37" s="718">
        <f t="shared" si="11"/>
        <v>100</v>
      </c>
      <c r="V37" s="717" t="s">
        <v>17</v>
      </c>
      <c r="W37" s="718">
        <f t="shared" si="12"/>
        <v>100</v>
      </c>
      <c r="X37" s="719"/>
      <c r="Y37" s="3489"/>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489"/>
      <c r="Q38" s="1487" t="str">
        <f>B38</f>
        <v>宗地面积</v>
      </c>
      <c r="R38" s="714" t="s">
        <v>17</v>
      </c>
      <c r="S38" s="715" t="e">
        <f t="shared" si="10"/>
        <v>#N/A</v>
      </c>
      <c r="T38" s="714" t="s">
        <v>17</v>
      </c>
      <c r="U38" s="715" t="e">
        <f t="shared" si="11"/>
        <v>#N/A</v>
      </c>
      <c r="V38" s="714" t="s">
        <v>17</v>
      </c>
      <c r="W38" s="715" t="e">
        <f t="shared" si="12"/>
        <v>#N/A</v>
      </c>
      <c r="X38" s="1490"/>
      <c r="Y38" s="3489"/>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0"/>
      <c r="M39" s="2894"/>
      <c r="N39" s="2894"/>
      <c r="O39" s="2952"/>
      <c r="P39" s="3489"/>
      <c r="Q39" s="1487" t="str">
        <f t="shared" ref="Q39:Q45" si="14">B39</f>
        <v>宗地形状</v>
      </c>
      <c r="R39" s="714" t="s">
        <v>17</v>
      </c>
      <c r="S39" s="715">
        <f t="shared" si="10"/>
        <v>100</v>
      </c>
      <c r="T39" s="714" t="s">
        <v>17</v>
      </c>
      <c r="U39" s="715">
        <f t="shared" si="11"/>
        <v>100</v>
      </c>
      <c r="V39" s="714" t="s">
        <v>17</v>
      </c>
      <c r="W39" s="715">
        <f t="shared" si="12"/>
        <v>100</v>
      </c>
      <c r="X39" s="1490"/>
      <c r="Y39" s="3489"/>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0"/>
      <c r="M40" s="2894"/>
      <c r="N40" s="2894"/>
      <c r="O40" s="2952"/>
      <c r="P40" s="3489"/>
      <c r="Q40" s="1487" t="str">
        <f t="shared" si="14"/>
        <v>临街宽度及深度</v>
      </c>
      <c r="R40" s="714" t="s">
        <v>17</v>
      </c>
      <c r="S40" s="715">
        <f t="shared" si="10"/>
        <v>100</v>
      </c>
      <c r="T40" s="714" t="s">
        <v>17</v>
      </c>
      <c r="U40" s="715">
        <f t="shared" si="11"/>
        <v>100</v>
      </c>
      <c r="V40" s="714" t="s">
        <v>17</v>
      </c>
      <c r="W40" s="715">
        <f t="shared" si="12"/>
        <v>100</v>
      </c>
      <c r="X40" s="1490"/>
      <c r="Y40" s="3489"/>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5"/>
      <c r="M41" s="2896"/>
      <c r="N41" s="2896"/>
      <c r="O41" s="2950"/>
      <c r="P41" s="3489"/>
      <c r="Q41" s="1487" t="str">
        <f t="shared" si="14"/>
        <v>宗地开发程度</v>
      </c>
      <c r="R41" s="710" t="s">
        <v>17</v>
      </c>
      <c r="S41" s="711">
        <f t="shared" si="10"/>
        <v>100</v>
      </c>
      <c r="T41" s="710" t="s">
        <v>17</v>
      </c>
      <c r="U41" s="711">
        <f t="shared" si="11"/>
        <v>100</v>
      </c>
      <c r="V41" s="710" t="s">
        <v>17</v>
      </c>
      <c r="W41" s="711">
        <f t="shared" si="12"/>
        <v>100</v>
      </c>
      <c r="X41" s="712"/>
      <c r="Y41" s="3489"/>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0"/>
      <c r="M42" s="2894"/>
      <c r="N42" s="2894"/>
      <c r="O42" s="2952"/>
      <c r="P42" s="3489" t="s">
        <v>2145</v>
      </c>
      <c r="Q42" s="1487" t="str">
        <f t="shared" si="14"/>
        <v>工程地质条件</v>
      </c>
      <c r="R42" s="714" t="s">
        <v>17</v>
      </c>
      <c r="S42" s="715">
        <f t="shared" si="10"/>
        <v>100</v>
      </c>
      <c r="T42" s="714" t="s">
        <v>17</v>
      </c>
      <c r="U42" s="715">
        <f t="shared" si="11"/>
        <v>100</v>
      </c>
      <c r="V42" s="714" t="s">
        <v>17</v>
      </c>
      <c r="W42" s="715">
        <f t="shared" si="12"/>
        <v>100</v>
      </c>
      <c r="X42" s="1490"/>
      <c r="Y42" s="3489"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89"/>
      <c r="Q43" s="1487">
        <f t="shared" si="14"/>
        <v>111</v>
      </c>
      <c r="R43" s="714" t="s">
        <v>17</v>
      </c>
      <c r="S43" s="715">
        <f t="shared" si="10"/>
        <v>100</v>
      </c>
      <c r="T43" s="714" t="s">
        <v>17</v>
      </c>
      <c r="U43" s="715">
        <f t="shared" si="11"/>
        <v>100</v>
      </c>
      <c r="V43" s="714" t="s">
        <v>17</v>
      </c>
      <c r="W43" s="715">
        <f t="shared" si="12"/>
        <v>100</v>
      </c>
      <c r="X43" s="1490"/>
      <c r="Y43" s="3489"/>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89"/>
      <c r="Q44" s="1487">
        <f t="shared" si="14"/>
        <v>111</v>
      </c>
      <c r="R44" s="714" t="s">
        <v>17</v>
      </c>
      <c r="S44" s="715">
        <f t="shared" si="10"/>
        <v>100</v>
      </c>
      <c r="T44" s="714" t="s">
        <v>17</v>
      </c>
      <c r="U44" s="715">
        <f t="shared" si="11"/>
        <v>100</v>
      </c>
      <c r="V44" s="714" t="s">
        <v>17</v>
      </c>
      <c r="W44" s="715">
        <f t="shared" si="12"/>
        <v>100</v>
      </c>
      <c r="X44" s="1490"/>
      <c r="Y44" s="3489"/>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89"/>
      <c r="Q45" s="1487">
        <f t="shared" si="14"/>
        <v>111</v>
      </c>
      <c r="R45" s="717" t="s">
        <v>17</v>
      </c>
      <c r="S45" s="718">
        <f t="shared" si="10"/>
        <v>100</v>
      </c>
      <c r="T45" s="717" t="s">
        <v>17</v>
      </c>
      <c r="U45" s="718">
        <f t="shared" si="11"/>
        <v>100</v>
      </c>
      <c r="V45" s="717" t="s">
        <v>17</v>
      </c>
      <c r="W45" s="718">
        <f t="shared" si="12"/>
        <v>100</v>
      </c>
      <c r="X45" s="719"/>
      <c r="Y45" s="3489"/>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2"/>
      <c r="M46" s="2903"/>
      <c r="N46" s="2894"/>
      <c r="O46" s="2903"/>
      <c r="P46" s="3482" t="str">
        <f>A46</f>
        <v>成交单价</v>
      </c>
      <c r="Q46" s="3482"/>
      <c r="R46" s="3513">
        <f>E46</f>
        <v>0</v>
      </c>
      <c r="S46" s="3513"/>
      <c r="T46" s="3513">
        <f>G46</f>
        <v>0</v>
      </c>
      <c r="U46" s="3513"/>
      <c r="V46" s="3513">
        <f>I46</f>
        <v>0</v>
      </c>
      <c r="W46" s="3513"/>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2"/>
      <c r="M47" s="2903"/>
      <c r="N47" s="2903"/>
      <c r="O47" s="2903"/>
      <c r="P47" s="3482" t="str">
        <f>A47</f>
        <v>比较价值（元/平方米）</v>
      </c>
      <c r="Q47" s="3482"/>
      <c r="R47" s="3542" t="e">
        <f>ROUND(PRODUCT(R46,AA7:AA45),0)</f>
        <v>#DIV/0!</v>
      </c>
      <c r="S47" s="3542"/>
      <c r="T47" s="3542" t="e">
        <f>ROUND(PRODUCT(T46,AB7:AB45),0)</f>
        <v>#DIV/0!</v>
      </c>
      <c r="U47" s="3542"/>
      <c r="V47" s="3542" t="e">
        <f>ROUND(PRODUCT(V46,AC7:AC45),0)</f>
        <v>#DIV/0!</v>
      </c>
      <c r="W47" s="3542"/>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2"/>
      <c r="M48" s="2903"/>
      <c r="N48" s="2903"/>
      <c r="O48" s="2903"/>
      <c r="P48" s="3479" t="str">
        <f>A48</f>
        <v>估价对象XX用房的比较价值（楼面单价，元/平方米）</v>
      </c>
      <c r="Q48" s="3480"/>
      <c r="R48" s="3543" t="e">
        <f>ROUND(IF(D47="简单平均",AVERAGE(R47:W47),R47*F47+T47*H47+V47*J47),0)</f>
        <v>#DIV/0!</v>
      </c>
      <c r="S48" s="3543"/>
      <c r="T48" s="3543"/>
      <c r="U48" s="3543"/>
      <c r="V48" s="3543"/>
      <c r="W48" s="3543"/>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20" t="s">
        <v>2340</v>
      </c>
      <c r="D55" s="2121" t="s">
        <v>2341</v>
      </c>
      <c r="E55" s="642" t="s">
        <v>2342</v>
      </c>
      <c r="F55" s="1002" t="s">
        <v>2343</v>
      </c>
      <c r="G55" s="3497" t="s">
        <v>2344</v>
      </c>
      <c r="H55" s="3544"/>
      <c r="I55" s="140" t="s">
        <v>2345</v>
      </c>
      <c r="J55" s="2122">
        <f>项目基本情况!F35</f>
        <v>0</v>
      </c>
      <c r="K55" s="2123"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6">
        <v>1</v>
      </c>
      <c r="E56" s="646">
        <f>'数据-汇总表'!E8+'数据-汇总表'!E9</f>
        <v>15997.850000000002</v>
      </c>
      <c r="F56" s="998" t="e">
        <f t="shared" ref="F56:F64" si="15">ROUND(B56*E56/10000,0)</f>
        <v>#DIV/0!</v>
      </c>
      <c r="G56" s="3493"/>
      <c r="H56" s="3482"/>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0.6</v>
      </c>
      <c r="D57" s="1057">
        <v>0.25</v>
      </c>
      <c r="E57" s="650"/>
      <c r="F57" s="998" t="e">
        <f t="shared" si="15"/>
        <v>#DIV/0!</v>
      </c>
      <c r="G57" s="3227" t="s">
        <v>2349</v>
      </c>
      <c r="H57" s="999" t="str">
        <f>项目基本情况!B37</f>
        <v>四级</v>
      </c>
      <c r="I57" s="1003">
        <f>SUMIF(修正!A57:A68,H57,修正!B57:B68)</f>
        <v>0.6</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0.3</v>
      </c>
      <c r="D58" s="1057">
        <v>0.25</v>
      </c>
      <c r="E58" s="650"/>
      <c r="F58" s="998" t="e">
        <f t="shared" si="15"/>
        <v>#DIV/0!</v>
      </c>
      <c r="G58" s="3228"/>
      <c r="H58" s="999" t="str">
        <f>项目基本情况!B37</f>
        <v>四级</v>
      </c>
      <c r="I58" s="1003">
        <f>SUMIF(修正!A57:A68,H58,修正!C57:C68)</f>
        <v>0.3</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0.25</v>
      </c>
      <c r="D59" s="1057">
        <v>0.25</v>
      </c>
      <c r="E59" s="650"/>
      <c r="F59" s="998" t="e">
        <f t="shared" si="15"/>
        <v>#DIV/0!</v>
      </c>
      <c r="G59" s="3228"/>
      <c r="H59" s="999" t="str">
        <f>项目基本情况!B37</f>
        <v>四级</v>
      </c>
      <c r="I59" s="1003">
        <f>SUMIF(修正!A57:A68,H59,修正!D57:D68)</f>
        <v>0.25</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0.15</v>
      </c>
      <c r="D63" s="1057">
        <v>0.25</v>
      </c>
      <c r="E63" s="223">
        <f>'数据-汇总表'!E14</f>
        <v>14235.169999999998</v>
      </c>
      <c r="F63" s="998" t="e">
        <f t="shared" si="15"/>
        <v>#DIV/0!</v>
      </c>
      <c r="G63" s="2124" t="s">
        <v>2349</v>
      </c>
      <c r="H63" s="999" t="str">
        <f>项目基本情况!B37</f>
        <v>四级</v>
      </c>
      <c r="I63" s="1003">
        <f>SUMIF(修正!A57:A68,H63,修正!G57:G68)</f>
        <v>0.15</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30233.02</v>
      </c>
      <c r="F65" s="653" t="e">
        <f>IF(B46="楼面地价",SUM(F56:F64),ROUND(C48*E65/10000,0))</f>
        <v>#DIV/0!</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6" t="s">
        <v>2361</v>
      </c>
      <c r="B69" s="1222"/>
      <c r="C69" s="1297" t="str">
        <f>YEAR(C67)&amp;"-"&amp;ROUNDUP(MONTH(C67)/3,0)</f>
        <v>2022-3</v>
      </c>
      <c r="D69" s="1297" t="str">
        <f>YEAR(D67)&amp;"-"&amp;ROUNDUP(MONTH(D67)/3,0)</f>
        <v>2022-2</v>
      </c>
      <c r="E69" s="1297" t="str">
        <f t="shared" ref="E69:O69" si="19">YEAR(E67)&amp;"-"&amp;ROUNDUP(MONTH(E67)/3,0)</f>
        <v>2022-1</v>
      </c>
      <c r="F69" s="1297" t="str">
        <f t="shared" si="19"/>
        <v>2021-4</v>
      </c>
      <c r="G69" s="1297" t="str">
        <f t="shared" si="19"/>
        <v>2021-3</v>
      </c>
      <c r="H69" s="1297" t="str">
        <f t="shared" si="19"/>
        <v>2021-2</v>
      </c>
      <c r="I69" s="1297" t="str">
        <f t="shared" si="19"/>
        <v>2021-1</v>
      </c>
      <c r="J69" s="1297" t="str">
        <f t="shared" si="19"/>
        <v>2020-4</v>
      </c>
      <c r="K69" s="1297" t="str">
        <f t="shared" si="19"/>
        <v>2020-3</v>
      </c>
      <c r="L69" s="1297" t="str">
        <f t="shared" si="19"/>
        <v>2020-2</v>
      </c>
      <c r="M69" s="1297" t="str">
        <f t="shared" si="19"/>
        <v>2020-1</v>
      </c>
      <c r="N69" s="1297" t="str">
        <f t="shared" si="19"/>
        <v>2019-4</v>
      </c>
      <c r="O69" s="1297" t="str">
        <f t="shared" si="19"/>
        <v>2019-3</v>
      </c>
      <c r="P69" s="2954"/>
      <c r="Q69" s="2919"/>
      <c r="R69" s="2919"/>
      <c r="S69" s="2919"/>
      <c r="T69" s="2919"/>
      <c r="U69" s="2919"/>
      <c r="V69" s="2919"/>
      <c r="W69" s="2919"/>
      <c r="X69" s="2919"/>
      <c r="Y69" s="2919"/>
      <c r="Z69" s="2919"/>
      <c r="AA69" s="2919"/>
      <c r="AB69" s="2919"/>
      <c r="AC69" s="2919"/>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7"/>
      <c r="Q70" s="2837"/>
      <c r="R70" s="2837"/>
      <c r="S70" s="2837"/>
      <c r="T70" s="2837"/>
      <c r="U70" s="2837"/>
      <c r="V70" s="2837"/>
      <c r="W70" s="2837"/>
      <c r="X70" s="2837"/>
      <c r="Y70" s="2837"/>
      <c r="Z70" s="2837"/>
      <c r="AA70" s="2837"/>
      <c r="AB70" s="2837"/>
      <c r="AC70" s="2837"/>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7"/>
      <c r="S71" s="2837"/>
      <c r="T71" s="2837"/>
      <c r="U71" s="2837"/>
      <c r="V71" s="2837"/>
      <c r="W71" s="2837"/>
      <c r="X71" s="2837"/>
      <c r="Y71" s="2837"/>
      <c r="Z71" s="2837"/>
      <c r="AA71" s="2837"/>
      <c r="AB71" s="2837"/>
      <c r="AC71" s="2837"/>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7"/>
      <c r="S72" s="2837"/>
      <c r="T72" s="2837"/>
      <c r="U72" s="2837"/>
      <c r="V72" s="2837"/>
      <c r="W72" s="2837"/>
      <c r="X72" s="2837"/>
      <c r="Y72" s="2837"/>
      <c r="Z72" s="2837"/>
      <c r="AA72" s="2837"/>
      <c r="AB72" s="2837"/>
      <c r="AC72" s="2837"/>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7"/>
      <c r="S73" s="2837"/>
      <c r="T73" s="2837"/>
      <c r="U73" s="2837"/>
      <c r="V73" s="2837"/>
      <c r="W73" s="2837"/>
      <c r="X73" s="2837"/>
      <c r="Y73" s="2837"/>
      <c r="Z73" s="2837"/>
      <c r="AA73" s="2837"/>
      <c r="AB73" s="2837"/>
      <c r="AC73" s="2837"/>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7"/>
      <c r="S95" s="2837"/>
      <c r="T95" s="2837"/>
      <c r="U95" s="2837"/>
      <c r="V95" s="2837"/>
      <c r="W95" s="2837"/>
      <c r="X95" s="2837"/>
      <c r="Y95" s="2837"/>
      <c r="Z95" s="2837"/>
      <c r="AA95" s="2837"/>
      <c r="AB95" s="2837"/>
      <c r="AC95" s="2837"/>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7"/>
      <c r="S96" s="2837"/>
      <c r="T96" s="2837"/>
      <c r="U96" s="2837"/>
      <c r="V96" s="2837"/>
      <c r="W96" s="2837"/>
      <c r="X96" s="2837"/>
      <c r="Y96" s="2837"/>
      <c r="Z96" s="2837"/>
      <c r="AA96" s="2837"/>
      <c r="AB96" s="2837"/>
      <c r="AC96" s="2837"/>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7"/>
      <c r="S97" s="2837"/>
      <c r="T97" s="2837"/>
      <c r="U97" s="2837"/>
      <c r="V97" s="2837"/>
      <c r="W97" s="2837"/>
      <c r="X97" s="2837"/>
      <c r="Y97" s="2837"/>
      <c r="Z97" s="2837"/>
      <c r="AA97" s="2837"/>
      <c r="AB97" s="2837"/>
      <c r="AC97" s="2837"/>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7"/>
      <c r="S98" s="2837"/>
      <c r="T98" s="2837"/>
      <c r="U98" s="2837"/>
      <c r="V98" s="2837"/>
      <c r="W98" s="2837"/>
      <c r="X98" s="2837"/>
      <c r="Y98" s="2837"/>
      <c r="Z98" s="2837"/>
      <c r="AA98" s="2837"/>
      <c r="AB98" s="2837"/>
      <c r="AC98" s="2837"/>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97" t="s">
        <v>2226</v>
      </c>
      <c r="D4" s="3498"/>
      <c r="E4" s="3499" t="s">
        <v>2227</v>
      </c>
      <c r="F4" s="3500"/>
      <c r="G4" s="3497" t="s">
        <v>2228</v>
      </c>
      <c r="H4" s="3498"/>
      <c r="I4" s="3497" t="s">
        <v>2229</v>
      </c>
      <c r="J4" s="3498"/>
      <c r="K4" s="567" t="s">
        <v>2230</v>
      </c>
      <c r="L4" s="2893"/>
      <c r="M4" s="2894"/>
      <c r="N4" s="2894"/>
      <c r="O4" s="2894"/>
      <c r="P4" s="3501" t="s">
        <v>2231</v>
      </c>
      <c r="Q4" s="3502"/>
      <c r="R4" s="3507" t="s">
        <v>2227</v>
      </c>
      <c r="S4" s="3508"/>
      <c r="T4" s="3507" t="s">
        <v>2228</v>
      </c>
      <c r="U4" s="3508"/>
      <c r="V4" s="3513" t="s">
        <v>2229</v>
      </c>
      <c r="W4" s="3513"/>
      <c r="X4" s="1490"/>
      <c r="Y4" s="3507" t="s">
        <v>2231</v>
      </c>
      <c r="Z4" s="3508"/>
      <c r="AA4" s="3494" t="s">
        <v>2227</v>
      </c>
      <c r="AB4" s="3495" t="s">
        <v>2228</v>
      </c>
      <c r="AC4" s="3494" t="s">
        <v>2229</v>
      </c>
    </row>
    <row r="5" spans="1:29" ht="15">
      <c r="A5" s="364"/>
      <c r="B5" s="365"/>
      <c r="C5" s="3516" t="s">
        <v>2122</v>
      </c>
      <c r="D5" s="3517"/>
      <c r="E5" s="3523" t="s">
        <v>2123</v>
      </c>
      <c r="F5" s="3524"/>
      <c r="G5" s="3516" t="s">
        <v>2124</v>
      </c>
      <c r="H5" s="3517"/>
      <c r="I5" s="3516" t="s">
        <v>2125</v>
      </c>
      <c r="J5" s="3517"/>
      <c r="K5" s="567"/>
      <c r="L5" s="2893"/>
      <c r="M5" s="2894"/>
      <c r="N5" s="2894"/>
      <c r="O5" s="2894"/>
      <c r="P5" s="3503"/>
      <c r="Q5" s="3504"/>
      <c r="R5" s="3509"/>
      <c r="S5" s="3510"/>
      <c r="T5" s="3509"/>
      <c r="U5" s="3510"/>
      <c r="V5" s="3513"/>
      <c r="W5" s="3513"/>
      <c r="X5" s="1490"/>
      <c r="Y5" s="3509"/>
      <c r="Z5" s="3510"/>
      <c r="AA5" s="3495"/>
      <c r="AB5" s="3495"/>
      <c r="AC5" s="3495"/>
    </row>
    <row r="6" spans="1:29" ht="15.75" thickBot="1">
      <c r="A6" s="366"/>
      <c r="B6" s="367"/>
      <c r="C6" s="3545" t="s">
        <v>2376</v>
      </c>
      <c r="D6" s="3546"/>
      <c r="E6" s="3547" t="s">
        <v>2376</v>
      </c>
      <c r="F6" s="3548"/>
      <c r="G6" s="3545" t="s">
        <v>2376</v>
      </c>
      <c r="H6" s="3546"/>
      <c r="I6" s="3545" t="s">
        <v>2376</v>
      </c>
      <c r="J6" s="3546"/>
      <c r="K6" s="567" t="s">
        <v>2127</v>
      </c>
      <c r="L6" s="2893"/>
      <c r="M6" s="2894"/>
      <c r="N6" s="2894"/>
      <c r="O6" s="2894"/>
      <c r="P6" s="3505"/>
      <c r="Q6" s="3506"/>
      <c r="R6" s="3509"/>
      <c r="S6" s="3510"/>
      <c r="T6" s="3511"/>
      <c r="U6" s="3512"/>
      <c r="V6" s="3513"/>
      <c r="W6" s="3513"/>
      <c r="X6" s="1490"/>
      <c r="Y6" s="3511"/>
      <c r="Z6" s="3512"/>
      <c r="AA6" s="3496"/>
      <c r="AB6" s="3496"/>
      <c r="AC6" s="3496"/>
    </row>
    <row r="7" spans="1:29" s="113" customFormat="1" ht="15.75" thickBot="1">
      <c r="A7" s="368" t="s">
        <v>2128</v>
      </c>
      <c r="B7" s="369"/>
      <c r="C7" s="370">
        <f>'数据-取费表'!B2</f>
        <v>44799</v>
      </c>
      <c r="D7" s="371">
        <v>100</v>
      </c>
      <c r="E7" s="372"/>
      <c r="F7" s="373">
        <f>SUMIF(65:65,YEAR(E7)&amp;"-"&amp;INT((MONTH(E7)+2)/3),66:66)</f>
        <v>0</v>
      </c>
      <c r="G7" s="2111"/>
      <c r="H7" s="371">
        <f>SUMIF(65:65,YEAR(G7)&amp;"-"&amp;INT((MONTH(G7)+2)/3),66:66)</f>
        <v>0</v>
      </c>
      <c r="I7" s="2111"/>
      <c r="J7" s="371">
        <f>SUMIF(65:65,YEAR(I7)&amp;"-"&amp;INT((MONTH(I7)+2)/3),66:66)</f>
        <v>0</v>
      </c>
      <c r="K7" s="568"/>
      <c r="L7" s="2895"/>
      <c r="M7" s="2896"/>
      <c r="N7" s="2896"/>
      <c r="O7" s="2896"/>
      <c r="P7" s="3518" t="s">
        <v>2129</v>
      </c>
      <c r="Q7" s="3520"/>
      <c r="R7" s="710" t="s">
        <v>17</v>
      </c>
      <c r="S7" s="711">
        <f t="shared" ref="S7:S15" si="0">F7</f>
        <v>0</v>
      </c>
      <c r="T7" s="710" t="s">
        <v>17</v>
      </c>
      <c r="U7" s="711">
        <f t="shared" ref="U7:U15" si="1">H7</f>
        <v>0</v>
      </c>
      <c r="V7" s="710" t="s">
        <v>17</v>
      </c>
      <c r="W7" s="711">
        <f t="shared" ref="W7:W15" si="2">J7</f>
        <v>0</v>
      </c>
      <c r="X7" s="712"/>
      <c r="Y7" s="3518" t="s">
        <v>2129</v>
      </c>
      <c r="Z7" s="3519"/>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518" t="s">
        <v>2132</v>
      </c>
      <c r="Q8" s="3519"/>
      <c r="R8" s="710" t="s">
        <v>17</v>
      </c>
      <c r="S8" s="711">
        <f t="shared" si="0"/>
        <v>0</v>
      </c>
      <c r="T8" s="710" t="s">
        <v>17</v>
      </c>
      <c r="U8" s="711">
        <f t="shared" si="1"/>
        <v>0</v>
      </c>
      <c r="V8" s="710" t="s">
        <v>17</v>
      </c>
      <c r="W8" s="711">
        <f t="shared" si="2"/>
        <v>0</v>
      </c>
      <c r="X8" s="712"/>
      <c r="Y8" s="3518" t="s">
        <v>2132</v>
      </c>
      <c r="Z8" s="3519"/>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5"/>
      <c r="M9" s="2896"/>
      <c r="N9" s="2896"/>
      <c r="O9" s="2950"/>
      <c r="P9" s="3482" t="s">
        <v>2135</v>
      </c>
      <c r="Q9" s="1478" t="str">
        <f t="shared" ref="Q9:Q15" si="6">B9</f>
        <v>用途</v>
      </c>
      <c r="R9" s="710" t="s">
        <v>17</v>
      </c>
      <c r="S9" s="711">
        <f t="shared" si="0"/>
        <v>100</v>
      </c>
      <c r="T9" s="710" t="s">
        <v>17</v>
      </c>
      <c r="U9" s="711">
        <f t="shared" si="1"/>
        <v>100</v>
      </c>
      <c r="V9" s="710" t="s">
        <v>17</v>
      </c>
      <c r="W9" s="711">
        <f t="shared" si="2"/>
        <v>100</v>
      </c>
      <c r="X9" s="712"/>
      <c r="Y9" s="3354"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127</v>
      </c>
      <c r="G10" s="391"/>
      <c r="H10" s="132">
        <f>ROUND(100/'数据-取费表'!G16,0)</f>
        <v>127</v>
      </c>
      <c r="I10" s="391"/>
      <c r="J10" s="132">
        <f>ROUND(100/'数据-取费表'!G16,0)</f>
        <v>127</v>
      </c>
      <c r="K10" s="628"/>
      <c r="L10" s="2897"/>
      <c r="M10" s="2898"/>
      <c r="N10" s="2898"/>
      <c r="O10" s="2951"/>
      <c r="P10" s="3482"/>
      <c r="Q10" s="1478" t="str">
        <f t="shared" si="6"/>
        <v>土地使用年限（年）</v>
      </c>
      <c r="R10" s="710" t="s">
        <v>17</v>
      </c>
      <c r="S10" s="711">
        <f t="shared" si="0"/>
        <v>127</v>
      </c>
      <c r="T10" s="710" t="s">
        <v>17</v>
      </c>
      <c r="U10" s="711">
        <f t="shared" si="1"/>
        <v>127</v>
      </c>
      <c r="V10" s="710" t="s">
        <v>17</v>
      </c>
      <c r="W10" s="711">
        <f t="shared" si="2"/>
        <v>127</v>
      </c>
      <c r="X10" s="712"/>
      <c r="Y10" s="3354"/>
      <c r="Z10" s="55" t="str">
        <f t="shared" si="7"/>
        <v>土地使用年限（年）</v>
      </c>
      <c r="AA10" s="713">
        <f t="shared" si="3"/>
        <v>0.78740157480314965</v>
      </c>
      <c r="AB10" s="713">
        <f t="shared" si="4"/>
        <v>0.78740157480314965</v>
      </c>
      <c r="AC10" s="713">
        <f t="shared" si="5"/>
        <v>0.78740157480314965</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82"/>
      <c r="Q11" s="1478" t="str">
        <f t="shared" si="6"/>
        <v>容积率</v>
      </c>
      <c r="R11" s="710" t="s">
        <v>17</v>
      </c>
      <c r="S11" s="711" t="e">
        <f t="shared" si="0"/>
        <v>#N/A</v>
      </c>
      <c r="T11" s="710" t="s">
        <v>17</v>
      </c>
      <c r="U11" s="711" t="e">
        <f t="shared" si="1"/>
        <v>#N/A</v>
      </c>
      <c r="V11" s="710" t="s">
        <v>17</v>
      </c>
      <c r="W11" s="711" t="e">
        <f t="shared" si="2"/>
        <v>#N/A</v>
      </c>
      <c r="X11" s="712"/>
      <c r="Y11" s="3354"/>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82"/>
      <c r="Q12" s="1478">
        <f t="shared" si="6"/>
        <v>111</v>
      </c>
      <c r="R12" s="710" t="s">
        <v>17</v>
      </c>
      <c r="S12" s="711">
        <f t="shared" si="0"/>
        <v>100</v>
      </c>
      <c r="T12" s="710" t="s">
        <v>17</v>
      </c>
      <c r="U12" s="711">
        <f t="shared" si="1"/>
        <v>100</v>
      </c>
      <c r="V12" s="710" t="s">
        <v>17</v>
      </c>
      <c r="W12" s="711">
        <f t="shared" si="2"/>
        <v>100</v>
      </c>
      <c r="X12" s="712"/>
      <c r="Y12" s="3354"/>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82"/>
      <c r="Q13" s="1478">
        <f t="shared" si="6"/>
        <v>111</v>
      </c>
      <c r="R13" s="710" t="s">
        <v>17</v>
      </c>
      <c r="S13" s="711">
        <f t="shared" si="0"/>
        <v>100</v>
      </c>
      <c r="T13" s="710" t="s">
        <v>17</v>
      </c>
      <c r="U13" s="711">
        <f t="shared" si="1"/>
        <v>100</v>
      </c>
      <c r="V13" s="710" t="s">
        <v>17</v>
      </c>
      <c r="W13" s="711">
        <f t="shared" si="2"/>
        <v>100</v>
      </c>
      <c r="X13" s="712"/>
      <c r="Y13" s="3354"/>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82"/>
      <c r="Q14" s="1478">
        <f t="shared" si="6"/>
        <v>111</v>
      </c>
      <c r="R14" s="710" t="s">
        <v>17</v>
      </c>
      <c r="S14" s="711">
        <f t="shared" si="0"/>
        <v>100</v>
      </c>
      <c r="T14" s="710" t="s">
        <v>17</v>
      </c>
      <c r="U14" s="711">
        <f t="shared" si="1"/>
        <v>100</v>
      </c>
      <c r="V14" s="710" t="s">
        <v>17</v>
      </c>
      <c r="W14" s="711">
        <f t="shared" si="2"/>
        <v>100</v>
      </c>
      <c r="X14" s="712"/>
      <c r="Y14" s="3354"/>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84" t="s">
        <v>2140</v>
      </c>
      <c r="Q15" s="1487" t="str">
        <f t="shared" si="6"/>
        <v>产业集聚程度</v>
      </c>
      <c r="R15" s="714" t="s">
        <v>17</v>
      </c>
      <c r="S15" s="715">
        <f t="shared" si="0"/>
        <v>100</v>
      </c>
      <c r="T15" s="714" t="s">
        <v>17</v>
      </c>
      <c r="U15" s="715">
        <f t="shared" si="1"/>
        <v>100</v>
      </c>
      <c r="V15" s="714" t="s">
        <v>17</v>
      </c>
      <c r="W15" s="715">
        <f t="shared" si="2"/>
        <v>100</v>
      </c>
      <c r="X15" s="1490"/>
      <c r="Y15" s="3484"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0"/>
      <c r="M16" s="2894"/>
      <c r="N16" s="2894"/>
      <c r="O16" s="2952"/>
      <c r="P16" s="3485"/>
      <c r="Q16" s="1487"/>
      <c r="R16" s="714"/>
      <c r="S16" s="715"/>
      <c r="T16" s="714"/>
      <c r="U16" s="715"/>
      <c r="V16" s="714"/>
      <c r="W16" s="715"/>
      <c r="X16" s="1490"/>
      <c r="Y16" s="3485"/>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85"/>
      <c r="Q17" s="1487" t="str">
        <f>B17</f>
        <v>交通便捷度</v>
      </c>
      <c r="R17" s="714" t="s">
        <v>17</v>
      </c>
      <c r="S17" s="715">
        <f>F17</f>
        <v>100</v>
      </c>
      <c r="T17" s="714" t="s">
        <v>17</v>
      </c>
      <c r="U17" s="715">
        <f>H17</f>
        <v>100</v>
      </c>
      <c r="V17" s="714" t="s">
        <v>17</v>
      </c>
      <c r="W17" s="715">
        <f>J17</f>
        <v>100</v>
      </c>
      <c r="X17" s="1490"/>
      <c r="Y17" s="3485"/>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0"/>
      <c r="M18" s="2894"/>
      <c r="N18" s="2894"/>
      <c r="O18" s="2952"/>
      <c r="P18" s="3485"/>
      <c r="Q18" s="1487"/>
      <c r="R18" s="714"/>
      <c r="S18" s="715"/>
      <c r="T18" s="714"/>
      <c r="U18" s="715"/>
      <c r="V18" s="714"/>
      <c r="W18" s="715"/>
      <c r="X18" s="1490"/>
      <c r="Y18" s="3485"/>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85"/>
      <c r="Q19" s="1487" t="str">
        <f t="shared" ref="Q19:Q33" si="8">B19</f>
        <v>区域土地利用方向</v>
      </c>
      <c r="R19" s="714" t="s">
        <v>17</v>
      </c>
      <c r="S19" s="715">
        <f>F19</f>
        <v>100</v>
      </c>
      <c r="T19" s="714" t="s">
        <v>17</v>
      </c>
      <c r="U19" s="715">
        <f>H19</f>
        <v>100</v>
      </c>
      <c r="V19" s="714" t="s">
        <v>17</v>
      </c>
      <c r="W19" s="715">
        <f>J19</f>
        <v>100</v>
      </c>
      <c r="X19" s="1490"/>
      <c r="Y19" s="3485"/>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0"/>
      <c r="M20" s="2894"/>
      <c r="N20" s="2894"/>
      <c r="O20" s="2952"/>
      <c r="P20" s="3485"/>
      <c r="Q20" s="1487"/>
      <c r="R20" s="714"/>
      <c r="S20" s="715"/>
      <c r="T20" s="714"/>
      <c r="U20" s="715"/>
      <c r="V20" s="714"/>
      <c r="W20" s="715"/>
      <c r="X20" s="1490"/>
      <c r="Y20" s="3485"/>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85"/>
      <c r="Q21" s="1487" t="str">
        <f t="shared" si="8"/>
        <v>环境状况</v>
      </c>
      <c r="R21" s="714" t="s">
        <v>17</v>
      </c>
      <c r="S21" s="715">
        <f>F21</f>
        <v>100</v>
      </c>
      <c r="T21" s="714" t="s">
        <v>17</v>
      </c>
      <c r="U21" s="715">
        <f>H21</f>
        <v>100</v>
      </c>
      <c r="V21" s="714" t="s">
        <v>17</v>
      </c>
      <c r="W21" s="715">
        <f>J21</f>
        <v>100</v>
      </c>
      <c r="X21" s="1490"/>
      <c r="Y21" s="3485"/>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0"/>
      <c r="M22" s="2894"/>
      <c r="N22" s="2894"/>
      <c r="O22" s="2952"/>
      <c r="P22" s="3485"/>
      <c r="Q22" s="1487"/>
      <c r="R22" s="714"/>
      <c r="S22" s="715"/>
      <c r="T22" s="714"/>
      <c r="U22" s="715"/>
      <c r="V22" s="714"/>
      <c r="W22" s="715"/>
      <c r="X22" s="1490"/>
      <c r="Y22" s="3485"/>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85"/>
      <c r="Q23" s="1478" t="str">
        <f t="shared" si="8"/>
        <v>公共配套设施</v>
      </c>
      <c r="R23" s="710" t="s">
        <v>17</v>
      </c>
      <c r="S23" s="711">
        <f>F23</f>
        <v>100</v>
      </c>
      <c r="T23" s="710" t="s">
        <v>17</v>
      </c>
      <c r="U23" s="711">
        <f>H23</f>
        <v>100</v>
      </c>
      <c r="V23" s="710" t="s">
        <v>17</v>
      </c>
      <c r="W23" s="711">
        <f>J23</f>
        <v>100</v>
      </c>
      <c r="X23" s="712"/>
      <c r="Y23" s="3485"/>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5"/>
      <c r="M24" s="2896"/>
      <c r="N24" s="2896"/>
      <c r="O24" s="2950"/>
      <c r="P24" s="3485"/>
      <c r="Q24" s="1478"/>
      <c r="R24" s="710"/>
      <c r="S24" s="711"/>
      <c r="T24" s="710"/>
      <c r="U24" s="711"/>
      <c r="V24" s="710"/>
      <c r="W24" s="711"/>
      <c r="X24" s="712"/>
      <c r="Y24" s="3485"/>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85"/>
      <c r="Q25" s="1478" t="str">
        <f t="shared" ref="Q25" si="9">B25</f>
        <v>基础设施水平</v>
      </c>
      <c r="R25" s="710" t="s">
        <v>17</v>
      </c>
      <c r="S25" s="711">
        <f>F25</f>
        <v>100</v>
      </c>
      <c r="T25" s="710" t="s">
        <v>17</v>
      </c>
      <c r="U25" s="711">
        <f>H25</f>
        <v>100</v>
      </c>
      <c r="V25" s="710" t="s">
        <v>17</v>
      </c>
      <c r="W25" s="711">
        <f>J25</f>
        <v>100</v>
      </c>
      <c r="X25" s="712"/>
      <c r="Y25" s="3485"/>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5"/>
      <c r="M26" s="2896"/>
      <c r="N26" s="2896"/>
      <c r="O26" s="2950"/>
      <c r="P26" s="3485"/>
      <c r="Q26" s="1478"/>
      <c r="R26" s="710"/>
      <c r="S26" s="711"/>
      <c r="T26" s="710"/>
      <c r="U26" s="711"/>
      <c r="V26" s="710"/>
      <c r="W26" s="711"/>
      <c r="X26" s="712"/>
      <c r="Y26" s="3485"/>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85"/>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85"/>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85"/>
      <c r="Q28" s="1487" t="str">
        <f t="shared" si="8"/>
        <v>毗邻道路的类型与等级</v>
      </c>
      <c r="R28" s="714" t="s">
        <v>17</v>
      </c>
      <c r="S28" s="715">
        <f t="shared" si="10"/>
        <v>100</v>
      </c>
      <c r="T28" s="714" t="s">
        <v>17</v>
      </c>
      <c r="U28" s="715">
        <f t="shared" si="11"/>
        <v>100</v>
      </c>
      <c r="V28" s="714" t="s">
        <v>17</v>
      </c>
      <c r="W28" s="715">
        <f t="shared" si="12"/>
        <v>100</v>
      </c>
      <c r="X28" s="1490"/>
      <c r="Y28" s="3485"/>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0"/>
      <c r="M29" s="2894"/>
      <c r="N29" s="2894"/>
      <c r="O29" s="2952"/>
      <c r="P29" s="3485"/>
      <c r="Q29" s="1487"/>
      <c r="R29" s="714"/>
      <c r="S29" s="715"/>
      <c r="T29" s="714"/>
      <c r="U29" s="715"/>
      <c r="V29" s="714"/>
      <c r="W29" s="715"/>
      <c r="X29" s="1490"/>
      <c r="Y29" s="3485"/>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85"/>
      <c r="Q30" s="1487" t="str">
        <f t="shared" si="8"/>
        <v>土地级别</v>
      </c>
      <c r="R30" s="714" t="s">
        <v>17</v>
      </c>
      <c r="S30" s="715">
        <f t="shared" si="10"/>
        <v>100</v>
      </c>
      <c r="T30" s="714" t="s">
        <v>17</v>
      </c>
      <c r="U30" s="715">
        <f t="shared" si="11"/>
        <v>100</v>
      </c>
      <c r="V30" s="714" t="s">
        <v>17</v>
      </c>
      <c r="W30" s="715">
        <f t="shared" si="12"/>
        <v>100</v>
      </c>
      <c r="X30" s="1490"/>
      <c r="Y30" s="3485"/>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85"/>
      <c r="Q31" s="1487">
        <f t="shared" si="8"/>
        <v>111</v>
      </c>
      <c r="R31" s="714" t="s">
        <v>17</v>
      </c>
      <c r="S31" s="715">
        <f t="shared" si="10"/>
        <v>100</v>
      </c>
      <c r="T31" s="714" t="s">
        <v>17</v>
      </c>
      <c r="U31" s="715">
        <f t="shared" si="11"/>
        <v>100</v>
      </c>
      <c r="V31" s="714" t="s">
        <v>17</v>
      </c>
      <c r="W31" s="715">
        <f t="shared" si="12"/>
        <v>100</v>
      </c>
      <c r="X31" s="1490"/>
      <c r="Y31" s="3485"/>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40" t="s">
        <v>2145</v>
      </c>
      <c r="Q32" s="1487">
        <f t="shared" si="8"/>
        <v>111</v>
      </c>
      <c r="R32" s="714" t="s">
        <v>17</v>
      </c>
      <c r="S32" s="715">
        <f t="shared" si="10"/>
        <v>100</v>
      </c>
      <c r="T32" s="714" t="s">
        <v>17</v>
      </c>
      <c r="U32" s="715">
        <f t="shared" si="11"/>
        <v>100</v>
      </c>
      <c r="V32" s="714" t="s">
        <v>17</v>
      </c>
      <c r="W32" s="715">
        <f t="shared" si="12"/>
        <v>100</v>
      </c>
      <c r="X32" s="1490"/>
      <c r="Y32" s="3489"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89"/>
      <c r="Q33" s="1487">
        <f t="shared" si="8"/>
        <v>111</v>
      </c>
      <c r="R33" s="717" t="s">
        <v>17</v>
      </c>
      <c r="S33" s="718">
        <f t="shared" si="10"/>
        <v>100</v>
      </c>
      <c r="T33" s="717" t="s">
        <v>17</v>
      </c>
      <c r="U33" s="718">
        <f t="shared" si="11"/>
        <v>100</v>
      </c>
      <c r="V33" s="717" t="s">
        <v>17</v>
      </c>
      <c r="W33" s="718">
        <f t="shared" si="12"/>
        <v>100</v>
      </c>
      <c r="X33" s="719"/>
      <c r="Y33" s="3489"/>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89"/>
      <c r="Q34" s="1487" t="str">
        <f>B34</f>
        <v>宗地面积</v>
      </c>
      <c r="R34" s="714" t="s">
        <v>17</v>
      </c>
      <c r="S34" s="715" t="e">
        <f t="shared" si="10"/>
        <v>#N/A</v>
      </c>
      <c r="T34" s="714" t="s">
        <v>17</v>
      </c>
      <c r="U34" s="715" t="e">
        <f t="shared" si="11"/>
        <v>#N/A</v>
      </c>
      <c r="V34" s="714" t="s">
        <v>17</v>
      </c>
      <c r="W34" s="715" t="e">
        <f t="shared" si="12"/>
        <v>#N/A</v>
      </c>
      <c r="X34" s="1490"/>
      <c r="Y34" s="3489"/>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0"/>
      <c r="M35" s="2894"/>
      <c r="N35" s="2894"/>
      <c r="O35" s="2952"/>
      <c r="P35" s="3489"/>
      <c r="Q35" s="1487" t="str">
        <f t="shared" ref="Q35:Q40" si="14">B35</f>
        <v>宗地形状</v>
      </c>
      <c r="R35" s="714" t="s">
        <v>17</v>
      </c>
      <c r="S35" s="715">
        <f t="shared" si="10"/>
        <v>100</v>
      </c>
      <c r="T35" s="714" t="s">
        <v>17</v>
      </c>
      <c r="U35" s="715">
        <f t="shared" si="11"/>
        <v>100</v>
      </c>
      <c r="V35" s="714" t="s">
        <v>17</v>
      </c>
      <c r="W35" s="715">
        <f t="shared" si="12"/>
        <v>100</v>
      </c>
      <c r="X35" s="1490"/>
      <c r="Y35" s="3489"/>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5"/>
      <c r="M36" s="2896"/>
      <c r="N36" s="2896"/>
      <c r="O36" s="2950"/>
      <c r="P36" s="3489"/>
      <c r="Q36" s="1487" t="str">
        <f t="shared" si="14"/>
        <v>宗地开发程度</v>
      </c>
      <c r="R36" s="710" t="s">
        <v>17</v>
      </c>
      <c r="S36" s="711">
        <f t="shared" si="10"/>
        <v>100</v>
      </c>
      <c r="T36" s="710" t="s">
        <v>17</v>
      </c>
      <c r="U36" s="711">
        <f t="shared" si="11"/>
        <v>100</v>
      </c>
      <c r="V36" s="710" t="s">
        <v>17</v>
      </c>
      <c r="W36" s="711">
        <f t="shared" si="12"/>
        <v>100</v>
      </c>
      <c r="X36" s="712"/>
      <c r="Y36" s="3489"/>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0"/>
      <c r="M37" s="2894"/>
      <c r="N37" s="2894"/>
      <c r="O37" s="2952"/>
      <c r="P37" s="3489" t="s">
        <v>2145</v>
      </c>
      <c r="Q37" s="1487" t="str">
        <f t="shared" si="14"/>
        <v>工程地质条件</v>
      </c>
      <c r="R37" s="714" t="s">
        <v>17</v>
      </c>
      <c r="S37" s="715">
        <f t="shared" si="10"/>
        <v>100</v>
      </c>
      <c r="T37" s="714" t="s">
        <v>17</v>
      </c>
      <c r="U37" s="715">
        <f t="shared" si="11"/>
        <v>100</v>
      </c>
      <c r="V37" s="714" t="s">
        <v>17</v>
      </c>
      <c r="W37" s="715">
        <f t="shared" si="12"/>
        <v>100</v>
      </c>
      <c r="X37" s="1490"/>
      <c r="Y37" s="3489"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89"/>
      <c r="Q38" s="1487">
        <f t="shared" si="14"/>
        <v>111</v>
      </c>
      <c r="R38" s="714" t="s">
        <v>17</v>
      </c>
      <c r="S38" s="715">
        <f t="shared" si="10"/>
        <v>100</v>
      </c>
      <c r="T38" s="714" t="s">
        <v>17</v>
      </c>
      <c r="U38" s="715">
        <f t="shared" si="11"/>
        <v>100</v>
      </c>
      <c r="V38" s="714" t="s">
        <v>17</v>
      </c>
      <c r="W38" s="715">
        <f t="shared" si="12"/>
        <v>100</v>
      </c>
      <c r="X38" s="1490"/>
      <c r="Y38" s="3489"/>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89"/>
      <c r="Q39" s="1487">
        <f t="shared" si="14"/>
        <v>111</v>
      </c>
      <c r="R39" s="714" t="s">
        <v>17</v>
      </c>
      <c r="S39" s="715">
        <f t="shared" si="10"/>
        <v>100</v>
      </c>
      <c r="T39" s="714" t="s">
        <v>17</v>
      </c>
      <c r="U39" s="715">
        <f t="shared" si="11"/>
        <v>100</v>
      </c>
      <c r="V39" s="714" t="s">
        <v>17</v>
      </c>
      <c r="W39" s="715">
        <f t="shared" si="12"/>
        <v>100</v>
      </c>
      <c r="X39" s="1490"/>
      <c r="Y39" s="3489"/>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89"/>
      <c r="Q40" s="1487">
        <f t="shared" si="14"/>
        <v>111</v>
      </c>
      <c r="R40" s="717" t="s">
        <v>17</v>
      </c>
      <c r="S40" s="718">
        <f t="shared" si="10"/>
        <v>100</v>
      </c>
      <c r="T40" s="717" t="s">
        <v>17</v>
      </c>
      <c r="U40" s="718">
        <f t="shared" si="11"/>
        <v>100</v>
      </c>
      <c r="V40" s="717" t="s">
        <v>17</v>
      </c>
      <c r="W40" s="718">
        <f t="shared" si="12"/>
        <v>100</v>
      </c>
      <c r="X40" s="719"/>
      <c r="Y40" s="3489"/>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2"/>
      <c r="M41" s="2894"/>
      <c r="N41" s="2894"/>
      <c r="O41" s="2903"/>
      <c r="P41" s="3482" t="str">
        <f>A41</f>
        <v>成交单价</v>
      </c>
      <c r="Q41" s="3482"/>
      <c r="R41" s="3513">
        <f>E41</f>
        <v>0</v>
      </c>
      <c r="S41" s="3513"/>
      <c r="T41" s="3513">
        <f>G41</f>
        <v>0</v>
      </c>
      <c r="U41" s="3513"/>
      <c r="V41" s="3513">
        <f>I41</f>
        <v>0</v>
      </c>
      <c r="W41" s="3513"/>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2"/>
      <c r="M42" s="2894"/>
      <c r="N42" s="2894"/>
      <c r="O42" s="2903"/>
      <c r="P42" s="3482" t="str">
        <f>A42</f>
        <v>比较价值（元/平方米）</v>
      </c>
      <c r="Q42" s="3482"/>
      <c r="R42" s="3542" t="e">
        <f>ROUND(PRODUCT(R41,AA7:AA40),0)</f>
        <v>#DIV/0!</v>
      </c>
      <c r="S42" s="3542"/>
      <c r="T42" s="3542" t="e">
        <f>ROUND(PRODUCT(T41,AB7:AB40),0)</f>
        <v>#DIV/0!</v>
      </c>
      <c r="U42" s="3542"/>
      <c r="V42" s="3542" t="e">
        <f>ROUND(PRODUCT(V41,AC7:AC40),0)</f>
        <v>#DIV/0!</v>
      </c>
      <c r="W42" s="3542"/>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479" t="str">
        <f>A43</f>
        <v>估价对象XX用房的比较价值（楼面单价，元/平方米）</v>
      </c>
      <c r="Q43" s="3480"/>
      <c r="R43" s="3543" t="e">
        <f>ROUND(IF(D42="简单平均",AVERAGE(R42:W42),R42*F42+T42*H42+V42*J42),0)</f>
        <v>#DIV/0!</v>
      </c>
      <c r="S43" s="3543"/>
      <c r="T43" s="3543"/>
      <c r="U43" s="3543"/>
      <c r="V43" s="3543"/>
      <c r="W43" s="3543"/>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20" t="s">
        <v>2340</v>
      </c>
      <c r="D50" s="2121" t="s">
        <v>2341</v>
      </c>
      <c r="E50" s="642" t="s">
        <v>2342</v>
      </c>
      <c r="F50" s="643" t="s">
        <v>2343</v>
      </c>
      <c r="G50" s="3497" t="s">
        <v>2344</v>
      </c>
      <c r="H50" s="3544"/>
      <c r="I50" s="1491" t="s">
        <v>2380</v>
      </c>
      <c r="J50" s="1491">
        <f>项目基本情况!F35</f>
        <v>0</v>
      </c>
      <c r="K50" s="2123"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6">
        <v>1</v>
      </c>
      <c r="E51" s="646">
        <f>'数据-汇总表'!E8+'数据-汇总表'!E9</f>
        <v>15997.850000000002</v>
      </c>
      <c r="F51" s="647" t="e">
        <f t="shared" ref="F51:F60" si="15">ROUND(B51*E51/10000,0)</f>
        <v>#DIV/0!</v>
      </c>
      <c r="G51" s="3493"/>
      <c r="H51" s="3482"/>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0.6</v>
      </c>
      <c r="D52" s="1057">
        <v>0.25</v>
      </c>
      <c r="E52" s="650"/>
      <c r="F52" s="647" t="e">
        <f t="shared" si="15"/>
        <v>#DIV/0!</v>
      </c>
      <c r="G52" s="3227" t="s">
        <v>2349</v>
      </c>
      <c r="H52" s="999" t="str">
        <f>项目基本情况!B37</f>
        <v>四级</v>
      </c>
      <c r="I52" s="860">
        <f>SUMIF(修正!A57:A68,H52,修正!B57:B68)</f>
        <v>0.6</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0.3</v>
      </c>
      <c r="D53" s="1057">
        <v>0.25</v>
      </c>
      <c r="E53" s="650"/>
      <c r="F53" s="647" t="e">
        <f t="shared" si="15"/>
        <v>#DIV/0!</v>
      </c>
      <c r="G53" s="3228"/>
      <c r="H53" s="999" t="str">
        <f>项目基本情况!B37</f>
        <v>四级</v>
      </c>
      <c r="I53" s="860">
        <f>SUMIF(修正!A57:A68,H53,修正!C57:C68)</f>
        <v>0.3</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0.25</v>
      </c>
      <c r="D54" s="1057">
        <v>0.25</v>
      </c>
      <c r="E54" s="650"/>
      <c r="F54" s="647" t="e">
        <f t="shared" si="15"/>
        <v>#DIV/0!</v>
      </c>
      <c r="G54" s="3228"/>
      <c r="H54" s="999" t="str">
        <f>项目基本情况!B37</f>
        <v>四级</v>
      </c>
      <c r="I54" s="860">
        <f>SUMIF(修正!A57:A68,H54,修正!D57:D68)</f>
        <v>0.25</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0.15</v>
      </c>
      <c r="D59" s="1057">
        <v>0.25</v>
      </c>
      <c r="E59" s="223">
        <f>'数据-汇总表'!E14</f>
        <v>14235.169999999998</v>
      </c>
      <c r="F59" s="647" t="e">
        <f t="shared" si="15"/>
        <v>#DIV/0!</v>
      </c>
      <c r="G59" s="2124" t="s">
        <v>2349</v>
      </c>
      <c r="H59" s="999" t="str">
        <f>项目基本情况!B37</f>
        <v>四级</v>
      </c>
      <c r="I59" s="860">
        <f>SUMIF(修正!A57:A68,H59,修正!G57:G68)</f>
        <v>0.15</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18060.05</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6" t="s">
        <v>2361</v>
      </c>
      <c r="B65" s="1222"/>
      <c r="C65" s="1297" t="str">
        <f>YEAR(C63)&amp;"-"&amp;ROUNDUP(MONTH(C63)/3,0)</f>
        <v>2022-3</v>
      </c>
      <c r="D65" s="1297" t="str">
        <f t="shared" ref="D65:O65" si="19">YEAR(D63)&amp;"-"&amp;ROUNDUP(MONTH(D63)/3,0)</f>
        <v>2022-2</v>
      </c>
      <c r="E65" s="1297" t="str">
        <f t="shared" si="19"/>
        <v>2022-1</v>
      </c>
      <c r="F65" s="1297" t="str">
        <f t="shared" si="19"/>
        <v>2021-4</v>
      </c>
      <c r="G65" s="1297" t="str">
        <f t="shared" si="19"/>
        <v>2021-3</v>
      </c>
      <c r="H65" s="1297" t="str">
        <f t="shared" si="19"/>
        <v>2021-2</v>
      </c>
      <c r="I65" s="1297" t="str">
        <f t="shared" si="19"/>
        <v>2021-1</v>
      </c>
      <c r="J65" s="1297" t="str">
        <f t="shared" si="19"/>
        <v>2020-4</v>
      </c>
      <c r="K65" s="1297" t="str">
        <f t="shared" si="19"/>
        <v>2020-3</v>
      </c>
      <c r="L65" s="1297" t="str">
        <f t="shared" si="19"/>
        <v>2020-2</v>
      </c>
      <c r="M65" s="1297" t="str">
        <f t="shared" si="19"/>
        <v>2020-1</v>
      </c>
      <c r="N65" s="1297" t="str">
        <f t="shared" si="19"/>
        <v>2019-4</v>
      </c>
      <c r="O65" s="1297" t="str">
        <f t="shared" si="19"/>
        <v>2019-3</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7"/>
      <c r="Q66" s="2837"/>
      <c r="R66" s="2837"/>
      <c r="S66" s="2837"/>
      <c r="T66" s="2837"/>
      <c r="U66" s="2837"/>
      <c r="V66" s="2837"/>
      <c r="W66" s="2837"/>
      <c r="X66" s="2837"/>
      <c r="Y66" s="2837"/>
      <c r="Z66" s="2837"/>
      <c r="AA66" s="2837"/>
      <c r="AB66" s="2837"/>
      <c r="AC66" s="2837"/>
      <c r="AD66" s="2837"/>
      <c r="AE66" s="2837"/>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7"/>
      <c r="S67" s="2837"/>
      <c r="T67" s="2837"/>
      <c r="U67" s="2837"/>
      <c r="V67" s="2837"/>
      <c r="W67" s="2837"/>
      <c r="X67" s="2837"/>
      <c r="Y67" s="2837"/>
      <c r="Z67" s="2837"/>
      <c r="AA67" s="2837"/>
      <c r="AB67" s="2837"/>
      <c r="AC67" s="2837"/>
      <c r="AD67" s="2837"/>
      <c r="AE67" s="2837"/>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7"/>
      <c r="S68" s="2837"/>
      <c r="T68" s="2837"/>
      <c r="U68" s="2837"/>
      <c r="V68" s="2837"/>
      <c r="W68" s="2837"/>
      <c r="X68" s="2837"/>
      <c r="Y68" s="2837"/>
      <c r="Z68" s="2837"/>
      <c r="AA68" s="2837"/>
      <c r="AB68" s="2837"/>
      <c r="AC68" s="2837"/>
      <c r="AD68" s="2837"/>
      <c r="AE68" s="2837"/>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7"/>
      <c r="S69" s="2837"/>
      <c r="T69" s="2837"/>
      <c r="U69" s="2837"/>
      <c r="V69" s="2837"/>
      <c r="W69" s="2837"/>
      <c r="X69" s="2837"/>
      <c r="Y69" s="2837"/>
      <c r="Z69" s="2837"/>
      <c r="AA69" s="2837"/>
      <c r="AB69" s="2837"/>
      <c r="AC69" s="2837"/>
      <c r="AD69" s="2837"/>
      <c r="AE69" s="2837"/>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7"/>
      <c r="S87" s="2837"/>
      <c r="T87" s="2837"/>
      <c r="U87" s="2837"/>
      <c r="V87" s="2837"/>
      <c r="W87" s="2837"/>
      <c r="X87" s="2837"/>
      <c r="Y87" s="2837"/>
      <c r="Z87" s="2837"/>
      <c r="AA87" s="2837"/>
      <c r="AB87" s="2837"/>
      <c r="AC87" s="2837"/>
      <c r="AD87" s="2837"/>
      <c r="AE87" s="283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7"/>
      <c r="S88" s="2837"/>
      <c r="T88" s="2837"/>
      <c r="U88" s="2837"/>
      <c r="V88" s="2837"/>
      <c r="W88" s="2837"/>
      <c r="X88" s="2837"/>
      <c r="Y88" s="2837"/>
      <c r="Z88" s="2837"/>
      <c r="AA88" s="2837"/>
      <c r="AB88" s="2837"/>
      <c r="AC88" s="2837"/>
      <c r="AD88" s="2837"/>
      <c r="AE88" s="2837"/>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7"/>
      <c r="S89" s="2837"/>
      <c r="T89" s="2837"/>
      <c r="U89" s="2837"/>
      <c r="V89" s="2837"/>
      <c r="W89" s="2837"/>
      <c r="X89" s="2837"/>
      <c r="Y89" s="2837"/>
      <c r="Z89" s="2837"/>
      <c r="AA89" s="2837"/>
      <c r="AB89" s="2837"/>
      <c r="AC89" s="2837"/>
      <c r="AD89" s="2837"/>
      <c r="AE89" s="283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7"/>
      <c r="S90" s="2837"/>
      <c r="T90" s="2837"/>
      <c r="U90" s="2837"/>
      <c r="V90" s="2837"/>
      <c r="W90" s="2837"/>
      <c r="X90" s="2837"/>
      <c r="Y90" s="2837"/>
      <c r="Z90" s="2837"/>
      <c r="AA90" s="2837"/>
      <c r="AB90" s="2837"/>
      <c r="AC90" s="2837"/>
      <c r="AD90" s="2837"/>
      <c r="AE90" s="2837"/>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f>IF(E2="商业",项目基本情况!B37,IF(E2="办公",项目基本情况!C37,IF(E2="住宅",项目基本情况!D37,项目基本情况!E37)))</f>
        <v>0</v>
      </c>
      <c r="H2" s="2137" t="s">
        <v>2395</v>
      </c>
      <c r="I2" s="2139">
        <f>IF(E2="商业",项目基本情况!B38,IF(E2="办公",项目基本情况!C38,IF(E2="住宅",项目基本情况!D38,项目基本情况!E38)))</f>
        <v>0</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0</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0.89</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0</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52"/>
      <c r="B4" s="3553"/>
      <c r="C4" s="3553"/>
      <c r="D4" s="3554"/>
      <c r="E4" s="3554"/>
      <c r="F4" s="3554"/>
      <c r="G4" s="3554"/>
      <c r="H4" s="3554"/>
      <c r="I4" s="3554"/>
      <c r="J4" s="3555"/>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0</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0</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0</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56"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0</v>
      </c>
      <c r="T7" s="1327" t="e">
        <f t="shared" si="0"/>
        <v>#DIV/0!</v>
      </c>
      <c r="U7" s="1328"/>
      <c r="V7" s="1327" t="e">
        <f t="shared" si="1"/>
        <v>#DIV/0!</v>
      </c>
      <c r="W7" s="1493" t="s">
        <v>2414</v>
      </c>
      <c r="X7" s="1329">
        <f>G2</f>
        <v>0</v>
      </c>
      <c r="Y7" s="1329" t="s">
        <v>2415</v>
      </c>
      <c r="Z7" s="1330">
        <f>G3</f>
        <v>0.89</v>
      </c>
      <c r="AA7" s="1331"/>
      <c r="AB7" s="1331"/>
      <c r="AC7" s="1332"/>
      <c r="AD7" s="1333"/>
      <c r="AE7" s="1333"/>
      <c r="AF7" s="1333"/>
      <c r="AG7" s="1333"/>
      <c r="AH7" s="1333"/>
      <c r="AI7" s="1333"/>
      <c r="AJ7" s="1334"/>
    </row>
    <row r="8" spans="1:36" ht="15">
      <c r="A8" s="3557"/>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49" t="s">
        <v>2419</v>
      </c>
      <c r="X8" s="3550"/>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57"/>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51"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57"/>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51"/>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57"/>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51" t="s">
        <v>2443</v>
      </c>
      <c r="X11" s="1339" t="s">
        <v>2444</v>
      </c>
      <c r="Y11" s="1340">
        <f>$G$3</f>
        <v>0.89</v>
      </c>
      <c r="Z11" s="1340">
        <f t="shared" ref="Z11:AJ11" si="3">$G$3</f>
        <v>0.89</v>
      </c>
      <c r="AA11" s="1340">
        <f t="shared" si="3"/>
        <v>0.89</v>
      </c>
      <c r="AB11" s="1340">
        <f t="shared" si="3"/>
        <v>0.89</v>
      </c>
      <c r="AC11" s="1340">
        <f t="shared" si="3"/>
        <v>0.89</v>
      </c>
      <c r="AD11" s="1340">
        <f t="shared" si="3"/>
        <v>0.89</v>
      </c>
      <c r="AE11" s="1340">
        <f t="shared" si="3"/>
        <v>0.89</v>
      </c>
      <c r="AF11" s="1340">
        <f t="shared" si="3"/>
        <v>0.89</v>
      </c>
      <c r="AG11" s="1340">
        <f t="shared" si="3"/>
        <v>0.89</v>
      </c>
      <c r="AH11" s="1340">
        <f t="shared" si="3"/>
        <v>0.89</v>
      </c>
      <c r="AI11" s="1340">
        <f t="shared" si="3"/>
        <v>0.89</v>
      </c>
      <c r="AJ11" s="1340">
        <f t="shared" si="3"/>
        <v>0.89</v>
      </c>
    </row>
    <row r="12" spans="1:36" ht="25.5" thickBot="1">
      <c r="A12" s="3556"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51"/>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58"/>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51"/>
      <c r="X13" s="1341"/>
      <c r="Y13" s="1338">
        <f>(-0.163*(Y12^2)-0.59*Y12+7617)*(10^(-4))/Y11</f>
        <v>0.85584269662921353</v>
      </c>
      <c r="Z13" s="1338">
        <f t="shared" ref="Z13:AJ13" si="5">(-0.163*(Z12^2)-0.59*Z12+7617)*(10^(-4))/Z11</f>
        <v>0.85584269662921353</v>
      </c>
      <c r="AA13" s="1338">
        <f t="shared" si="5"/>
        <v>0.85584269662921353</v>
      </c>
      <c r="AB13" s="1338">
        <f t="shared" si="5"/>
        <v>0.85584269662921353</v>
      </c>
      <c r="AC13" s="1338">
        <f t="shared" si="5"/>
        <v>0.85584269662921353</v>
      </c>
      <c r="AD13" s="1338">
        <f t="shared" si="5"/>
        <v>0.85584269662921353</v>
      </c>
      <c r="AE13" s="1338">
        <f t="shared" si="5"/>
        <v>0.85584269662921353</v>
      </c>
      <c r="AF13" s="1338">
        <f t="shared" si="5"/>
        <v>0.85584269662921353</v>
      </c>
      <c r="AG13" s="1338">
        <f t="shared" si="5"/>
        <v>0.85584269662921353</v>
      </c>
      <c r="AH13" s="1338">
        <f t="shared" si="5"/>
        <v>0.85584269662921353</v>
      </c>
      <c r="AI13" s="1338">
        <f t="shared" si="5"/>
        <v>0.85584269662921353</v>
      </c>
      <c r="AJ13" s="1338">
        <f t="shared" si="5"/>
        <v>0.85584269662921353</v>
      </c>
    </row>
    <row r="14" spans="1:36" ht="15">
      <c r="A14" s="3558"/>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9"/>
      <c r="AE14" s="2969"/>
      <c r="AF14" s="2969"/>
      <c r="AG14" s="2969"/>
      <c r="AH14" s="2969"/>
      <c r="AI14" s="2969"/>
      <c r="AJ14" s="2970"/>
    </row>
    <row r="15" spans="1:36" ht="15.75" thickBot="1">
      <c r="A15" s="3559"/>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9"/>
      <c r="AE15" s="2969"/>
      <c r="AF15" s="2969"/>
      <c r="AG15" s="2969"/>
      <c r="AH15" s="2969"/>
      <c r="AI15" s="2969"/>
      <c r="AJ15" s="2970"/>
    </row>
    <row r="16" spans="1:36" ht="24.6" customHeight="1">
      <c r="A16" s="3556" t="s">
        <v>2462</v>
      </c>
      <c r="B16" s="2160" t="s">
        <v>2463</v>
      </c>
      <c r="C16" s="2322" t="e">
        <f>ROUND(IF(F17="与级别开发程度一致",0,(G17-E17)/C17),0)</f>
        <v>#DIV/0!</v>
      </c>
      <c r="D16" s="3572" t="s">
        <v>2467</v>
      </c>
      <c r="E16" s="3573"/>
      <c r="F16" s="3572" t="s">
        <v>2464</v>
      </c>
      <c r="G16" s="3573"/>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9"/>
      <c r="AE16" s="2969"/>
      <c r="AF16" s="2969"/>
      <c r="AG16" s="2969"/>
      <c r="AH16" s="2969"/>
      <c r="AI16" s="2969"/>
      <c r="AJ16" s="2970"/>
    </row>
    <row r="17" spans="1:37" ht="13.5" thickBot="1">
      <c r="A17" s="3560"/>
      <c r="B17" s="2333" t="s">
        <v>2466</v>
      </c>
      <c r="C17" s="2334">
        <f>SUMPRODUCT((修正!A2:A7=E2)*(修正!B1:M1=G2)*(修正!B2:M7))</f>
        <v>0</v>
      </c>
      <c r="D17" s="193" t="str">
        <f>IF(OR(G2="八级",G2="九级",G2="十级",G2="十一级",G2="十二级"),"五通一平","七通一平")</f>
        <v>七通一平</v>
      </c>
      <c r="E17" s="2323">
        <f>SUMPRODUCT((修正!B1:M1=G2)*(修正!B17:M17))</f>
        <v>0</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8"/>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44799</v>
      </c>
      <c r="H19" s="2203"/>
      <c r="I19" s="848" t="str">
        <f>IF(H19="季度增幅（自定义）",SUMIF(N21:N24,E2,O21:O24),"")</f>
        <v/>
      </c>
      <c r="J19" s="2200"/>
      <c r="K19" s="1240"/>
      <c r="L19" s="2204" t="s">
        <v>2473</v>
      </c>
      <c r="M19" s="1449">
        <f>ROUND(SUMIF(地价!B2:F2,E2,地价!B37:F37),0)</f>
        <v>0</v>
      </c>
      <c r="N19" s="2205" t="s">
        <v>2474</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71"/>
      <c r="AH19" s="2291"/>
      <c r="AI19" s="2972"/>
      <c r="AJ19" s="2972"/>
      <c r="AK19" s="2206"/>
    </row>
    <row r="20" spans="1:37" s="2153" customFormat="1" ht="27.75" thickBot="1">
      <c r="A20" s="2207" t="s">
        <v>629</v>
      </c>
      <c r="B20" s="2208" t="s">
        <v>2475</v>
      </c>
      <c r="C20" s="850" t="e">
        <f>ROUND(POWER(1+G20,J20-I20)*(POWER(1+G20,I20)-1)/(POWER(1+G20,J20)-1),4)</f>
        <v>#DIV/0!</v>
      </c>
      <c r="D20" s="2209" t="s">
        <v>2476</v>
      </c>
      <c r="E20" s="1456">
        <f>存贷款利率!E22/100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3" customFormat="1" ht="15">
      <c r="A21" s="2214" t="s">
        <v>630</v>
      </c>
      <c r="B21" s="2215" t="s">
        <v>2482</v>
      </c>
      <c r="C21" s="857">
        <f>IF(B21="容积率修正",IF(G3&lt;=10,D22,J22),C23)</f>
        <v>0</v>
      </c>
      <c r="D21" s="2216"/>
      <c r="E21" s="2216"/>
      <c r="F21" s="2216"/>
      <c r="G21" s="2216"/>
      <c r="H21" s="2216"/>
      <c r="I21" s="2216"/>
      <c r="J21" s="2217"/>
      <c r="K21" s="1240"/>
      <c r="L21" s="2968"/>
      <c r="M21" s="2968"/>
      <c r="N21" s="2218" t="s">
        <v>2483</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3" customFormat="1" ht="14.25">
      <c r="A22" s="2092" t="s">
        <v>2484</v>
      </c>
      <c r="B22" s="2219" t="s">
        <v>2485</v>
      </c>
      <c r="C22" s="1487" t="s">
        <v>2486</v>
      </c>
      <c r="D22" s="1487">
        <f>IF(E22=G22,F22,IF(G3&lt;=10,ROUND(F22+(H22-F22)*(G3-E22)/(G22-E22),4),"——"))</f>
        <v>0</v>
      </c>
      <c r="E22" s="837">
        <f>ROUNDDOWN(G3,1)</f>
        <v>0.8</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0.9</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7" t="s">
        <v>155</v>
      </c>
      <c r="J22" s="858" t="str">
        <f>IF(G3&gt;10,D113,"——")</f>
        <v>——</v>
      </c>
      <c r="K22" s="1240"/>
      <c r="L22" s="2968"/>
      <c r="M22" s="2968"/>
      <c r="N22" s="2218" t="s">
        <v>2487</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8"/>
      <c r="M24" s="2968"/>
      <c r="N24" s="2228" t="s">
        <v>2492</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7" t="s">
        <v>632</v>
      </c>
      <c r="B25" s="2229" t="s">
        <v>2493</v>
      </c>
      <c r="C25" s="851"/>
      <c r="D25" s="2163"/>
      <c r="E25" s="2163"/>
      <c r="F25" s="2230"/>
      <c r="G25" s="2163"/>
      <c r="H25" s="2163"/>
      <c r="I25" s="2163"/>
      <c r="J25" s="2164"/>
      <c r="K25" s="1233"/>
      <c r="L25" s="2134"/>
      <c r="M25" s="2134"/>
      <c r="N25" s="2963" t="s">
        <v>2494</v>
      </c>
      <c r="O25" s="2964"/>
      <c r="P25" s="296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6" t="s">
        <v>2393</v>
      </c>
      <c r="M26" s="2161" t="s">
        <v>2458</v>
      </c>
      <c r="N26" s="2161" t="s">
        <v>2459</v>
      </c>
      <c r="O26" s="2161" t="s">
        <v>2460</v>
      </c>
      <c r="P26" s="2967"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69"/>
      <c r="B33" s="2263" t="s">
        <v>2509</v>
      </c>
      <c r="C33" s="180" t="e">
        <f>ROUND(D5*C19*C20*C24*F33,0)</f>
        <v>#DIV/0!</v>
      </c>
      <c r="D33" s="2247"/>
      <c r="E33" s="176" t="e">
        <f>ROUND(C33*D33/10000,0)</f>
        <v>#DIV/0!</v>
      </c>
      <c r="F33" s="176">
        <f>SUMIF(修正!A57:A68,G2,修正!B57:B68)</f>
        <v>0</v>
      </c>
      <c r="G33" s="176" t="e">
        <f t="shared" ref="G33" si="6">ROUND(IF(E2="工业",C33*$M$39,C33*$M$38),0)</f>
        <v>#DIV/0!</v>
      </c>
      <c r="H33" s="176">
        <f>D33</f>
        <v>0</v>
      </c>
      <c r="I33" s="176" t="e">
        <f>ROUND(G33*H33/10000,0)</f>
        <v>#DIV/0!</v>
      </c>
      <c r="J33" s="3574"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70"/>
      <c r="B34" s="2180" t="s">
        <v>2510</v>
      </c>
      <c r="C34" s="180" t="e">
        <f>ROUND(D5*C19*C20*C24*F34,0)</f>
        <v>#DIV/0!</v>
      </c>
      <c r="D34" s="2247"/>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70"/>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70"/>
      <c r="B35" s="2180" t="s">
        <v>2511</v>
      </c>
      <c r="C35" s="180" t="e">
        <f>ROUND(D5*C19*C20*C24*F35,0)</f>
        <v>#DIV/0!</v>
      </c>
      <c r="D35" s="2247"/>
      <c r="E35" s="176" t="e">
        <f t="shared" si="7"/>
        <v>#DIV/0!</v>
      </c>
      <c r="F35" s="176">
        <f>SUMIF(修正!A57:A68,G2,修正!D57:D68)</f>
        <v>0</v>
      </c>
      <c r="G35" s="176" t="e">
        <f>ROUND(IF(E2="工业",C35*$M$39,C35*$M$38),0)</f>
        <v>#DIV/0!</v>
      </c>
      <c r="H35" s="176">
        <f t="shared" si="8"/>
        <v>0</v>
      </c>
      <c r="I35" s="176" t="e">
        <f t="shared" si="9"/>
        <v>#DIV/0!</v>
      </c>
      <c r="J35" s="3570"/>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71"/>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71"/>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61" t="s">
        <v>2550</v>
      </c>
      <c r="B90" s="3561"/>
      <c r="C90" s="3561"/>
      <c r="D90" s="3561"/>
      <c r="E90" s="3561"/>
      <c r="F90" s="3561"/>
      <c r="G90" s="3561"/>
      <c r="H90" s="3561"/>
      <c r="I90" s="3561"/>
      <c r="J90" s="3561"/>
      <c r="K90" s="2294"/>
      <c r="L90" s="2294"/>
      <c r="M90" s="2294"/>
      <c r="N90" s="2294"/>
    </row>
    <row r="91" spans="1:37">
      <c r="A91" s="3563" t="s">
        <v>2551</v>
      </c>
      <c r="B91" s="3563" t="s">
        <v>2552</v>
      </c>
      <c r="C91" s="2248" t="s">
        <v>2553</v>
      </c>
      <c r="D91" s="2249"/>
      <c r="E91" s="2249"/>
      <c r="F91" s="2249"/>
      <c r="G91" s="2249"/>
      <c r="H91" s="2249"/>
      <c r="I91" s="2249"/>
      <c r="J91" s="2295"/>
      <c r="K91" s="2296"/>
      <c r="L91" s="2296"/>
      <c r="M91" s="2296"/>
      <c r="N91" s="2296"/>
    </row>
    <row r="92" spans="1:37">
      <c r="A92" s="3563"/>
      <c r="B92" s="3563"/>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64"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65"/>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65"/>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65"/>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65"/>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65"/>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65"/>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66"/>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64" t="s">
        <v>2555</v>
      </c>
      <c r="B101" s="2301" t="s">
        <v>2556</v>
      </c>
      <c r="C101" s="2302">
        <f>$G$3</f>
        <v>0.89</v>
      </c>
      <c r="D101" s="2302">
        <f t="shared" ref="D101:N101" si="31">$G$3</f>
        <v>0.89</v>
      </c>
      <c r="E101" s="2302">
        <f t="shared" si="31"/>
        <v>0.89</v>
      </c>
      <c r="F101" s="2302">
        <f t="shared" si="31"/>
        <v>0.89</v>
      </c>
      <c r="G101" s="2302">
        <f t="shared" si="31"/>
        <v>0.89</v>
      </c>
      <c r="H101" s="2302">
        <f t="shared" si="31"/>
        <v>0.89</v>
      </c>
      <c r="I101" s="2302">
        <f t="shared" si="31"/>
        <v>0.89</v>
      </c>
      <c r="J101" s="2302">
        <f t="shared" si="31"/>
        <v>0.89</v>
      </c>
      <c r="K101" s="2302">
        <f t="shared" si="31"/>
        <v>0.89</v>
      </c>
      <c r="L101" s="2302">
        <f t="shared" si="31"/>
        <v>0.89</v>
      </c>
      <c r="M101" s="2302">
        <f t="shared" si="31"/>
        <v>0.89</v>
      </c>
      <c r="N101" s="2302">
        <f t="shared" si="31"/>
        <v>0.89</v>
      </c>
    </row>
    <row r="102" spans="1:14">
      <c r="A102" s="3565"/>
      <c r="B102" s="2297">
        <v>1</v>
      </c>
      <c r="C102" s="2298">
        <f>1.9362/C101</f>
        <v>2.1755056179775281</v>
      </c>
      <c r="D102" s="2298">
        <f>1.9362/D101</f>
        <v>2.1755056179775281</v>
      </c>
      <c r="E102" s="2298">
        <f>1.8629/E101</f>
        <v>2.0931460674157303</v>
      </c>
      <c r="F102" s="2298">
        <f>1.8629/F101</f>
        <v>2.0931460674157303</v>
      </c>
      <c r="G102" s="2298">
        <f>1.8629/G101</f>
        <v>2.0931460674157303</v>
      </c>
      <c r="H102" s="2298">
        <f>1.8629/H101</f>
        <v>2.0931460674157303</v>
      </c>
      <c r="I102" s="2298">
        <f>1.8629/I101</f>
        <v>2.0931460674157303</v>
      </c>
      <c r="J102" s="2298">
        <f>1.942/J101</f>
        <v>2.1820224719101122</v>
      </c>
      <c r="K102" s="2298">
        <f>1.942/K101</f>
        <v>2.1820224719101122</v>
      </c>
      <c r="L102" s="2298">
        <f>1.942/L101</f>
        <v>2.1820224719101122</v>
      </c>
      <c r="M102" s="2298">
        <f>1.942/M101</f>
        <v>2.1820224719101122</v>
      </c>
      <c r="N102" s="2298">
        <f>1.942/N101</f>
        <v>2.1820224719101122</v>
      </c>
    </row>
    <row r="103" spans="1:14">
      <c r="A103" s="3565"/>
      <c r="B103" s="2297">
        <v>2</v>
      </c>
      <c r="C103" s="2298">
        <f>1.4198/C101</f>
        <v>1.5952808988764045</v>
      </c>
      <c r="D103" s="2298">
        <f>1.4198/D101</f>
        <v>1.5952808988764045</v>
      </c>
      <c r="E103" s="2298">
        <f>1.3372/E101</f>
        <v>1.5024719101123594</v>
      </c>
      <c r="F103" s="2298">
        <f>1.3372/F101</f>
        <v>1.5024719101123594</v>
      </c>
      <c r="G103" s="2298">
        <f>1.3372/G101</f>
        <v>1.5024719101123594</v>
      </c>
      <c r="H103" s="2298">
        <f>1.3372/H101</f>
        <v>1.5024719101123594</v>
      </c>
      <c r="I103" s="2298">
        <f>1.3372/I101</f>
        <v>1.5024719101123594</v>
      </c>
      <c r="J103" s="2298">
        <f>1.2799/J101</f>
        <v>1.4380898876404495</v>
      </c>
      <c r="K103" s="2298">
        <f>1.2799/K101</f>
        <v>1.4380898876404495</v>
      </c>
      <c r="L103" s="2298">
        <f>1.2799/L101</f>
        <v>1.4380898876404495</v>
      </c>
      <c r="M103" s="2298">
        <f>1.2799/M101</f>
        <v>1.4380898876404495</v>
      </c>
      <c r="N103" s="2298">
        <f>1.2799/N101</f>
        <v>1.4380898876404495</v>
      </c>
    </row>
    <row r="104" spans="1:14">
      <c r="A104" s="3565"/>
      <c r="B104" s="2297">
        <v>3</v>
      </c>
      <c r="C104" s="2298">
        <f>1.1594/C101</f>
        <v>1.3026966292134832</v>
      </c>
      <c r="D104" s="2298">
        <f>1.1594/D101</f>
        <v>1.3026966292134832</v>
      </c>
      <c r="E104" s="2298">
        <f>1.0788/E101</f>
        <v>1.2121348314606741</v>
      </c>
      <c r="F104" s="2298">
        <f>1.0788/F101</f>
        <v>1.2121348314606741</v>
      </c>
      <c r="G104" s="2298">
        <f>1.0788/G101</f>
        <v>1.2121348314606741</v>
      </c>
      <c r="H104" s="2298">
        <f>1.0788/H101</f>
        <v>1.2121348314606741</v>
      </c>
      <c r="I104" s="2298">
        <f>1.0788/I101</f>
        <v>1.2121348314606741</v>
      </c>
      <c r="J104" s="2298">
        <f>1.0072/J101</f>
        <v>1.131685393258427</v>
      </c>
      <c r="K104" s="2298">
        <f>1.0072/K101</f>
        <v>1.131685393258427</v>
      </c>
      <c r="L104" s="2298">
        <f>1.0072/L101</f>
        <v>1.131685393258427</v>
      </c>
      <c r="M104" s="2298">
        <f>1.0072/M101</f>
        <v>1.131685393258427</v>
      </c>
      <c r="N104" s="2298">
        <f>1.0072/N101</f>
        <v>1.131685393258427</v>
      </c>
    </row>
    <row r="105" spans="1:14">
      <c r="A105" s="3565"/>
      <c r="B105" s="2297">
        <v>4</v>
      </c>
      <c r="C105" s="2298">
        <f>0.9622/C101</f>
        <v>1.081123595505618</v>
      </c>
      <c r="D105" s="2298">
        <f>0.9622/D101</f>
        <v>1.081123595505618</v>
      </c>
      <c r="E105" s="2298">
        <f>0.8656/E101</f>
        <v>0.97258426966292133</v>
      </c>
      <c r="F105" s="2298">
        <f>0.8656/F101</f>
        <v>0.97258426966292133</v>
      </c>
      <c r="G105" s="2298">
        <f>0.8656/G101</f>
        <v>0.97258426966292133</v>
      </c>
      <c r="H105" s="2298">
        <f>0.8656/H101</f>
        <v>0.97258426966292133</v>
      </c>
      <c r="I105" s="2298">
        <f>0.8656/I101</f>
        <v>0.97258426966292133</v>
      </c>
      <c r="J105" s="2298">
        <f>0.7525/J101</f>
        <v>0.84550561797752799</v>
      </c>
      <c r="K105" s="2298">
        <f>0.7525/K101</f>
        <v>0.84550561797752799</v>
      </c>
      <c r="L105" s="2298">
        <f>0.7525/L101</f>
        <v>0.84550561797752799</v>
      </c>
      <c r="M105" s="2298">
        <f>0.7525/M101</f>
        <v>0.84550561797752799</v>
      </c>
      <c r="N105" s="2298">
        <f>0.7525/N101</f>
        <v>0.84550561797752799</v>
      </c>
    </row>
    <row r="106" spans="1:14">
      <c r="A106" s="3565"/>
      <c r="B106" s="2297">
        <v>5</v>
      </c>
      <c r="C106" s="2298">
        <f>0.8417/C101</f>
        <v>0.94573033707865173</v>
      </c>
      <c r="D106" s="2298">
        <f>0.8417/D101</f>
        <v>0.94573033707865173</v>
      </c>
      <c r="E106" s="2298">
        <f>0.7371/E101</f>
        <v>0.82820224719101121</v>
      </c>
      <c r="F106" s="2298">
        <f>0.7371/F101</f>
        <v>0.82820224719101121</v>
      </c>
      <c r="G106" s="2298">
        <f>0.7371/G101</f>
        <v>0.82820224719101121</v>
      </c>
      <c r="H106" s="2298">
        <f>0.7371/H101</f>
        <v>0.82820224719101121</v>
      </c>
      <c r="I106" s="2298">
        <f>0.7371/I101</f>
        <v>0.82820224719101121</v>
      </c>
      <c r="J106" s="2298">
        <f>0.5659/J101</f>
        <v>0.63584269662921344</v>
      </c>
      <c r="K106" s="2298">
        <f>0.5659/K101</f>
        <v>0.63584269662921344</v>
      </c>
      <c r="L106" s="2298">
        <f>0.5659/L101</f>
        <v>0.63584269662921344</v>
      </c>
      <c r="M106" s="2298">
        <f>0.5659/M101</f>
        <v>0.63584269662921344</v>
      </c>
      <c r="N106" s="2298">
        <f>0.5659/N101</f>
        <v>0.63584269662921344</v>
      </c>
    </row>
    <row r="107" spans="1:14">
      <c r="A107" s="3565"/>
      <c r="B107" s="2297">
        <v>6</v>
      </c>
      <c r="C107" s="2298">
        <f>0.7608/C101</f>
        <v>0.85483146067415727</v>
      </c>
      <c r="D107" s="2298">
        <f>0.7608/D101</f>
        <v>0.85483146067415727</v>
      </c>
      <c r="E107" s="2298">
        <f>0.6482/E101</f>
        <v>0.728314606741573</v>
      </c>
      <c r="F107" s="2298">
        <f>0.6482/F101</f>
        <v>0.728314606741573</v>
      </c>
      <c r="G107" s="2298">
        <f>0.6482/G101</f>
        <v>0.728314606741573</v>
      </c>
      <c r="H107" s="2298">
        <f>0.6482/H101</f>
        <v>0.728314606741573</v>
      </c>
      <c r="I107" s="2298">
        <f>0.6482/I101</f>
        <v>0.728314606741573</v>
      </c>
      <c r="J107" s="2298">
        <f>0.4525/J101</f>
        <v>0.5084269662921348</v>
      </c>
      <c r="K107" s="2298">
        <f>0.4525/K101</f>
        <v>0.5084269662921348</v>
      </c>
      <c r="L107" s="2298">
        <f>0.4525/L101</f>
        <v>0.5084269662921348</v>
      </c>
      <c r="M107" s="2298">
        <f>0.4525/M101</f>
        <v>0.5084269662921348</v>
      </c>
      <c r="N107" s="2298">
        <f>0.4525/N101</f>
        <v>0.5084269662921348</v>
      </c>
    </row>
    <row r="108" spans="1:14">
      <c r="A108" s="3565"/>
      <c r="B108" s="3567"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66"/>
      <c r="B109" s="3568"/>
      <c r="C109" s="2300">
        <f>(-0.163*(C108^2)-0.59*C108+7617)*(10^(-4))/C101</f>
        <v>0.85584269662921353</v>
      </c>
      <c r="D109" s="2300">
        <f>(-0.163*(D108^2)-0.59*D108+7617)*(10^(-4))/D101</f>
        <v>0.85584269662921353</v>
      </c>
      <c r="E109" s="2300">
        <f>(-0.161*(E108^2)-7.509*E108+6533)*(10^(-4))/E101</f>
        <v>0.73404494382022467</v>
      </c>
      <c r="F109" s="2300">
        <f>(-0.161*(F108^2)-7.509*F108+6533)*(10^(-4))/F101</f>
        <v>0.73404494382022467</v>
      </c>
      <c r="G109" s="2300">
        <f>(-0.161*(G108^2)-7.509*G108+6533)*(10^(-4))/G101</f>
        <v>0.73404494382022467</v>
      </c>
      <c r="H109" s="2300">
        <f>(-0.161*(H108^2)-7.509*H108+6533)*(10^(-4))/H101</f>
        <v>0.73404494382022467</v>
      </c>
      <c r="I109" s="2300">
        <f>(-0.161*(I108^2)-7.509*I108+6533)*(10^(-4))/I101</f>
        <v>0.73404494382022467</v>
      </c>
      <c r="J109" s="2300">
        <f>(-0.214*(J108^2)-21.991*J108+4665)*(10^(-4))/J101</f>
        <v>0.52415730337078659</v>
      </c>
      <c r="K109" s="2300">
        <f>(-0.214*(K108^2)-21.991*K108+4665)*(10^(-4))/K101</f>
        <v>0.52415730337078659</v>
      </c>
      <c r="L109" s="2300">
        <f>(-0.214*(L108^2)-21.991*L108+4665)*(10^(-4))/L101</f>
        <v>0.52415730337078659</v>
      </c>
      <c r="M109" s="2300">
        <f>(-0.214*(M108^2)-21.991*M108+4665)*(10^(-4))/M101</f>
        <v>0.52415730337078659</v>
      </c>
      <c r="N109" s="2300">
        <f>(-0.214*(N108^2)-21.991*N108+4665)*(10^(-4))/N101</f>
        <v>0.52415730337078659</v>
      </c>
    </row>
    <row r="110" spans="1:14">
      <c r="A110" s="3562" t="s">
        <v>2558</v>
      </c>
      <c r="B110" s="3562"/>
      <c r="C110" s="3562"/>
      <c r="D110" s="3562"/>
      <c r="E110" s="3562"/>
      <c r="F110" s="3562"/>
      <c r="G110" s="3562"/>
      <c r="H110" s="3562"/>
      <c r="I110" s="3562"/>
      <c r="J110" s="3562"/>
      <c r="K110" s="2303"/>
      <c r="L110" s="2303"/>
      <c r="M110" s="2303"/>
      <c r="N110" s="2303"/>
    </row>
    <row r="112" spans="1:14" ht="13.5" thickBot="1"/>
    <row r="113" spans="1:13" ht="25.5" thickBot="1">
      <c r="A113" s="824" t="s">
        <v>2559</v>
      </c>
      <c r="B113" s="1178">
        <f>G3</f>
        <v>0.89</v>
      </c>
      <c r="C113" s="825" t="s">
        <v>2560</v>
      </c>
      <c r="D113" s="826">
        <f>SUMPRODUCT((A115:A118=F113)*(B114:M114=H113)*B115:M118)</f>
        <v>0</v>
      </c>
      <c r="E113" s="2139" t="s">
        <v>2393</v>
      </c>
      <c r="F113" s="2305">
        <f>E2</f>
        <v>0</v>
      </c>
      <c r="G113" s="2139" t="s">
        <v>2394</v>
      </c>
      <c r="H113" s="2305">
        <f>G2</f>
        <v>0</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0.92510000000000003</v>
      </c>
      <c r="C115" s="831">
        <f>B115</f>
        <v>0.92510000000000003</v>
      </c>
      <c r="D115" s="831">
        <f>ROUND(0.8331-0.0109*B113,4)</f>
        <v>0.82340000000000002</v>
      </c>
      <c r="E115" s="831">
        <f>D115</f>
        <v>0.82340000000000002</v>
      </c>
      <c r="F115" s="831">
        <f>E115</f>
        <v>0.82340000000000002</v>
      </c>
      <c r="G115" s="831">
        <f>F115</f>
        <v>0.82340000000000002</v>
      </c>
      <c r="H115" s="831">
        <f>G115</f>
        <v>0.82340000000000002</v>
      </c>
      <c r="I115" s="831">
        <f>ROUND(0.689-0.0155*B113,4)</f>
        <v>0.67520000000000002</v>
      </c>
      <c r="J115" s="831">
        <f t="shared" ref="J115:M118" si="33">I115</f>
        <v>0.67520000000000002</v>
      </c>
      <c r="K115" s="831">
        <f t="shared" si="33"/>
        <v>0.67520000000000002</v>
      </c>
      <c r="L115" s="831">
        <f t="shared" si="33"/>
        <v>0.67520000000000002</v>
      </c>
      <c r="M115" s="832">
        <f t="shared" si="33"/>
        <v>0.67520000000000002</v>
      </c>
    </row>
    <row r="116" spans="1:13">
      <c r="A116" s="830" t="s">
        <v>2459</v>
      </c>
      <c r="B116" s="831">
        <f>ROUND(0.949-0.012*B113,4)</f>
        <v>0.93830000000000002</v>
      </c>
      <c r="C116" s="831">
        <f>B116</f>
        <v>0.93830000000000002</v>
      </c>
      <c r="D116" s="831">
        <f>ROUND(0.8567-0.013*B113,4)</f>
        <v>0.84509999999999996</v>
      </c>
      <c r="E116" s="831">
        <f t="shared" ref="E116:H117" si="34">D116</f>
        <v>0.84509999999999996</v>
      </c>
      <c r="F116" s="831">
        <f t="shared" si="34"/>
        <v>0.84509999999999996</v>
      </c>
      <c r="G116" s="831">
        <f t="shared" si="34"/>
        <v>0.84509999999999996</v>
      </c>
      <c r="H116" s="831">
        <f t="shared" si="34"/>
        <v>0.84509999999999996</v>
      </c>
      <c r="I116" s="831">
        <f>ROUND(0.7694-0.014*B113,4)</f>
        <v>0.75690000000000002</v>
      </c>
      <c r="J116" s="831">
        <f t="shared" si="33"/>
        <v>0.75690000000000002</v>
      </c>
      <c r="K116" s="831">
        <f t="shared" si="33"/>
        <v>0.75690000000000002</v>
      </c>
      <c r="L116" s="831">
        <f t="shared" si="33"/>
        <v>0.75690000000000002</v>
      </c>
      <c r="M116" s="832">
        <f t="shared" si="33"/>
        <v>0.75690000000000002</v>
      </c>
    </row>
    <row r="117" spans="1:13">
      <c r="A117" s="830" t="s">
        <v>2460</v>
      </c>
      <c r="B117" s="831">
        <f>ROUND(0.8808-0.006*B113,4)</f>
        <v>0.87549999999999994</v>
      </c>
      <c r="C117" s="831">
        <f>B117</f>
        <v>0.87549999999999994</v>
      </c>
      <c r="D117" s="831">
        <f>ROUND(0.8748-0.008*B113,4)</f>
        <v>0.86770000000000003</v>
      </c>
      <c r="E117" s="831">
        <f t="shared" si="34"/>
        <v>0.86770000000000003</v>
      </c>
      <c r="F117" s="831">
        <f t="shared" si="34"/>
        <v>0.86770000000000003</v>
      </c>
      <c r="G117" s="831">
        <f t="shared" si="34"/>
        <v>0.86770000000000003</v>
      </c>
      <c r="H117" s="831">
        <f t="shared" si="34"/>
        <v>0.86770000000000003</v>
      </c>
      <c r="I117" s="831">
        <f>ROUND(0.7412-0.0095*B113,4)</f>
        <v>0.73270000000000002</v>
      </c>
      <c r="J117" s="831">
        <f t="shared" si="33"/>
        <v>0.73270000000000002</v>
      </c>
      <c r="K117" s="831">
        <f t="shared" si="33"/>
        <v>0.73270000000000002</v>
      </c>
      <c r="L117" s="831">
        <f t="shared" si="33"/>
        <v>0.73270000000000002</v>
      </c>
      <c r="M117" s="832">
        <f t="shared" si="33"/>
        <v>0.73270000000000002</v>
      </c>
    </row>
    <row r="118" spans="1:13" ht="13.5" thickBot="1">
      <c r="A118" s="670" t="s">
        <v>2461</v>
      </c>
      <c r="B118" s="833">
        <f>ROUND(0.7275-0.01*B113,4)</f>
        <v>0.71860000000000002</v>
      </c>
      <c r="C118" s="833">
        <f>B118</f>
        <v>0.71860000000000002</v>
      </c>
      <c r="D118" s="833">
        <f>ROUND(0.7043-0.012*B113,4)</f>
        <v>0.69359999999999999</v>
      </c>
      <c r="E118" s="833">
        <f>D118</f>
        <v>0.69359999999999999</v>
      </c>
      <c r="F118" s="833">
        <f>E118</f>
        <v>0.69359999999999999</v>
      </c>
      <c r="G118" s="833">
        <f>ROUND(0.6299-0.0122*B113,4)</f>
        <v>0.61899999999999999</v>
      </c>
      <c r="H118" s="833">
        <f>G118</f>
        <v>0.61899999999999999</v>
      </c>
      <c r="I118" s="833">
        <f>ROUND(0.5667-0.0136*B113,4)</f>
        <v>0.55459999999999998</v>
      </c>
      <c r="J118" s="833">
        <f t="shared" si="33"/>
        <v>0.55459999999999998</v>
      </c>
      <c r="K118" s="833">
        <f t="shared" si="33"/>
        <v>0.55459999999999998</v>
      </c>
      <c r="L118" s="833">
        <f t="shared" si="33"/>
        <v>0.55459999999999998</v>
      </c>
      <c r="M118" s="834">
        <f t="shared" si="33"/>
        <v>0.55459999999999998</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2945</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2946</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2947</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2948</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2949</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2950</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2951</v>
      </c>
      <c r="B19" s="3209" t="s">
        <v>2952</v>
      </c>
      <c r="C19" s="3210" t="s">
        <v>2953</v>
      </c>
      <c r="D19" s="3211"/>
      <c r="E19" s="3205" t="s">
        <v>2954</v>
      </c>
      <c r="F19" s="803"/>
      <c r="G19" s="803"/>
    </row>
    <row r="20" spans="1:13" s="808" customFormat="1" ht="19.5" customHeight="1">
      <c r="A20" s="3584" t="s">
        <v>2955</v>
      </c>
      <c r="B20" s="3579" t="s">
        <v>2956</v>
      </c>
      <c r="C20" s="3212" t="s">
        <v>2957</v>
      </c>
      <c r="D20" s="3213"/>
      <c r="E20" s="3214">
        <v>1</v>
      </c>
      <c r="F20" s="3215" t="s">
        <v>2958</v>
      </c>
      <c r="G20" s="807"/>
      <c r="H20" s="801"/>
      <c r="I20" s="801"/>
    </row>
    <row r="21" spans="1:13" s="808" customFormat="1" ht="19.5" customHeight="1">
      <c r="A21" s="3585"/>
      <c r="B21" s="3578"/>
      <c r="C21" s="805" t="s">
        <v>2959</v>
      </c>
      <c r="D21" s="806"/>
      <c r="E21" s="3216">
        <v>1</v>
      </c>
      <c r="F21" s="3215" t="s">
        <v>2960</v>
      </c>
      <c r="G21" s="807"/>
      <c r="H21" s="801"/>
      <c r="I21" s="801"/>
    </row>
    <row r="22" spans="1:13" s="808" customFormat="1" ht="19.5" customHeight="1">
      <c r="A22" s="3585"/>
      <c r="B22" s="3578"/>
      <c r="C22" s="805" t="s">
        <v>2961</v>
      </c>
      <c r="D22" s="806"/>
      <c r="E22" s="3216">
        <v>0.9</v>
      </c>
      <c r="F22" s="3215" t="s">
        <v>2962</v>
      </c>
      <c r="G22" s="807"/>
      <c r="H22" s="801"/>
      <c r="I22" s="801"/>
    </row>
    <row r="23" spans="1:13" s="808" customFormat="1" ht="19.5" customHeight="1">
      <c r="A23" s="3585"/>
      <c r="B23" s="3578"/>
      <c r="C23" s="805" t="s">
        <v>2963</v>
      </c>
      <c r="D23" s="806"/>
      <c r="E23" s="3216">
        <v>0.9</v>
      </c>
      <c r="F23" s="3215" t="s">
        <v>2964</v>
      </c>
      <c r="G23" s="807"/>
      <c r="H23" s="801"/>
      <c r="I23" s="801"/>
    </row>
    <row r="24" spans="1:13" s="808" customFormat="1" ht="19.5" customHeight="1">
      <c r="A24" s="3585"/>
      <c r="B24" s="3578"/>
      <c r="C24" s="805" t="s">
        <v>2965</v>
      </c>
      <c r="D24" s="806"/>
      <c r="E24" s="3216">
        <v>0.8</v>
      </c>
      <c r="F24" s="3215" t="s">
        <v>2966</v>
      </c>
      <c r="G24" s="807"/>
      <c r="H24" s="801"/>
      <c r="I24" s="801"/>
    </row>
    <row r="25" spans="1:13" s="808" customFormat="1" ht="19.5" customHeight="1" thickBot="1">
      <c r="A25" s="3586"/>
      <c r="B25" s="3580"/>
      <c r="C25" s="3217" t="s">
        <v>2967</v>
      </c>
      <c r="D25" s="3218"/>
      <c r="E25" s="3219">
        <v>0.8</v>
      </c>
      <c r="F25" s="3215" t="s">
        <v>2968</v>
      </c>
      <c r="G25" s="807"/>
      <c r="H25" s="801"/>
      <c r="I25" s="801"/>
    </row>
    <row r="26" spans="1:13" s="808" customFormat="1" ht="19.5" customHeight="1" thickBot="1">
      <c r="A26" s="3220" t="s">
        <v>2969</v>
      </c>
      <c r="B26" s="3221" t="s">
        <v>2956</v>
      </c>
      <c r="C26" s="3222" t="s">
        <v>2970</v>
      </c>
      <c r="D26" s="3223"/>
      <c r="E26" s="3224">
        <v>1</v>
      </c>
      <c r="F26" s="3215" t="s">
        <v>2971</v>
      </c>
      <c r="G26" s="807"/>
      <c r="H26" s="801"/>
      <c r="I26" s="801"/>
    </row>
    <row r="27" spans="1:13" s="808" customFormat="1" ht="19.5" customHeight="1">
      <c r="A27" s="3581" t="s">
        <v>2972</v>
      </c>
      <c r="B27" s="3579" t="s">
        <v>2972</v>
      </c>
      <c r="C27" s="3212" t="s">
        <v>2973</v>
      </c>
      <c r="D27" s="3213"/>
      <c r="E27" s="3214">
        <v>1</v>
      </c>
      <c r="F27" s="3215" t="s">
        <v>2974</v>
      </c>
      <c r="G27" s="807"/>
      <c r="H27" s="801"/>
      <c r="I27" s="801"/>
    </row>
    <row r="28" spans="1:13" s="808" customFormat="1" ht="19.5" customHeight="1">
      <c r="A28" s="3582"/>
      <c r="B28" s="3578"/>
      <c r="C28" s="805" t="s">
        <v>2975</v>
      </c>
      <c r="D28" s="806"/>
      <c r="E28" s="3216">
        <v>1</v>
      </c>
      <c r="F28" s="3215" t="s">
        <v>2976</v>
      </c>
      <c r="G28" s="807"/>
      <c r="H28" s="801"/>
      <c r="I28" s="801"/>
    </row>
    <row r="29" spans="1:13" s="808" customFormat="1" ht="19.5" customHeight="1">
      <c r="A29" s="3582"/>
      <c r="B29" s="3578"/>
      <c r="C29" s="805" t="s">
        <v>2977</v>
      </c>
      <c r="D29" s="806"/>
      <c r="E29" s="3216">
        <v>0.8</v>
      </c>
      <c r="F29" s="3215" t="s">
        <v>2978</v>
      </c>
      <c r="G29" s="807"/>
      <c r="H29" s="801"/>
      <c r="I29" s="801"/>
    </row>
    <row r="30" spans="1:13" s="808" customFormat="1" ht="19.5" customHeight="1">
      <c r="A30" s="3582"/>
      <c r="B30" s="3578"/>
      <c r="C30" s="805" t="s">
        <v>2979</v>
      </c>
      <c r="D30" s="806"/>
      <c r="E30" s="3216">
        <v>0.8</v>
      </c>
      <c r="F30" s="3215" t="s">
        <v>2980</v>
      </c>
      <c r="G30" s="807"/>
      <c r="H30" s="801"/>
      <c r="I30" s="801"/>
    </row>
    <row r="31" spans="1:13" s="808" customFormat="1" ht="19.5" customHeight="1">
      <c r="A31" s="3582"/>
      <c r="B31" s="3578"/>
      <c r="C31" s="805" t="s">
        <v>2981</v>
      </c>
      <c r="D31" s="806"/>
      <c r="E31" s="3216">
        <v>0.8</v>
      </c>
      <c r="F31" s="3215" t="s">
        <v>2982</v>
      </c>
      <c r="G31" s="807"/>
      <c r="H31" s="801"/>
      <c r="I31" s="801"/>
    </row>
    <row r="32" spans="1:13" s="808" customFormat="1" ht="19.5" customHeight="1">
      <c r="A32" s="3582"/>
      <c r="B32" s="3578"/>
      <c r="C32" s="805" t="s">
        <v>2983</v>
      </c>
      <c r="D32" s="806"/>
      <c r="E32" s="3216">
        <v>0.7</v>
      </c>
      <c r="F32" s="3215" t="s">
        <v>2984</v>
      </c>
      <c r="G32" s="807"/>
      <c r="H32" s="801"/>
      <c r="I32" s="801"/>
    </row>
    <row r="33" spans="1:9" s="808" customFormat="1" ht="19.5" customHeight="1">
      <c r="A33" s="3582"/>
      <c r="B33" s="3578"/>
      <c r="C33" s="805" t="s">
        <v>2985</v>
      </c>
      <c r="D33" s="806"/>
      <c r="E33" s="3216">
        <v>0.8</v>
      </c>
      <c r="F33" s="3215" t="s">
        <v>2986</v>
      </c>
      <c r="G33" s="807"/>
      <c r="H33" s="801"/>
      <c r="I33" s="801"/>
    </row>
    <row r="34" spans="1:9" s="808" customFormat="1" ht="19.5" customHeight="1">
      <c r="A34" s="3582"/>
      <c r="B34" s="3578"/>
      <c r="C34" s="805" t="s">
        <v>2987</v>
      </c>
      <c r="D34" s="806"/>
      <c r="E34" s="3216">
        <v>0.6</v>
      </c>
      <c r="F34" s="3215" t="s">
        <v>2988</v>
      </c>
      <c r="G34" s="807"/>
      <c r="H34" s="801"/>
      <c r="I34" s="801"/>
    </row>
    <row r="35" spans="1:9" s="808" customFormat="1" ht="19.5" customHeight="1">
      <c r="A35" s="3582"/>
      <c r="B35" s="3578"/>
      <c r="C35" s="805" t="s">
        <v>2989</v>
      </c>
      <c r="D35" s="806"/>
      <c r="E35" s="3216">
        <v>0.2</v>
      </c>
      <c r="F35" s="3215" t="s">
        <v>2990</v>
      </c>
      <c r="G35" s="807"/>
      <c r="H35" s="801"/>
      <c r="I35" s="801"/>
    </row>
    <row r="36" spans="1:9" s="808" customFormat="1" ht="19.5" customHeight="1">
      <c r="A36" s="3582"/>
      <c r="B36" s="3578"/>
      <c r="C36" s="805" t="s">
        <v>2991</v>
      </c>
      <c r="D36" s="806"/>
      <c r="E36" s="3216">
        <v>0.2</v>
      </c>
      <c r="F36" s="3215" t="s">
        <v>2992</v>
      </c>
      <c r="G36" s="807"/>
      <c r="H36" s="801"/>
      <c r="I36" s="801"/>
    </row>
    <row r="37" spans="1:9" s="808" customFormat="1" ht="19.5" customHeight="1">
      <c r="A37" s="3582"/>
      <c r="B37" s="3576" t="s">
        <v>2993</v>
      </c>
      <c r="C37" s="805" t="s">
        <v>2994</v>
      </c>
      <c r="D37" s="806"/>
      <c r="E37" s="3216">
        <v>0.6</v>
      </c>
      <c r="F37" s="3215" t="s">
        <v>2995</v>
      </c>
      <c r="G37" s="807"/>
      <c r="H37" s="801"/>
      <c r="I37" s="801"/>
    </row>
    <row r="38" spans="1:9" s="808" customFormat="1" ht="19.5" customHeight="1">
      <c r="A38" s="3582"/>
      <c r="B38" s="3578"/>
      <c r="C38" s="805" t="s">
        <v>2996</v>
      </c>
      <c r="D38" s="806"/>
      <c r="E38" s="3216">
        <v>0.6</v>
      </c>
      <c r="F38" s="3215" t="s">
        <v>2997</v>
      </c>
      <c r="G38" s="807"/>
      <c r="H38" s="801"/>
      <c r="I38" s="801"/>
    </row>
    <row r="39" spans="1:9" s="808" customFormat="1" ht="19.5" customHeight="1" thickBot="1">
      <c r="A39" s="3583"/>
      <c r="B39" s="3580"/>
      <c r="C39" s="3217" t="s">
        <v>2998</v>
      </c>
      <c r="D39" s="3218"/>
      <c r="E39" s="3219">
        <v>0.6</v>
      </c>
      <c r="F39" s="3215" t="s">
        <v>2999</v>
      </c>
      <c r="G39" s="807"/>
      <c r="H39" s="801"/>
      <c r="I39" s="801"/>
    </row>
    <row r="40" spans="1:9" s="808" customFormat="1" ht="19.5" customHeight="1" thickBot="1">
      <c r="A40" s="3220" t="s">
        <v>3000</v>
      </c>
      <c r="B40" s="3221" t="s">
        <v>3000</v>
      </c>
      <c r="C40" s="3222" t="s">
        <v>3001</v>
      </c>
      <c r="D40" s="3223"/>
      <c r="E40" s="3224">
        <v>1</v>
      </c>
      <c r="F40" s="3215" t="s">
        <v>3002</v>
      </c>
      <c r="G40" s="807"/>
      <c r="H40" s="801"/>
      <c r="I40" s="801"/>
    </row>
    <row r="41" spans="1:9" s="808" customFormat="1" ht="19.5" customHeight="1">
      <c r="A41" s="3584" t="s">
        <v>3003</v>
      </c>
      <c r="B41" s="3579" t="s">
        <v>3004</v>
      </c>
      <c r="C41" s="3212" t="s">
        <v>3005</v>
      </c>
      <c r="D41" s="3213"/>
      <c r="E41" s="3214">
        <v>1</v>
      </c>
      <c r="F41" s="3215" t="s">
        <v>3006</v>
      </c>
      <c r="G41" s="807"/>
      <c r="H41" s="801"/>
      <c r="I41" s="801"/>
    </row>
    <row r="42" spans="1:9" s="808" customFormat="1" ht="19.5" customHeight="1">
      <c r="A42" s="3585"/>
      <c r="B42" s="3578"/>
      <c r="C42" s="805" t="s">
        <v>3007</v>
      </c>
      <c r="D42" s="806"/>
      <c r="E42" s="3216">
        <v>1</v>
      </c>
      <c r="F42" s="3215" t="s">
        <v>3008</v>
      </c>
      <c r="G42" s="807"/>
      <c r="H42" s="801"/>
      <c r="I42" s="801"/>
    </row>
    <row r="43" spans="1:9" s="808" customFormat="1" ht="19.5" customHeight="1">
      <c r="A43" s="3585"/>
      <c r="B43" s="3577"/>
      <c r="C43" s="805" t="s">
        <v>3009</v>
      </c>
      <c r="D43" s="806"/>
      <c r="E43" s="3216">
        <v>1.5</v>
      </c>
      <c r="F43" s="3215" t="s">
        <v>3010</v>
      </c>
      <c r="G43" s="807"/>
      <c r="H43" s="801"/>
      <c r="I43" s="801"/>
    </row>
    <row r="44" spans="1:9" s="808" customFormat="1" ht="19.5" customHeight="1">
      <c r="A44" s="3585"/>
      <c r="B44" s="3225" t="s">
        <v>2972</v>
      </c>
      <c r="C44" s="805" t="s">
        <v>3011</v>
      </c>
      <c r="D44" s="806"/>
      <c r="E44" s="3216">
        <v>2</v>
      </c>
      <c r="F44" s="3215" t="s">
        <v>3012</v>
      </c>
      <c r="G44" s="807"/>
      <c r="H44" s="801"/>
      <c r="I44" s="801"/>
    </row>
    <row r="45" spans="1:9" s="808" customFormat="1" ht="19.5" customHeight="1">
      <c r="A45" s="3585"/>
      <c r="B45" s="3576" t="s">
        <v>3013</v>
      </c>
      <c r="C45" s="805" t="s">
        <v>3014</v>
      </c>
      <c r="D45" s="806"/>
      <c r="E45" s="3216">
        <v>1</v>
      </c>
      <c r="F45" s="3215" t="s">
        <v>3015</v>
      </c>
      <c r="G45" s="807"/>
      <c r="H45" s="801"/>
      <c r="I45" s="801"/>
    </row>
    <row r="46" spans="1:9" s="808" customFormat="1" ht="19.5" customHeight="1">
      <c r="A46" s="3585"/>
      <c r="B46" s="3578"/>
      <c r="C46" s="805" t="s">
        <v>3016</v>
      </c>
      <c r="D46" s="806"/>
      <c r="E46" s="3216">
        <v>1</v>
      </c>
      <c r="F46" s="3215" t="s">
        <v>3017</v>
      </c>
      <c r="G46" s="807"/>
      <c r="H46" s="801"/>
      <c r="I46" s="801"/>
    </row>
    <row r="47" spans="1:9" s="808" customFormat="1" ht="19.5" customHeight="1">
      <c r="A47" s="3585"/>
      <c r="B47" s="3578"/>
      <c r="C47" s="805" t="s">
        <v>3018</v>
      </c>
      <c r="D47" s="806"/>
      <c r="E47" s="3216">
        <v>1</v>
      </c>
      <c r="F47" s="3215" t="s">
        <v>3019</v>
      </c>
      <c r="G47" s="807"/>
      <c r="H47" s="801"/>
      <c r="I47" s="801"/>
    </row>
    <row r="48" spans="1:9" s="808" customFormat="1" ht="19.5" customHeight="1">
      <c r="A48" s="3585"/>
      <c r="B48" s="3578"/>
      <c r="C48" s="805" t="s">
        <v>3020</v>
      </c>
      <c r="D48" s="806"/>
      <c r="E48" s="3216">
        <v>1</v>
      </c>
      <c r="F48" s="3215" t="s">
        <v>3021</v>
      </c>
      <c r="G48" s="807"/>
      <c r="H48" s="801"/>
      <c r="I48" s="801"/>
    </row>
    <row r="49" spans="1:9" s="808" customFormat="1" ht="19.5" customHeight="1">
      <c r="A49" s="3585"/>
      <c r="B49" s="3578"/>
      <c r="C49" s="805" t="s">
        <v>3022</v>
      </c>
      <c r="D49" s="806"/>
      <c r="E49" s="3216">
        <v>1</v>
      </c>
      <c r="F49" s="3215" t="s">
        <v>3023</v>
      </c>
      <c r="G49" s="807"/>
      <c r="H49" s="801"/>
      <c r="I49" s="801"/>
    </row>
    <row r="50" spans="1:9" s="808" customFormat="1" ht="19.5" customHeight="1">
      <c r="A50" s="3585"/>
      <c r="B50" s="3578"/>
      <c r="C50" s="805" t="s">
        <v>3024</v>
      </c>
      <c r="D50" s="806"/>
      <c r="E50" s="3216">
        <v>1</v>
      </c>
      <c r="F50" s="3215" t="s">
        <v>3025</v>
      </c>
      <c r="G50" s="807"/>
      <c r="H50" s="801"/>
      <c r="I50" s="801"/>
    </row>
    <row r="51" spans="1:9" s="808" customFormat="1" ht="19.5" customHeight="1" thickBot="1">
      <c r="A51" s="3586"/>
      <c r="B51" s="3580"/>
      <c r="C51" s="3217" t="s">
        <v>3026</v>
      </c>
      <c r="D51" s="3218"/>
      <c r="E51" s="3219">
        <v>1</v>
      </c>
      <c r="F51" s="3215"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5">
        <v>1</v>
      </c>
      <c r="B73" s="3576" t="s">
        <v>3029</v>
      </c>
      <c r="C73" s="3205" t="s">
        <v>3030</v>
      </c>
      <c r="D73" s="3205" t="s">
        <v>3031</v>
      </c>
      <c r="E73" s="3226">
        <v>0.2</v>
      </c>
      <c r="F73" s="3225">
        <v>25</v>
      </c>
    </row>
    <row r="74" spans="1:7" s="801" customFormat="1" ht="24">
      <c r="A74" s="3225">
        <v>2</v>
      </c>
      <c r="B74" s="3578"/>
      <c r="C74" s="3205" t="s">
        <v>3032</v>
      </c>
      <c r="D74" s="3205" t="s">
        <v>3033</v>
      </c>
      <c r="E74" s="3226">
        <v>0.2</v>
      </c>
      <c r="F74" s="3225">
        <v>25</v>
      </c>
    </row>
    <row r="75" spans="1:7" s="801" customFormat="1" ht="24">
      <c r="A75" s="3225">
        <v>3</v>
      </c>
      <c r="B75" s="3578"/>
      <c r="C75" s="3205" t="s">
        <v>3034</v>
      </c>
      <c r="D75" s="3205" t="s">
        <v>3035</v>
      </c>
      <c r="E75" s="3226">
        <v>0.2</v>
      </c>
      <c r="F75" s="3225">
        <v>25</v>
      </c>
    </row>
    <row r="76" spans="1:7" s="801" customFormat="1" ht="13.5">
      <c r="A76" s="3225">
        <v>4</v>
      </c>
      <c r="B76" s="3578"/>
      <c r="C76" s="3205" t="s">
        <v>3036</v>
      </c>
      <c r="D76" s="3205" t="s">
        <v>3037</v>
      </c>
      <c r="E76" s="3226">
        <v>0.15</v>
      </c>
      <c r="F76" s="3225">
        <v>20</v>
      </c>
    </row>
    <row r="77" spans="1:7" s="801" customFormat="1" ht="24">
      <c r="A77" s="3225">
        <v>5</v>
      </c>
      <c r="B77" s="3578"/>
      <c r="C77" s="3205" t="s">
        <v>3038</v>
      </c>
      <c r="D77" s="3205" t="s">
        <v>3039</v>
      </c>
      <c r="E77" s="3226">
        <v>0.15</v>
      </c>
      <c r="F77" s="3225">
        <v>20</v>
      </c>
    </row>
    <row r="78" spans="1:7" s="801" customFormat="1" ht="24">
      <c r="A78" s="3225">
        <v>6</v>
      </c>
      <c r="B78" s="3578"/>
      <c r="C78" s="3205" t="s">
        <v>3040</v>
      </c>
      <c r="D78" s="3205" t="s">
        <v>3041</v>
      </c>
      <c r="E78" s="3226">
        <v>0.15</v>
      </c>
      <c r="F78" s="3225">
        <v>20</v>
      </c>
    </row>
    <row r="79" spans="1:7" s="801" customFormat="1" ht="24">
      <c r="A79" s="3225">
        <v>7</v>
      </c>
      <c r="B79" s="3578"/>
      <c r="C79" s="3205" t="s">
        <v>3042</v>
      </c>
      <c r="D79" s="3205" t="s">
        <v>3043</v>
      </c>
      <c r="E79" s="3226">
        <v>0.15</v>
      </c>
      <c r="F79" s="3225">
        <v>20</v>
      </c>
    </row>
    <row r="80" spans="1:7" s="801" customFormat="1" ht="24">
      <c r="A80" s="3225">
        <v>8</v>
      </c>
      <c r="B80" s="3578"/>
      <c r="C80" s="3205" t="s">
        <v>3044</v>
      </c>
      <c r="D80" s="3205" t="s">
        <v>3045</v>
      </c>
      <c r="E80" s="3226">
        <v>0.1</v>
      </c>
      <c r="F80" s="3225">
        <v>15</v>
      </c>
    </row>
    <row r="81" spans="1:6" s="801" customFormat="1" ht="24">
      <c r="A81" s="3225">
        <v>9</v>
      </c>
      <c r="B81" s="3578"/>
      <c r="C81" s="3205" t="s">
        <v>3046</v>
      </c>
      <c r="D81" s="3205" t="s">
        <v>3047</v>
      </c>
      <c r="E81" s="3226">
        <v>0.1</v>
      </c>
      <c r="F81" s="3225">
        <v>15</v>
      </c>
    </row>
    <row r="82" spans="1:6" s="801" customFormat="1" ht="24">
      <c r="A82" s="3225">
        <v>10</v>
      </c>
      <c r="B82" s="3578"/>
      <c r="C82" s="3205" t="s">
        <v>3048</v>
      </c>
      <c r="D82" s="3205" t="s">
        <v>3049</v>
      </c>
      <c r="E82" s="3226">
        <v>0.1</v>
      </c>
      <c r="F82" s="3225">
        <v>15</v>
      </c>
    </row>
    <row r="83" spans="1:6" s="801" customFormat="1" ht="24">
      <c r="A83" s="3225">
        <v>11</v>
      </c>
      <c r="B83" s="3578"/>
      <c r="C83" s="3205" t="s">
        <v>3050</v>
      </c>
      <c r="D83" s="3205" t="s">
        <v>3051</v>
      </c>
      <c r="E83" s="3226">
        <v>0.1</v>
      </c>
      <c r="F83" s="3225">
        <v>15</v>
      </c>
    </row>
    <row r="84" spans="1:6" s="801" customFormat="1" ht="24">
      <c r="A84" s="3225">
        <v>12</v>
      </c>
      <c r="B84" s="3578"/>
      <c r="C84" s="3205" t="s">
        <v>3052</v>
      </c>
      <c r="D84" s="3205" t="s">
        <v>3053</v>
      </c>
      <c r="E84" s="3226">
        <v>0.1</v>
      </c>
      <c r="F84" s="3225">
        <v>15</v>
      </c>
    </row>
    <row r="85" spans="1:6" s="801" customFormat="1" ht="13.5">
      <c r="A85" s="3225">
        <v>13</v>
      </c>
      <c r="B85" s="3578"/>
      <c r="C85" s="3205" t="s">
        <v>3054</v>
      </c>
      <c r="D85" s="3205" t="s">
        <v>3055</v>
      </c>
      <c r="E85" s="3226">
        <v>0.1</v>
      </c>
      <c r="F85" s="3225">
        <v>15</v>
      </c>
    </row>
    <row r="86" spans="1:6" s="801" customFormat="1" ht="13.5">
      <c r="A86" s="3225">
        <v>14</v>
      </c>
      <c r="B86" s="3578"/>
      <c r="C86" s="3205" t="s">
        <v>3056</v>
      </c>
      <c r="D86" s="3205" t="s">
        <v>3057</v>
      </c>
      <c r="E86" s="3226">
        <v>0.1</v>
      </c>
      <c r="F86" s="3225">
        <v>15</v>
      </c>
    </row>
    <row r="87" spans="1:6" s="801" customFormat="1" ht="13.5">
      <c r="A87" s="3225">
        <v>15</v>
      </c>
      <c r="B87" s="3578"/>
      <c r="C87" s="3205" t="s">
        <v>3058</v>
      </c>
      <c r="D87" s="3205" t="s">
        <v>3059</v>
      </c>
      <c r="E87" s="3226">
        <v>0.1</v>
      </c>
      <c r="F87" s="3225">
        <v>15</v>
      </c>
    </row>
    <row r="88" spans="1:6" s="801" customFormat="1" ht="24">
      <c r="A88" s="3225">
        <v>16</v>
      </c>
      <c r="B88" s="3578"/>
      <c r="C88" s="3205" t="s">
        <v>3060</v>
      </c>
      <c r="D88" s="3205" t="s">
        <v>3061</v>
      </c>
      <c r="E88" s="3226">
        <v>0.1</v>
      </c>
      <c r="F88" s="3225">
        <v>15</v>
      </c>
    </row>
    <row r="89" spans="1:6" s="801" customFormat="1" ht="24">
      <c r="A89" s="3225">
        <v>17</v>
      </c>
      <c r="B89" s="3577"/>
      <c r="C89" s="3205" t="s">
        <v>3062</v>
      </c>
      <c r="D89" s="3205" t="s">
        <v>3063</v>
      </c>
      <c r="E89" s="3226">
        <v>0.1</v>
      </c>
      <c r="F89" s="3225">
        <v>15</v>
      </c>
    </row>
    <row r="90" spans="1:6" s="801" customFormat="1" ht="13.5">
      <c r="A90" s="3225">
        <v>18</v>
      </c>
      <c r="B90" s="3576" t="s">
        <v>3064</v>
      </c>
      <c r="C90" s="3205" t="s">
        <v>3065</v>
      </c>
      <c r="D90" s="3205" t="s">
        <v>3066</v>
      </c>
      <c r="E90" s="3226">
        <v>0.2</v>
      </c>
      <c r="F90" s="3225">
        <v>25</v>
      </c>
    </row>
    <row r="91" spans="1:6" s="801" customFormat="1" ht="24">
      <c r="A91" s="3225">
        <v>19</v>
      </c>
      <c r="B91" s="3578"/>
      <c r="C91" s="3205" t="s">
        <v>3067</v>
      </c>
      <c r="D91" s="3205" t="s">
        <v>3068</v>
      </c>
      <c r="E91" s="3226">
        <v>0.2</v>
      </c>
      <c r="F91" s="3225">
        <v>25</v>
      </c>
    </row>
    <row r="92" spans="1:6" s="801" customFormat="1" ht="13.5">
      <c r="A92" s="3225">
        <v>20</v>
      </c>
      <c r="B92" s="3578"/>
      <c r="C92" s="3205" t="s">
        <v>3069</v>
      </c>
      <c r="D92" s="3205" t="s">
        <v>3070</v>
      </c>
      <c r="E92" s="3226">
        <v>0.15</v>
      </c>
      <c r="F92" s="3225">
        <v>20</v>
      </c>
    </row>
    <row r="93" spans="1:6" s="801" customFormat="1" ht="24">
      <c r="A93" s="3225">
        <v>21</v>
      </c>
      <c r="B93" s="3578"/>
      <c r="C93" s="3205" t="s">
        <v>3071</v>
      </c>
      <c r="D93" s="3205" t="s">
        <v>3072</v>
      </c>
      <c r="E93" s="3226">
        <v>0.15</v>
      </c>
      <c r="F93" s="3225">
        <v>20</v>
      </c>
    </row>
    <row r="94" spans="1:6" s="801" customFormat="1" ht="24">
      <c r="A94" s="3225">
        <v>22</v>
      </c>
      <c r="B94" s="3578"/>
      <c r="C94" s="3205" t="s">
        <v>3073</v>
      </c>
      <c r="D94" s="3205" t="s">
        <v>3074</v>
      </c>
      <c r="E94" s="3226">
        <v>0.15</v>
      </c>
      <c r="F94" s="3225">
        <v>20</v>
      </c>
    </row>
    <row r="95" spans="1:6" s="801" customFormat="1" ht="36">
      <c r="A95" s="3225">
        <v>23</v>
      </c>
      <c r="B95" s="3578"/>
      <c r="C95" s="3205" t="s">
        <v>3075</v>
      </c>
      <c r="D95" s="3205" t="s">
        <v>3076</v>
      </c>
      <c r="E95" s="3226">
        <v>0.15</v>
      </c>
      <c r="F95" s="3225">
        <v>20</v>
      </c>
    </row>
    <row r="96" spans="1:6" s="801" customFormat="1" ht="13.5">
      <c r="A96" s="3225">
        <v>24</v>
      </c>
      <c r="B96" s="3578"/>
      <c r="C96" s="3205" t="s">
        <v>3077</v>
      </c>
      <c r="D96" s="3205" t="s">
        <v>3078</v>
      </c>
      <c r="E96" s="3226">
        <v>0.1</v>
      </c>
      <c r="F96" s="3225">
        <v>15</v>
      </c>
    </row>
    <row r="97" spans="1:6" s="801" customFormat="1" ht="24">
      <c r="A97" s="3225">
        <v>25</v>
      </c>
      <c r="B97" s="3578"/>
      <c r="C97" s="3205" t="s">
        <v>3079</v>
      </c>
      <c r="D97" s="3205" t="s">
        <v>3080</v>
      </c>
      <c r="E97" s="3226">
        <v>0.1</v>
      </c>
      <c r="F97" s="3225">
        <v>15</v>
      </c>
    </row>
    <row r="98" spans="1:6" s="801" customFormat="1" ht="24">
      <c r="A98" s="3225">
        <v>26</v>
      </c>
      <c r="B98" s="3578"/>
      <c r="C98" s="3205" t="s">
        <v>3081</v>
      </c>
      <c r="D98" s="3205" t="s">
        <v>3082</v>
      </c>
      <c r="E98" s="3226">
        <v>0.1</v>
      </c>
      <c r="F98" s="3225">
        <v>15</v>
      </c>
    </row>
    <row r="99" spans="1:6" s="801" customFormat="1" ht="24">
      <c r="A99" s="3225">
        <v>27</v>
      </c>
      <c r="B99" s="3578"/>
      <c r="C99" s="3205" t="s">
        <v>3083</v>
      </c>
      <c r="D99" s="3205" t="s">
        <v>3084</v>
      </c>
      <c r="E99" s="3226">
        <v>0.1</v>
      </c>
      <c r="F99" s="3225">
        <v>15</v>
      </c>
    </row>
    <row r="100" spans="1:6" s="801" customFormat="1" ht="24">
      <c r="A100" s="3225">
        <v>28</v>
      </c>
      <c r="B100" s="3578"/>
      <c r="C100" s="3205" t="s">
        <v>3085</v>
      </c>
      <c r="D100" s="3205" t="s">
        <v>3086</v>
      </c>
      <c r="E100" s="3226">
        <v>0.1</v>
      </c>
      <c r="F100" s="3225">
        <v>15</v>
      </c>
    </row>
    <row r="101" spans="1:6" s="801" customFormat="1" ht="24">
      <c r="A101" s="3225">
        <v>29</v>
      </c>
      <c r="B101" s="3578"/>
      <c r="C101" s="3205" t="s">
        <v>3087</v>
      </c>
      <c r="D101" s="3205" t="s">
        <v>3088</v>
      </c>
      <c r="E101" s="3226">
        <v>0.1</v>
      </c>
      <c r="F101" s="3225">
        <v>15</v>
      </c>
    </row>
    <row r="102" spans="1:6" s="801" customFormat="1" ht="24">
      <c r="A102" s="3225">
        <v>30</v>
      </c>
      <c r="B102" s="3578"/>
      <c r="C102" s="3205" t="s">
        <v>3089</v>
      </c>
      <c r="D102" s="3205" t="s">
        <v>3090</v>
      </c>
      <c r="E102" s="3226">
        <v>0.1</v>
      </c>
      <c r="F102" s="3225">
        <v>15</v>
      </c>
    </row>
    <row r="103" spans="1:6" s="801" customFormat="1" ht="24">
      <c r="A103" s="3225">
        <v>31</v>
      </c>
      <c r="B103" s="3578"/>
      <c r="C103" s="3205" t="s">
        <v>3091</v>
      </c>
      <c r="D103" s="3205" t="s">
        <v>3092</v>
      </c>
      <c r="E103" s="3226">
        <v>0.1</v>
      </c>
      <c r="F103" s="3225">
        <v>15</v>
      </c>
    </row>
    <row r="104" spans="1:6" s="801" customFormat="1" ht="24">
      <c r="A104" s="3225">
        <v>32</v>
      </c>
      <c r="B104" s="3578"/>
      <c r="C104" s="3205" t="s">
        <v>3093</v>
      </c>
      <c r="D104" s="3205" t="s">
        <v>3094</v>
      </c>
      <c r="E104" s="3226">
        <v>0.1</v>
      </c>
      <c r="F104" s="3225">
        <v>15</v>
      </c>
    </row>
    <row r="105" spans="1:6" s="801" customFormat="1" ht="24">
      <c r="A105" s="3225">
        <v>33</v>
      </c>
      <c r="B105" s="3578"/>
      <c r="C105" s="3205" t="s">
        <v>3095</v>
      </c>
      <c r="D105" s="3205" t="s">
        <v>3096</v>
      </c>
      <c r="E105" s="3226">
        <v>0.1</v>
      </c>
      <c r="F105" s="3225">
        <v>15</v>
      </c>
    </row>
    <row r="106" spans="1:6" s="801" customFormat="1" ht="24">
      <c r="A106" s="3225">
        <v>34</v>
      </c>
      <c r="B106" s="3577"/>
      <c r="C106" s="3205" t="s">
        <v>3097</v>
      </c>
      <c r="D106" s="3205" t="s">
        <v>3098</v>
      </c>
      <c r="E106" s="3226">
        <v>0.1</v>
      </c>
      <c r="F106" s="3225">
        <v>15</v>
      </c>
    </row>
    <row r="107" spans="1:6" s="801" customFormat="1" ht="24">
      <c r="A107" s="3225">
        <v>35</v>
      </c>
      <c r="B107" s="3576" t="s">
        <v>3099</v>
      </c>
      <c r="C107" s="3225" t="s">
        <v>3100</v>
      </c>
      <c r="D107" s="3205" t="s">
        <v>3101</v>
      </c>
      <c r="E107" s="3226">
        <v>0.15</v>
      </c>
      <c r="F107" s="3225">
        <v>20</v>
      </c>
    </row>
    <row r="108" spans="1:6" s="801" customFormat="1" ht="24">
      <c r="A108" s="3225">
        <v>36</v>
      </c>
      <c r="B108" s="3578"/>
      <c r="C108" s="3225" t="s">
        <v>3102</v>
      </c>
      <c r="D108" s="3205" t="s">
        <v>3103</v>
      </c>
      <c r="E108" s="3226">
        <v>0.15</v>
      </c>
      <c r="F108" s="3225">
        <v>20</v>
      </c>
    </row>
    <row r="109" spans="1:6" s="801" customFormat="1" ht="24">
      <c r="A109" s="3225">
        <v>37</v>
      </c>
      <c r="B109" s="3578"/>
      <c r="C109" s="3225" t="s">
        <v>3104</v>
      </c>
      <c r="D109" s="3205" t="s">
        <v>3105</v>
      </c>
      <c r="E109" s="3226">
        <v>0.15</v>
      </c>
      <c r="F109" s="3225">
        <v>20</v>
      </c>
    </row>
    <row r="110" spans="1:6" s="801" customFormat="1" ht="13.5">
      <c r="A110" s="3225">
        <v>38</v>
      </c>
      <c r="B110" s="3578"/>
      <c r="C110" s="3225" t="s">
        <v>3106</v>
      </c>
      <c r="D110" s="3205" t="s">
        <v>3107</v>
      </c>
      <c r="E110" s="3226">
        <v>0.1</v>
      </c>
      <c r="F110" s="3225">
        <v>15</v>
      </c>
    </row>
    <row r="111" spans="1:6" s="801" customFormat="1" ht="24">
      <c r="A111" s="3225">
        <v>39</v>
      </c>
      <c r="B111" s="3578"/>
      <c r="C111" s="3225" t="s">
        <v>3108</v>
      </c>
      <c r="D111" s="3205" t="s">
        <v>3109</v>
      </c>
      <c r="E111" s="3226">
        <v>0.1</v>
      </c>
      <c r="F111" s="3225">
        <v>15</v>
      </c>
    </row>
    <row r="112" spans="1:6" s="801" customFormat="1" ht="24">
      <c r="A112" s="3225">
        <v>40</v>
      </c>
      <c r="B112" s="3577"/>
      <c r="C112" s="3225" t="s">
        <v>3110</v>
      </c>
      <c r="D112" s="3205" t="s">
        <v>3111</v>
      </c>
      <c r="E112" s="3226">
        <v>0.1</v>
      </c>
      <c r="F112" s="3225">
        <v>15</v>
      </c>
    </row>
    <row r="113" spans="1:6" s="801" customFormat="1" ht="24">
      <c r="A113" s="3225">
        <v>41</v>
      </c>
      <c r="B113" s="3575" t="s">
        <v>3112</v>
      </c>
      <c r="C113" s="3225" t="s">
        <v>3113</v>
      </c>
      <c r="D113" s="3205" t="s">
        <v>3114</v>
      </c>
      <c r="E113" s="3226">
        <v>0.1</v>
      </c>
      <c r="F113" s="3225">
        <v>15</v>
      </c>
    </row>
    <row r="114" spans="1:6" s="801" customFormat="1" ht="13.5">
      <c r="A114" s="3225">
        <v>42</v>
      </c>
      <c r="B114" s="3575"/>
      <c r="C114" s="3225" t="s">
        <v>3115</v>
      </c>
      <c r="D114" s="3205" t="s">
        <v>3116</v>
      </c>
      <c r="E114" s="3226">
        <v>0.1</v>
      </c>
      <c r="F114" s="3225">
        <v>15</v>
      </c>
    </row>
    <row r="115" spans="1:6" s="801" customFormat="1" ht="24">
      <c r="A115" s="3225">
        <v>43</v>
      </c>
      <c r="B115" s="3575"/>
      <c r="C115" s="3225" t="s">
        <v>3117</v>
      </c>
      <c r="D115" s="3205" t="s">
        <v>3118</v>
      </c>
      <c r="E115" s="3226">
        <v>0.1</v>
      </c>
      <c r="F115" s="3225">
        <v>15</v>
      </c>
    </row>
    <row r="116" spans="1:6" s="801" customFormat="1" ht="24">
      <c r="A116" s="3225">
        <v>44</v>
      </c>
      <c r="B116" s="3576" t="s">
        <v>3119</v>
      </c>
      <c r="C116" s="3225" t="s">
        <v>3120</v>
      </c>
      <c r="D116" s="3205" t="s">
        <v>3121</v>
      </c>
      <c r="E116" s="3226">
        <v>0.1</v>
      </c>
      <c r="F116" s="3225">
        <v>15</v>
      </c>
    </row>
    <row r="117" spans="1:6" s="801" customFormat="1" ht="24">
      <c r="A117" s="3225">
        <v>45</v>
      </c>
      <c r="B117" s="3577"/>
      <c r="C117" s="3205" t="s">
        <v>3122</v>
      </c>
      <c r="D117" s="3205" t="s">
        <v>3123</v>
      </c>
      <c r="E117" s="3226">
        <v>0.1</v>
      </c>
      <c r="F117" s="3225">
        <v>15</v>
      </c>
    </row>
    <row r="118" spans="1:6" s="801" customFormat="1" ht="24">
      <c r="A118" s="3225">
        <v>46</v>
      </c>
      <c r="B118" s="3576" t="s">
        <v>3124</v>
      </c>
      <c r="C118" s="3225" t="s">
        <v>3125</v>
      </c>
      <c r="D118" s="3205" t="s">
        <v>3126</v>
      </c>
      <c r="E118" s="3226">
        <v>0.1</v>
      </c>
      <c r="F118" s="3225">
        <v>15</v>
      </c>
    </row>
    <row r="119" spans="1:6" s="801" customFormat="1" ht="24">
      <c r="A119" s="3225">
        <v>47</v>
      </c>
      <c r="B119" s="3577"/>
      <c r="C119" s="3225" t="s">
        <v>3127</v>
      </c>
      <c r="D119" s="3205" t="s">
        <v>3128</v>
      </c>
      <c r="E119" s="3226">
        <v>0.1</v>
      </c>
      <c r="F119" s="3225">
        <v>15</v>
      </c>
    </row>
    <row r="120" spans="1:6" s="801" customFormat="1" ht="24">
      <c r="A120" s="3225">
        <v>48</v>
      </c>
      <c r="B120" s="3576" t="s">
        <v>3129</v>
      </c>
      <c r="C120" s="3225" t="s">
        <v>3130</v>
      </c>
      <c r="D120" s="3205" t="s">
        <v>3131</v>
      </c>
      <c r="E120" s="3226">
        <v>0.1</v>
      </c>
      <c r="F120" s="3225">
        <v>15</v>
      </c>
    </row>
    <row r="121" spans="1:6" s="801" customFormat="1" ht="13.5">
      <c r="A121" s="3225">
        <v>49</v>
      </c>
      <c r="B121" s="3577"/>
      <c r="C121" s="3225" t="s">
        <v>3132</v>
      </c>
      <c r="D121" s="3205" t="s">
        <v>3133</v>
      </c>
      <c r="E121" s="3226">
        <v>0.1</v>
      </c>
      <c r="F121" s="3225">
        <v>15</v>
      </c>
    </row>
    <row r="122" spans="1:6" s="801" customFormat="1" ht="24">
      <c r="A122" s="3225">
        <v>50</v>
      </c>
      <c r="B122" s="3575" t="s">
        <v>3134</v>
      </c>
      <c r="C122" s="3225" t="s">
        <v>3135</v>
      </c>
      <c r="D122" s="3205" t="s">
        <v>3136</v>
      </c>
      <c r="E122" s="3226">
        <v>0.1</v>
      </c>
      <c r="F122" s="3225">
        <v>15</v>
      </c>
    </row>
    <row r="123" spans="1:6" s="801" customFormat="1" ht="24">
      <c r="A123" s="3225">
        <v>51</v>
      </c>
      <c r="B123" s="3575"/>
      <c r="C123" s="3225" t="s">
        <v>3137</v>
      </c>
      <c r="D123" s="3205" t="s">
        <v>3138</v>
      </c>
      <c r="E123" s="3226">
        <v>0.1</v>
      </c>
      <c r="F123" s="3225">
        <v>15</v>
      </c>
    </row>
    <row r="124" spans="1:6" s="801" customFormat="1" ht="24">
      <c r="A124" s="3225">
        <v>52</v>
      </c>
      <c r="B124" s="3575" t="s">
        <v>3139</v>
      </c>
      <c r="C124" s="3225" t="s">
        <v>3140</v>
      </c>
      <c r="D124" s="3205" t="s">
        <v>3141</v>
      </c>
      <c r="E124" s="3226">
        <v>0.1</v>
      </c>
      <c r="F124" s="3225">
        <v>15</v>
      </c>
    </row>
    <row r="125" spans="1:6" s="801" customFormat="1" ht="24">
      <c r="A125" s="3225">
        <v>53</v>
      </c>
      <c r="B125" s="3575"/>
      <c r="C125" s="3225" t="s">
        <v>3142</v>
      </c>
      <c r="D125" s="3205" t="s">
        <v>3143</v>
      </c>
      <c r="E125" s="3226">
        <v>0.1</v>
      </c>
      <c r="F125" s="3225">
        <v>15</v>
      </c>
    </row>
    <row r="126" spans="1:6" ht="24">
      <c r="A126" s="3225">
        <v>54</v>
      </c>
      <c r="B126" s="3225" t="s">
        <v>3144</v>
      </c>
      <c r="C126" s="3225" t="s">
        <v>3145</v>
      </c>
      <c r="D126" s="3205" t="s">
        <v>3146</v>
      </c>
      <c r="E126" s="3226">
        <v>0.1</v>
      </c>
      <c r="F126" s="3225">
        <v>15</v>
      </c>
    </row>
    <row r="127" spans="1:6" ht="13.5">
      <c r="A127" s="3225">
        <v>55</v>
      </c>
      <c r="B127" s="3575" t="s">
        <v>3147</v>
      </c>
      <c r="C127" s="3225" t="s">
        <v>3148</v>
      </c>
      <c r="D127" s="3205" t="s">
        <v>3149</v>
      </c>
      <c r="E127" s="3226">
        <v>0.1</v>
      </c>
      <c r="F127" s="3225">
        <v>15</v>
      </c>
    </row>
    <row r="128" spans="1:6" ht="13.5">
      <c r="A128" s="3225">
        <v>56</v>
      </c>
      <c r="B128" s="3575"/>
      <c r="C128" s="3225" t="s">
        <v>3150</v>
      </c>
      <c r="D128" s="3205" t="s">
        <v>3151</v>
      </c>
      <c r="E128" s="3226">
        <v>0.1</v>
      </c>
      <c r="F128" s="3225">
        <v>15</v>
      </c>
    </row>
    <row r="129" spans="1:6" ht="24">
      <c r="A129" s="3225">
        <v>57</v>
      </c>
      <c r="B129" s="3575"/>
      <c r="C129" s="3225" t="s">
        <v>3152</v>
      </c>
      <c r="D129" s="3205" t="s">
        <v>3153</v>
      </c>
      <c r="E129" s="3226">
        <v>0.1</v>
      </c>
      <c r="F129" s="3225">
        <v>15</v>
      </c>
    </row>
    <row r="130" spans="1:6" ht="24">
      <c r="A130" s="3225">
        <v>58</v>
      </c>
      <c r="B130" s="3575" t="s">
        <v>3154</v>
      </c>
      <c r="C130" s="3225" t="s">
        <v>3155</v>
      </c>
      <c r="D130" s="3205" t="s">
        <v>3156</v>
      </c>
      <c r="E130" s="3226">
        <v>0.1</v>
      </c>
      <c r="F130" s="3225">
        <v>15</v>
      </c>
    </row>
    <row r="131" spans="1:6" ht="24">
      <c r="A131" s="3225">
        <v>59</v>
      </c>
      <c r="B131" s="3575"/>
      <c r="C131" s="3225" t="s">
        <v>3157</v>
      </c>
      <c r="D131" s="3205" t="s">
        <v>3158</v>
      </c>
      <c r="E131" s="3226">
        <v>0.1</v>
      </c>
      <c r="F131" s="3225">
        <v>15</v>
      </c>
    </row>
    <row r="132" spans="1:6" ht="24">
      <c r="A132" s="3225">
        <v>60</v>
      </c>
      <c r="B132" s="3576" t="s">
        <v>3159</v>
      </c>
      <c r="C132" s="3225" t="s">
        <v>3160</v>
      </c>
      <c r="D132" s="3205" t="s">
        <v>3161</v>
      </c>
      <c r="E132" s="3226">
        <v>0.1</v>
      </c>
      <c r="F132" s="3225">
        <v>15</v>
      </c>
    </row>
    <row r="133" spans="1:6" ht="24">
      <c r="A133" s="3225">
        <v>61</v>
      </c>
      <c r="B133" s="3577"/>
      <c r="C133" s="3225" t="s">
        <v>3162</v>
      </c>
      <c r="D133" s="3205" t="s">
        <v>3163</v>
      </c>
      <c r="E133" s="3226">
        <v>0.1</v>
      </c>
      <c r="F133" s="3225">
        <v>15</v>
      </c>
    </row>
    <row r="134" spans="1:6" ht="24">
      <c r="A134" s="3225">
        <v>62</v>
      </c>
      <c r="B134" s="3225" t="s">
        <v>3164</v>
      </c>
      <c r="C134" s="3225" t="s">
        <v>3165</v>
      </c>
      <c r="D134" s="3205" t="s">
        <v>3166</v>
      </c>
      <c r="E134" s="3226">
        <v>0.1</v>
      </c>
      <c r="F134" s="3225">
        <v>15</v>
      </c>
    </row>
    <row r="135" spans="1:6" ht="24">
      <c r="A135" s="3225">
        <v>63</v>
      </c>
      <c r="B135" s="3575" t="s">
        <v>3167</v>
      </c>
      <c r="C135" s="3225" t="s">
        <v>3168</v>
      </c>
      <c r="D135" s="3205" t="s">
        <v>3169</v>
      </c>
      <c r="E135" s="3226">
        <v>0.1</v>
      </c>
      <c r="F135" s="3225">
        <v>15</v>
      </c>
    </row>
    <row r="136" spans="1:6" ht="13.5">
      <c r="A136" s="3225">
        <v>64</v>
      </c>
      <c r="B136" s="3575"/>
      <c r="C136" s="3225" t="s">
        <v>3170</v>
      </c>
      <c r="D136" s="3205" t="s">
        <v>3171</v>
      </c>
      <c r="E136" s="3226">
        <v>0.1</v>
      </c>
      <c r="F136" s="3225">
        <v>15</v>
      </c>
    </row>
    <row r="137" spans="1:6" ht="24">
      <c r="A137" s="3225">
        <v>65</v>
      </c>
      <c r="B137" s="3225" t="s">
        <v>3172</v>
      </c>
      <c r="C137" s="3225" t="s">
        <v>3173</v>
      </c>
      <c r="D137" s="3205" t="s">
        <v>3174</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3"/>
      <c r="G1" s="2973"/>
      <c r="H1" s="2973"/>
      <c r="I1" s="2973"/>
      <c r="J1" s="2973"/>
      <c r="K1" s="2973"/>
      <c r="L1" s="2973"/>
      <c r="M1" s="2973"/>
      <c r="N1" s="2973"/>
      <c r="O1" s="2973"/>
      <c r="P1" s="2973"/>
    </row>
    <row r="2" spans="1:16" ht="15.75">
      <c r="A2" s="2312" t="s">
        <v>2573</v>
      </c>
      <c r="B2" s="2777" t="e">
        <f ca="1">SUMIF(B6:B13,"&lt;&gt;#ref!",B6:B13)</f>
        <v>#DIV/0!</v>
      </c>
      <c r="C2" s="2312" t="s">
        <v>2574</v>
      </c>
      <c r="D2" s="2312" t="s">
        <v>2575</v>
      </c>
      <c r="E2" s="2787">
        <f ca="1">SUMIF(E6:E13,"&lt;&gt;#ref!",E6:E13)</f>
        <v>0</v>
      </c>
      <c r="F2" s="2973"/>
      <c r="G2" s="2973"/>
      <c r="H2" s="2973"/>
      <c r="I2" s="2973"/>
      <c r="J2" s="2973"/>
      <c r="K2" s="2973"/>
      <c r="L2" s="2973"/>
      <c r="M2" s="2973"/>
      <c r="N2" s="2973"/>
      <c r="O2" s="2973"/>
      <c r="P2" s="2973"/>
    </row>
    <row r="3" spans="1:16" ht="15.75">
      <c r="A3" s="2312" t="s">
        <v>2576</v>
      </c>
      <c r="B3" s="2777" t="e">
        <f ca="1">ROUND(B2*10000/E2,0)</f>
        <v>#DIV/0!</v>
      </c>
      <c r="C3" s="2312"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3" t="s">
        <v>2577</v>
      </c>
      <c r="B5" s="2785" t="s">
        <v>2578</v>
      </c>
      <c r="C5" s="2313"/>
      <c r="D5" s="2973"/>
      <c r="E5" s="2786" t="s">
        <v>2579</v>
      </c>
      <c r="F5" s="2973"/>
      <c r="G5" s="2973"/>
      <c r="H5" s="2973"/>
      <c r="I5" s="2973"/>
      <c r="J5" s="2973"/>
      <c r="K5" s="2973"/>
      <c r="L5" s="2973"/>
      <c r="M5" s="2973"/>
      <c r="N5" s="2973"/>
      <c r="O5" s="2973"/>
      <c r="P5" s="2973"/>
    </row>
    <row r="6" spans="1:16" ht="15.75">
      <c r="A6" s="2784" t="s">
        <v>2580</v>
      </c>
      <c r="B6" s="2777" t="e">
        <f ca="1">SUMIF(INDIRECT("'"&amp;A6&amp;"'"&amp;"!A:A"),"总价",INDIRECT("'"&amp;A6&amp;"'"&amp;"!B:B"))</f>
        <v>#DIV/0!</v>
      </c>
      <c r="C6" s="2312" t="s">
        <v>2574</v>
      </c>
      <c r="D6" s="2973"/>
      <c r="E6" s="2787">
        <f ca="1">SUMIF(INDIRECT("'"&amp;A6&amp;"'"&amp;"!C:C"),"建筑面积",INDIRECT("'"&amp;A6&amp;"'"&amp;"!D:D"))</f>
        <v>0</v>
      </c>
      <c r="F6" s="2973"/>
      <c r="G6" s="2973"/>
      <c r="H6" s="2973"/>
      <c r="I6" s="2973"/>
      <c r="J6" s="2973"/>
      <c r="K6" s="2973"/>
      <c r="L6" s="2973"/>
      <c r="M6" s="2973"/>
      <c r="N6" s="2973"/>
      <c r="O6" s="2973"/>
      <c r="P6" s="2973"/>
    </row>
    <row r="7" spans="1:16" ht="15.75">
      <c r="A7" s="2784"/>
      <c r="B7" s="2777" t="e">
        <f ca="1">SUMIF(INDIRECT("'"&amp;A7&amp;"'"&amp;"!A:A"),"总价",INDIRECT("'"&amp;A7&amp;"'"&amp;"!B:B"))</f>
        <v>#REF!</v>
      </c>
      <c r="C7" s="2312" t="s">
        <v>2574</v>
      </c>
      <c r="D7" s="2973"/>
      <c r="E7" s="2787" t="e">
        <f t="shared" ref="E7:E13" ca="1" si="0">SUMIF(INDIRECT("'"&amp;A7&amp;"'"&amp;"!C:C"),"建筑面积",INDIRECT("'"&amp;A7&amp;"'"&amp;"!D:D"))</f>
        <v>#REF!</v>
      </c>
      <c r="F7" s="2973"/>
      <c r="G7" s="2973"/>
      <c r="H7" s="2973"/>
      <c r="I7" s="2973"/>
      <c r="J7" s="2973"/>
      <c r="K7" s="2973"/>
      <c r="L7" s="2973"/>
      <c r="M7" s="2973"/>
      <c r="N7" s="2973"/>
      <c r="O7" s="2973"/>
      <c r="P7" s="2973"/>
    </row>
    <row r="8" spans="1:16" ht="15.75">
      <c r="A8" s="2784"/>
      <c r="B8" s="2777" t="e">
        <f t="shared" ref="B8:B13" ca="1" si="1">SUMIF(INDIRECT("'"&amp;A8&amp;"'"&amp;"!A:A"),"总价",INDIRECT("'"&amp;A8&amp;"'"&amp;"!B:B"))</f>
        <v>#REF!</v>
      </c>
      <c r="C8" s="2312" t="s">
        <v>2574</v>
      </c>
      <c r="D8" s="2973"/>
      <c r="E8" s="2787" t="e">
        <f t="shared" ca="1" si="0"/>
        <v>#REF!</v>
      </c>
      <c r="F8" s="2973"/>
      <c r="G8" s="2973"/>
      <c r="H8" s="2973"/>
      <c r="I8" s="2973"/>
      <c r="J8" s="2973"/>
      <c r="K8" s="2973"/>
      <c r="L8" s="2973"/>
      <c r="M8" s="2973"/>
      <c r="N8" s="2973"/>
      <c r="O8" s="2973"/>
      <c r="P8" s="2973"/>
    </row>
    <row r="9" spans="1:16" ht="15.75">
      <c r="A9" s="2784"/>
      <c r="B9" s="2777" t="e">
        <f t="shared" ca="1" si="1"/>
        <v>#REF!</v>
      </c>
      <c r="C9" s="2312" t="s">
        <v>2574</v>
      </c>
      <c r="D9" s="2973"/>
      <c r="E9" s="2787" t="e">
        <f t="shared" ca="1" si="0"/>
        <v>#REF!</v>
      </c>
      <c r="F9" s="2973"/>
      <c r="G9" s="2973"/>
      <c r="H9" s="2973"/>
      <c r="I9" s="2973"/>
      <c r="J9" s="2973"/>
      <c r="K9" s="2973"/>
      <c r="L9" s="2973"/>
      <c r="M9" s="2973"/>
      <c r="N9" s="2973"/>
      <c r="O9" s="2973"/>
      <c r="P9" s="2973"/>
    </row>
    <row r="10" spans="1:16" ht="15.75">
      <c r="A10" s="2784"/>
      <c r="B10" s="2777" t="e">
        <f t="shared" ca="1" si="1"/>
        <v>#REF!</v>
      </c>
      <c r="C10" s="2312" t="s">
        <v>2574</v>
      </c>
      <c r="D10" s="2973"/>
      <c r="E10" s="2787" t="e">
        <f t="shared" ca="1" si="0"/>
        <v>#REF!</v>
      </c>
      <c r="F10" s="2973"/>
      <c r="G10" s="2973"/>
      <c r="H10" s="2973"/>
      <c r="I10" s="2973"/>
      <c r="J10" s="2973"/>
      <c r="K10" s="2973"/>
      <c r="L10" s="2973"/>
      <c r="M10" s="2973"/>
      <c r="N10" s="2973"/>
      <c r="O10" s="2973"/>
      <c r="P10" s="2973"/>
    </row>
    <row r="11" spans="1:16" ht="15.75">
      <c r="A11" s="2784"/>
      <c r="B11" s="2777" t="e">
        <f t="shared" ca="1" si="1"/>
        <v>#REF!</v>
      </c>
      <c r="C11" s="2312" t="s">
        <v>2574</v>
      </c>
      <c r="D11" s="2973"/>
      <c r="E11" s="2787" t="e">
        <f t="shared" ca="1" si="0"/>
        <v>#REF!</v>
      </c>
      <c r="F11" s="2973"/>
      <c r="G11" s="2973"/>
      <c r="H11" s="2973"/>
      <c r="I11" s="2973"/>
      <c r="J11" s="2973"/>
      <c r="K11" s="2973"/>
      <c r="L11" s="2973"/>
      <c r="M11" s="2973"/>
      <c r="N11" s="2973"/>
      <c r="O11" s="2973"/>
      <c r="P11" s="2973"/>
    </row>
    <row r="12" spans="1:16" ht="15.75">
      <c r="A12" s="2784"/>
      <c r="B12" s="2777" t="e">
        <f t="shared" ca="1" si="1"/>
        <v>#REF!</v>
      </c>
      <c r="C12" s="2312" t="s">
        <v>2574</v>
      </c>
      <c r="D12" s="2973"/>
      <c r="E12" s="2787" t="e">
        <f t="shared" ca="1" si="0"/>
        <v>#REF!</v>
      </c>
      <c r="F12" s="2973"/>
      <c r="G12" s="2973"/>
      <c r="H12" s="2973"/>
      <c r="I12" s="2973"/>
      <c r="J12" s="2973"/>
      <c r="K12" s="2973"/>
      <c r="L12" s="2973"/>
      <c r="M12" s="2973"/>
      <c r="N12" s="2973"/>
      <c r="O12" s="2973"/>
      <c r="P12" s="2973"/>
    </row>
    <row r="13" spans="1:16" ht="15.75">
      <c r="A13" s="2784"/>
      <c r="B13" s="2777" t="e">
        <f t="shared" ca="1" si="1"/>
        <v>#REF!</v>
      </c>
      <c r="C13" s="2312" t="s">
        <v>2574</v>
      </c>
      <c r="D13" s="2973"/>
      <c r="E13" s="2787"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92" t="s">
        <v>877</v>
      </c>
      <c r="C1" s="3592"/>
      <c r="D1" s="3592"/>
      <c r="E1" s="3592"/>
      <c r="F1" s="3592"/>
      <c r="G1" s="3591" t="s">
        <v>878</v>
      </c>
      <c r="H1" s="3591"/>
      <c r="I1" s="3591"/>
      <c r="J1" s="3591"/>
      <c r="K1" s="3591"/>
      <c r="L1" s="3591"/>
      <c r="N1" s="3591" t="s">
        <v>879</v>
      </c>
      <c r="O1" s="3591"/>
      <c r="P1" s="3591"/>
      <c r="Q1" s="3591"/>
      <c r="S1" s="3591" t="s">
        <v>880</v>
      </c>
      <c r="T1" s="3591"/>
      <c r="U1" s="3591"/>
      <c r="V1" s="3591"/>
      <c r="X1" s="3590" t="s">
        <v>881</v>
      </c>
      <c r="Y1" s="3591"/>
      <c r="Z1" s="3591"/>
      <c r="AA1" s="3591"/>
      <c r="AB1" s="3591"/>
      <c r="AD1" s="3590" t="s">
        <v>882</v>
      </c>
      <c r="AE1" s="3591"/>
      <c r="AF1" s="3591"/>
      <c r="AG1" s="3591"/>
      <c r="AH1" s="3591"/>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88">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88"/>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88"/>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97"/>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93">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88"/>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88"/>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97"/>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93">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88"/>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88"/>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89"/>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87">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88"/>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88"/>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89"/>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87">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88"/>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88"/>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89"/>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94">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95"/>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95"/>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96"/>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87">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88"/>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88"/>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89"/>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87">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88">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88">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89">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87">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88">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88">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89">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87">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88">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88">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89">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87">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88">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88">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89">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87">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88">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88">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89">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87">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88">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88">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89">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87">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88">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88">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89">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87">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88">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88">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89">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87">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88">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88">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89">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87">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88">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88">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89">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601" t="s">
        <v>2584</v>
      </c>
      <c r="D1" s="3602"/>
      <c r="E1" s="3602"/>
      <c r="F1" s="3602"/>
      <c r="G1" s="3602"/>
      <c r="H1" s="3602"/>
      <c r="I1" s="3602"/>
      <c r="J1" s="3602"/>
      <c r="K1" s="3602"/>
      <c r="L1" s="3602"/>
      <c r="M1" s="3602"/>
      <c r="N1" s="3602"/>
      <c r="O1" s="3602"/>
      <c r="P1" s="3602"/>
      <c r="Q1" s="3602"/>
      <c r="R1" s="3602"/>
      <c r="S1" s="3603"/>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98" t="s">
        <v>33</v>
      </c>
      <c r="D22" s="3599"/>
      <c r="E22" s="3599"/>
      <c r="F22" s="3599"/>
      <c r="G22" s="3599"/>
      <c r="H22" s="3599"/>
      <c r="I22" s="3599"/>
      <c r="J22" s="3599"/>
      <c r="K22" s="3599"/>
      <c r="L22" s="3599"/>
      <c r="M22" s="3599"/>
      <c r="N22" s="3599"/>
      <c r="O22" s="3599"/>
      <c r="P22" s="3599"/>
      <c r="Q22" s="3600"/>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52959</v>
      </c>
      <c r="C2" s="2" t="s">
        <v>133</v>
      </c>
      <c r="D2" s="205"/>
      <c r="E2" s="205"/>
      <c r="F2" s="205"/>
      <c r="G2" s="205"/>
    </row>
    <row r="3" spans="1:7" s="206" customFormat="1" ht="18" customHeight="1" thickBot="1">
      <c r="A3" s="209" t="s">
        <v>85</v>
      </c>
      <c r="B3" s="210">
        <f ca="1">ROUND(B2*10000/'数据-汇总表'!E3,0)</f>
        <v>13102</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160</v>
      </c>
      <c r="F9" s="227"/>
      <c r="G9" s="232"/>
    </row>
    <row r="10" spans="1:7" s="220" customFormat="1" ht="13.5" customHeight="1">
      <c r="A10" s="868" t="s">
        <v>620</v>
      </c>
      <c r="B10" s="230" t="s">
        <v>94</v>
      </c>
      <c r="C10" s="231">
        <f>ROUND(D10*E10/10000,0)</f>
        <v>808</v>
      </c>
      <c r="D10" s="935">
        <f>'数据-汇总表'!E6</f>
        <v>40421.870000000003</v>
      </c>
      <c r="E10" s="231">
        <f>'数据-取费表'!B28</f>
        <v>200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808</v>
      </c>
      <c r="D19" s="939">
        <f>'数据-汇总表'!E3</f>
        <v>40421.870000000003</v>
      </c>
      <c r="E19" s="217">
        <f>'数据-取费表'!B31</f>
        <v>200</v>
      </c>
      <c r="F19" s="237"/>
      <c r="G19" s="1" t="s">
        <v>861</v>
      </c>
    </row>
    <row r="20" spans="1:7" s="220" customFormat="1" ht="13.5" customHeight="1">
      <c r="A20" s="866" t="s">
        <v>844</v>
      </c>
      <c r="B20" s="216" t="s">
        <v>104</v>
      </c>
      <c r="C20" s="238">
        <f>ROUND((C5+C19)*F20,0)</f>
        <v>535</v>
      </c>
      <c r="D20" s="238"/>
      <c r="E20" s="238"/>
      <c r="F20" s="239">
        <f>'数据-取费表'!B37</f>
        <v>2.5000000000000001E-2</v>
      </c>
      <c r="G20" s="1180" t="s">
        <v>855</v>
      </c>
    </row>
    <row r="21" spans="1:7" s="220" customFormat="1" ht="13.5" customHeight="1">
      <c r="A21" s="866" t="s">
        <v>846</v>
      </c>
      <c r="B21" s="216" t="s">
        <v>105</v>
      </c>
      <c r="C21" s="241">
        <f>F21</f>
        <v>2.5000000000000001E-2</v>
      </c>
      <c r="D21" s="242" t="s">
        <v>126</v>
      </c>
      <c r="E21" s="238"/>
      <c r="F21" s="239">
        <f>'数据-取费表'!B38</f>
        <v>2.5000000000000001E-2</v>
      </c>
      <c r="G21" s="240" t="s">
        <v>106</v>
      </c>
    </row>
    <row r="22" spans="1:7" s="220" customFormat="1" ht="13.5" customHeight="1">
      <c r="A22" s="866" t="s">
        <v>605</v>
      </c>
      <c r="B22" s="216" t="s">
        <v>107</v>
      </c>
      <c r="C22" s="1217">
        <f ca="1">ROUND(SUM(C23:C25),0)</f>
        <v>1836</v>
      </c>
      <c r="D22" s="241">
        <f ca="1">C26</f>
        <v>1E-3</v>
      </c>
      <c r="E22" s="242" t="s">
        <v>126</v>
      </c>
      <c r="F22" s="243">
        <f ca="1">'数据-取费表'!B40</f>
        <v>4.1499999999999995E-2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1746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68</v>
      </c>
      <c r="D24" s="244"/>
      <c r="E24" s="244"/>
      <c r="F24" s="245"/>
      <c r="G24" s="246" t="s">
        <v>109</v>
      </c>
    </row>
    <row r="25" spans="1:7" s="220" customFormat="1" ht="24">
      <c r="A25" s="869" t="s">
        <v>612</v>
      </c>
      <c r="B25" s="221" t="s">
        <v>845</v>
      </c>
      <c r="C25" s="1218">
        <f ca="1">ROUND(IF('数据-取费表'!B22&lt;=1,C20*F22*'数据-取费表'!B23/2,C20*(POWER((1+F22),'数据-取费表'!B23/2)-1)),0)</f>
        <v>22</v>
      </c>
      <c r="D25" s="244"/>
      <c r="E25" s="247"/>
      <c r="F25" s="245"/>
      <c r="G25" s="248" t="s">
        <v>110</v>
      </c>
    </row>
    <row r="26" spans="1:7" s="220" customFormat="1">
      <c r="A26" s="869" t="s">
        <v>614</v>
      </c>
      <c r="B26" s="221" t="s">
        <v>847</v>
      </c>
      <c r="C26" s="244">
        <f ca="1">ROUND(IF('数据-取费表'!B22&lt;=1,F21*F22*'数据-取费表'!B23/2,F21*(POWER((1+F22),'数据-取费表'!B23/2)-1)),4)</f>
        <v>1E-3</v>
      </c>
      <c r="D26" s="244"/>
      <c r="E26" s="247"/>
      <c r="F26" s="245"/>
      <c r="G26" s="249"/>
    </row>
    <row r="27" spans="1:7" s="220" customFormat="1" ht="24.75">
      <c r="A27" s="866" t="s">
        <v>606</v>
      </c>
      <c r="B27" s="250" t="s">
        <v>112</v>
      </c>
      <c r="C27" s="251">
        <f>C28</f>
        <v>3293</v>
      </c>
      <c r="D27" s="241">
        <f>C29</f>
        <v>3.8E-3</v>
      </c>
      <c r="E27" s="242" t="s">
        <v>126</v>
      </c>
      <c r="F27" s="252">
        <f>'数据-取费表'!Q16</f>
        <v>0.15</v>
      </c>
      <c r="G27" s="253" t="s">
        <v>856</v>
      </c>
    </row>
    <row r="28" spans="1:7" s="220" customFormat="1" ht="13.5" customHeight="1">
      <c r="A28" s="869" t="s">
        <v>613</v>
      </c>
      <c r="B28" s="254" t="s">
        <v>849</v>
      </c>
      <c r="C28" s="255">
        <f>ROUND((C5+C19+C20)*F27*'数据-取费表'!B21/'数据-取费表'!B20,0)</f>
        <v>3293</v>
      </c>
      <c r="D28" s="241"/>
      <c r="E28" s="242"/>
      <c r="F28" s="252"/>
      <c r="G28" s="253"/>
    </row>
    <row r="29" spans="1:7" s="220" customFormat="1" ht="13.5" customHeight="1">
      <c r="A29" s="869" t="s">
        <v>611</v>
      </c>
      <c r="B29" s="254" t="s">
        <v>850</v>
      </c>
      <c r="C29" s="244">
        <f>ROUND(C21*F27*'数据-取费表'!B21/'数据-取费表'!B20,4)</f>
        <v>3.8E-3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29538</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21184</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19499</v>
      </c>
      <c r="D34" s="223"/>
      <c r="E34" s="226"/>
      <c r="F34" s="263">
        <f>IF('数据-取费表'!B24=0,1,'数据-取费表'!N16)</f>
        <v>1</v>
      </c>
      <c r="G34" s="225" t="s">
        <v>116</v>
      </c>
    </row>
    <row r="35" spans="1:7" ht="13.5" customHeight="1">
      <c r="A35" s="869" t="s">
        <v>615</v>
      </c>
      <c r="B35" s="221" t="s">
        <v>60</v>
      </c>
      <c r="C35" s="226">
        <f>ROUND(C34*F35,0)</f>
        <v>585</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808</v>
      </c>
      <c r="D37" s="223">
        <f>'数据-汇总表'!E3</f>
        <v>40421.870000000003</v>
      </c>
      <c r="E37" s="255">
        <f>'数据-取费表'!B35</f>
        <v>200</v>
      </c>
      <c r="F37" s="265"/>
      <c r="G37" s="267" t="s">
        <v>119</v>
      </c>
    </row>
    <row r="38" spans="1:7" ht="13.5" customHeight="1">
      <c r="A38" s="869" t="s">
        <v>618</v>
      </c>
      <c r="B38" s="221" t="s">
        <v>63</v>
      </c>
      <c r="C38" s="226">
        <f>ROUND(C34*F38,0)</f>
        <v>292</v>
      </c>
      <c r="D38" s="226"/>
      <c r="E38" s="226"/>
      <c r="F38" s="265">
        <f>'数据-取费表'!B36</f>
        <v>1.4999999999999999E-2</v>
      </c>
      <c r="G38" s="225" t="s">
        <v>117</v>
      </c>
    </row>
    <row r="39" spans="1:7" s="220" customFormat="1" ht="13.5" customHeight="1">
      <c r="A39" s="866" t="s">
        <v>602</v>
      </c>
      <c r="B39" s="216" t="s">
        <v>104</v>
      </c>
      <c r="C39" s="238">
        <f>ROUND(C33*F20,0)</f>
        <v>530</v>
      </c>
      <c r="D39" s="238"/>
      <c r="E39" s="238"/>
      <c r="F39" s="239"/>
      <c r="G39" s="1180" t="s">
        <v>858</v>
      </c>
    </row>
    <row r="40" spans="1:7" s="220" customFormat="1" ht="13.5" customHeight="1">
      <c r="A40" s="866" t="s">
        <v>603</v>
      </c>
      <c r="B40" s="216" t="s">
        <v>105</v>
      </c>
      <c r="C40" s="268">
        <f>F21</f>
        <v>2.5000000000000001E-2</v>
      </c>
      <c r="D40" s="242" t="s">
        <v>129</v>
      </c>
      <c r="E40" s="238"/>
      <c r="F40" s="239"/>
      <c r="G40" s="240" t="s">
        <v>120</v>
      </c>
    </row>
    <row r="41" spans="1:7" s="220" customFormat="1" ht="13.5" customHeight="1">
      <c r="A41" s="866" t="s">
        <v>604</v>
      </c>
      <c r="B41" s="216" t="s">
        <v>107</v>
      </c>
      <c r="C41" s="238">
        <f ca="1">ROUND(SUM(C42:C43),0)</f>
        <v>901</v>
      </c>
      <c r="D41" s="241">
        <f ca="1">C44</f>
        <v>1E-3</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879</v>
      </c>
      <c r="D42" s="244"/>
      <c r="E42" s="244"/>
      <c r="F42" s="245"/>
      <c r="G42" s="3450" t="s">
        <v>121</v>
      </c>
    </row>
    <row r="43" spans="1:7" ht="13.5" customHeight="1">
      <c r="A43" s="869" t="s">
        <v>611</v>
      </c>
      <c r="B43" s="221" t="s">
        <v>851</v>
      </c>
      <c r="C43" s="244">
        <f ca="1">ROUND(IF('数据-取费表'!B22&lt;=1,C39*F22*'数据-取费表'!B21/2,C39*(POWER((1+F22),'数据-取费表'!B21/2)-1)),0)</f>
        <v>22</v>
      </c>
      <c r="D43" s="244"/>
      <c r="E43" s="244"/>
      <c r="F43" s="245"/>
      <c r="G43" s="3451"/>
    </row>
    <row r="44" spans="1:7" ht="13.5" customHeight="1">
      <c r="A44" s="869" t="s">
        <v>612</v>
      </c>
      <c r="B44" s="221" t="s">
        <v>853</v>
      </c>
      <c r="C44" s="244">
        <f ca="1">ROUND(IF('数据-取费表'!B22&lt;=1,C40*F22*'数据-取费表'!B21/2,C40*(POWER((1+F22),'数据-取费表'!B21/2)-1)),4)</f>
        <v>1E-3</v>
      </c>
      <c r="D44" s="244"/>
      <c r="E44" s="244"/>
      <c r="F44" s="245"/>
      <c r="G44" s="3452"/>
    </row>
    <row r="45" spans="1:7" s="220" customFormat="1" ht="13.5" customHeight="1">
      <c r="A45" s="866" t="s">
        <v>605</v>
      </c>
      <c r="B45" s="250" t="s">
        <v>112</v>
      </c>
      <c r="C45" s="251">
        <f>C46</f>
        <v>3257</v>
      </c>
      <c r="D45" s="241">
        <f>C47</f>
        <v>3.8E-3</v>
      </c>
      <c r="E45" s="242" t="s">
        <v>129</v>
      </c>
      <c r="F45" s="252"/>
      <c r="G45" s="253" t="s">
        <v>859</v>
      </c>
    </row>
    <row r="46" spans="1:7" s="220" customFormat="1" ht="13.5" customHeight="1">
      <c r="A46" s="869" t="s">
        <v>613</v>
      </c>
      <c r="B46" s="254" t="s">
        <v>852</v>
      </c>
      <c r="C46" s="255">
        <f>ROUND((C33+C39)*F27,0)</f>
        <v>3257</v>
      </c>
      <c r="D46" s="269"/>
      <c r="E46" s="242"/>
      <c r="F46" s="252"/>
      <c r="G46" s="253"/>
    </row>
    <row r="47" spans="1:7" s="220" customFormat="1" ht="13.5" customHeight="1">
      <c r="A47" s="869" t="s">
        <v>611</v>
      </c>
      <c r="B47" s="254" t="s">
        <v>854</v>
      </c>
      <c r="C47" s="244">
        <f>ROUND(C40*F27,4)</f>
        <v>3.8E-3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28218</v>
      </c>
      <c r="D49" s="238"/>
      <c r="E49" s="238"/>
      <c r="F49" s="270"/>
      <c r="G49" s="240" t="s">
        <v>860</v>
      </c>
    </row>
    <row r="50" spans="1:7" s="264" customFormat="1" ht="24">
      <c r="A50" s="866" t="s">
        <v>608</v>
      </c>
      <c r="B50" s="216" t="s">
        <v>124</v>
      </c>
      <c r="C50" s="238"/>
      <c r="D50" s="238"/>
      <c r="E50" s="238"/>
      <c r="F50" s="270">
        <f>IF('数据-取费表'!B24=0,'数据-取费表'!N16,1)</f>
        <v>0.83</v>
      </c>
      <c r="G50" s="253" t="s">
        <v>125</v>
      </c>
    </row>
    <row r="51" spans="1:7" ht="16.5" customHeight="1">
      <c r="A51" s="866" t="s">
        <v>609</v>
      </c>
      <c r="B51" s="216" t="s">
        <v>132</v>
      </c>
      <c r="C51" s="238">
        <f ca="1">ROUND(C49*F50,0)</f>
        <v>23421</v>
      </c>
      <c r="D51" s="238"/>
      <c r="E51" s="238"/>
      <c r="F51" s="270"/>
      <c r="G51" s="240" t="s">
        <v>64</v>
      </c>
    </row>
    <row r="52" spans="1:7" s="214" customFormat="1" ht="16.5" thickBot="1">
      <c r="A52" s="271" t="s">
        <v>65</v>
      </c>
      <c r="B52" s="272"/>
      <c r="C52" s="273">
        <f ca="1">C31+C51</f>
        <v>52959</v>
      </c>
      <c r="D52" s="272"/>
      <c r="E52" s="272"/>
      <c r="F52" s="272"/>
      <c r="G52" s="274"/>
    </row>
    <row r="55" spans="1:7" ht="15">
      <c r="B55" s="276" t="s">
        <v>66</v>
      </c>
      <c r="C55" s="277"/>
    </row>
    <row r="56" spans="1:7">
      <c r="B56" s="279" t="s">
        <v>67</v>
      </c>
      <c r="C56" s="280">
        <f ca="1">ROUND(C51/C52,3)</f>
        <v>0.442</v>
      </c>
    </row>
    <row r="57" spans="1:7">
      <c r="B57" s="279" t="s">
        <v>68</v>
      </c>
      <c r="C57" s="281">
        <f ca="1">1-C56</f>
        <v>0.55800000000000005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604" t="s">
        <v>156</v>
      </c>
      <c r="B1" s="3604"/>
      <c r="C1" s="3604"/>
      <c r="D1" s="3604"/>
      <c r="E1" s="3604"/>
      <c r="F1" s="360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05" t="s">
        <v>169</v>
      </c>
      <c r="B2" s="3605"/>
      <c r="C2" s="3605"/>
      <c r="D2" s="3605"/>
      <c r="E2" s="3605"/>
      <c r="F2" s="360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06"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607"/>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604" t="s">
        <v>658</v>
      </c>
      <c r="B1" s="3604"/>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44799</v>
      </c>
      <c r="D1" s="1423" t="s">
        <v>1028</v>
      </c>
      <c r="E1" s="1418">
        <f>'数据-取费表'!B22</f>
        <v>2</v>
      </c>
      <c r="F1" s="1423" t="s">
        <v>1029</v>
      </c>
      <c r="G1" s="1419">
        <f ca="1">INDIRECT("d"&amp;$K$1)/100</f>
        <v>3.6499999999999998E-2</v>
      </c>
      <c r="H1" s="1423" t="s">
        <v>1059</v>
      </c>
      <c r="I1" s="1419">
        <f ca="1">F4/100</f>
        <v>1.4999999999999999E-2</v>
      </c>
      <c r="J1" s="1424">
        <f>IF(C1&gt;C13,0,MATCH(C1,C$13:C$109,-1))+IF(SUMIF(C13:C109,C1,D13:D109)=0,13,12)</f>
        <v>13</v>
      </c>
      <c r="K1" s="1424">
        <f>MATCH(E1,C3:C7,1)+IF(SUMIF(C3:C7,E1,D3:D7)=0,2,1)</f>
        <v>5</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3.65</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3.65</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3.65</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3.65</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4.3</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1">
        <v>44795</v>
      </c>
      <c r="D13" s="3002">
        <v>3.65</v>
      </c>
      <c r="E13" s="3002">
        <f>D13</f>
        <v>3.65</v>
      </c>
      <c r="F13" s="3002">
        <f>D13</f>
        <v>3.65</v>
      </c>
      <c r="G13" s="3002">
        <f>D13</f>
        <v>3.65</v>
      </c>
      <c r="H13" s="3002">
        <v>4.3</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6"/>
      <c r="C14" s="2998">
        <v>44701</v>
      </c>
      <c r="D14" s="2997">
        <v>3.7</v>
      </c>
      <c r="E14" s="2997">
        <v>3.7</v>
      </c>
      <c r="F14" s="2997">
        <v>3.7</v>
      </c>
      <c r="G14" s="2997">
        <v>3.7</v>
      </c>
      <c r="H14" s="2997">
        <v>4.45</v>
      </c>
      <c r="I14" s="3002"/>
      <c r="J14" s="300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6"/>
      <c r="C15" s="2998">
        <v>44581</v>
      </c>
      <c r="D15" s="2997">
        <v>3.7</v>
      </c>
      <c r="E15" s="2997">
        <f>D15</f>
        <v>3.7</v>
      </c>
      <c r="F15" s="2997">
        <f>D15</f>
        <v>3.7</v>
      </c>
      <c r="G15" s="2997">
        <f>D15</f>
        <v>3.7</v>
      </c>
      <c r="H15" s="2997">
        <v>4.5999999999999996</v>
      </c>
      <c r="I15" s="3002"/>
      <c r="J15" s="3002"/>
      <c r="K15" s="1405"/>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7"/>
      <c r="C16" s="2998">
        <v>44550</v>
      </c>
      <c r="D16" s="2997">
        <v>3.8</v>
      </c>
      <c r="E16" s="2997">
        <f>D16</f>
        <v>3.8</v>
      </c>
      <c r="F16" s="2997">
        <f>D16</f>
        <v>3.8</v>
      </c>
      <c r="G16" s="2997">
        <f>D16</f>
        <v>3.8</v>
      </c>
      <c r="H16" s="2997">
        <v>4.6500000000000004</v>
      </c>
      <c r="I16" s="2997"/>
      <c r="J16" s="3002"/>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7"/>
      <c r="C17" s="2998">
        <v>43941</v>
      </c>
      <c r="D17" s="2997">
        <v>3.85</v>
      </c>
      <c r="E17" s="2997">
        <v>3.85</v>
      </c>
      <c r="F17" s="2997">
        <v>3.85</v>
      </c>
      <c r="G17" s="2997">
        <v>3.85</v>
      </c>
      <c r="H17" s="2997">
        <v>4.6500000000000004</v>
      </c>
      <c r="I17" s="2997"/>
      <c r="J17" s="299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7"/>
      <c r="C18" s="2998">
        <v>43881</v>
      </c>
      <c r="D18" s="2997">
        <v>4.05</v>
      </c>
      <c r="E18" s="2997">
        <v>4.05</v>
      </c>
      <c r="F18" s="2997">
        <v>4.05</v>
      </c>
      <c r="G18" s="2997">
        <v>4.05</v>
      </c>
      <c r="H18" s="2997">
        <v>4.75</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5"/>
      <c r="B19" s="2997"/>
      <c r="C19" s="2998">
        <v>43789</v>
      </c>
      <c r="D19" s="2997">
        <v>4.1500000000000004</v>
      </c>
      <c r="E19" s="2997">
        <v>4.1500000000000004</v>
      </c>
      <c r="F19" s="2997">
        <v>4.1500000000000004</v>
      </c>
      <c r="G19" s="2997">
        <v>4.1500000000000004</v>
      </c>
      <c r="H19" s="2997">
        <v>4.8</v>
      </c>
      <c r="I19" s="2997"/>
      <c r="J19" s="2997"/>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1405"/>
      <c r="B20" s="2997"/>
      <c r="C20" s="2998">
        <v>43728</v>
      </c>
      <c r="D20" s="2997">
        <v>4.2</v>
      </c>
      <c r="E20" s="2997">
        <v>4.2</v>
      </c>
      <c r="F20" s="2997">
        <v>4.2</v>
      </c>
      <c r="G20" s="2997">
        <v>4.2</v>
      </c>
      <c r="H20" s="2997">
        <v>4.8499999999999996</v>
      </c>
      <c r="I20" s="2997"/>
      <c r="J20" s="2997"/>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ht="14.25">
      <c r="A21" s="1405"/>
      <c r="B21" s="2996" t="s">
        <v>2815</v>
      </c>
      <c r="C21" s="2999">
        <v>43697</v>
      </c>
      <c r="D21" s="3000">
        <v>4.25</v>
      </c>
      <c r="E21" s="3000">
        <v>4.25</v>
      </c>
      <c r="F21" s="3000">
        <v>4.25</v>
      </c>
      <c r="G21" s="3000">
        <v>4.25</v>
      </c>
      <c r="H21" s="3000">
        <v>4.8499999999999996</v>
      </c>
      <c r="I21" s="3000"/>
      <c r="J21" s="3000"/>
      <c r="K21" s="1399"/>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ht="14.25">
      <c r="A22" s="3003"/>
      <c r="B22" s="3004"/>
      <c r="C22" s="3005">
        <v>42301</v>
      </c>
      <c r="D22" s="3006">
        <v>4.3499999999999996</v>
      </c>
      <c r="E22" s="3006">
        <v>4.3499999999999996</v>
      </c>
      <c r="F22" s="3006">
        <v>4.75</v>
      </c>
      <c r="G22" s="3006">
        <v>4.75</v>
      </c>
      <c r="H22" s="3006">
        <v>4.9000000000000004</v>
      </c>
      <c r="I22" s="3006"/>
      <c r="J22" s="3006"/>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42242</v>
      </c>
      <c r="D23" s="1411">
        <v>4.5999999999999996</v>
      </c>
      <c r="E23" s="1411">
        <v>4.5999999999999996</v>
      </c>
      <c r="F23" s="1411">
        <v>5</v>
      </c>
      <c r="G23" s="1411">
        <v>5</v>
      </c>
      <c r="H23" s="1411">
        <v>5.15</v>
      </c>
      <c r="I23" s="1411">
        <v>2.75</v>
      </c>
      <c r="J23" s="1411">
        <v>3.25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42183</v>
      </c>
      <c r="D24" s="1411">
        <v>4.8499999999999996</v>
      </c>
      <c r="E24" s="1411">
        <v>4.8499999999999996</v>
      </c>
      <c r="F24" s="1411">
        <v>5.25</v>
      </c>
      <c r="G24" s="1411">
        <v>5.25</v>
      </c>
      <c r="H24" s="1411">
        <v>5.4</v>
      </c>
      <c r="I24" s="1411">
        <v>3</v>
      </c>
      <c r="J24" s="1411">
        <v>3.5</v>
      </c>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42135</v>
      </c>
      <c r="D25" s="1411">
        <v>5.0999999999999996</v>
      </c>
      <c r="E25" s="1411">
        <v>5.0999999999999996</v>
      </c>
      <c r="F25" s="1411">
        <v>5.5</v>
      </c>
      <c r="G25" s="1411">
        <v>5.5</v>
      </c>
      <c r="H25" s="1411">
        <v>5.65</v>
      </c>
      <c r="I25" s="1411">
        <v>3.25</v>
      </c>
      <c r="J25" s="1411">
        <v>3.75</v>
      </c>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42064</v>
      </c>
      <c r="D26" s="1411">
        <v>5.35</v>
      </c>
      <c r="E26" s="1411">
        <v>5.35</v>
      </c>
      <c r="F26" s="1411">
        <v>5.75</v>
      </c>
      <c r="G26" s="1411">
        <v>5.75</v>
      </c>
      <c r="H26" s="1411">
        <v>5.9</v>
      </c>
      <c r="I26" s="1411"/>
      <c r="J26" s="1411"/>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41965</v>
      </c>
      <c r="D27" s="1411">
        <v>5.6</v>
      </c>
      <c r="E27" s="1411">
        <v>5.6</v>
      </c>
      <c r="F27" s="1411">
        <v>6</v>
      </c>
      <c r="G27" s="1411">
        <v>6</v>
      </c>
      <c r="H27" s="1411">
        <v>6.15</v>
      </c>
      <c r="I27" s="1411"/>
      <c r="J27" s="1411"/>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41096</v>
      </c>
      <c r="D28" s="1411">
        <v>5.6</v>
      </c>
      <c r="E28" s="1411">
        <v>6</v>
      </c>
      <c r="F28" s="1411">
        <v>6.15</v>
      </c>
      <c r="G28" s="1411">
        <v>6.4</v>
      </c>
      <c r="H28" s="1411">
        <v>6.55</v>
      </c>
      <c r="I28" s="1411">
        <v>4</v>
      </c>
      <c r="J28" s="1411">
        <v>4.5</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41068</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40731</v>
      </c>
      <c r="D30" s="1411">
        <v>6.1</v>
      </c>
      <c r="E30" s="1411">
        <v>6.56</v>
      </c>
      <c r="F30" s="1411">
        <v>6.65</v>
      </c>
      <c r="G30" s="1411">
        <v>6.9</v>
      </c>
      <c r="H30" s="1411">
        <v>7.05</v>
      </c>
      <c r="I30" s="1411">
        <v>4.45</v>
      </c>
      <c r="J30" s="1411">
        <v>4.9000000000000004</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40639</v>
      </c>
      <c r="D31" s="1411">
        <v>5.85</v>
      </c>
      <c r="E31" s="1411">
        <v>6.31</v>
      </c>
      <c r="F31" s="1411">
        <v>6.4</v>
      </c>
      <c r="G31" s="1411">
        <v>6.65</v>
      </c>
      <c r="H31" s="1411">
        <v>6.8</v>
      </c>
      <c r="I31" s="1411">
        <v>4.2</v>
      </c>
      <c r="J31" s="1411">
        <v>4.7</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40583</v>
      </c>
      <c r="D32" s="1411">
        <v>5.6</v>
      </c>
      <c r="E32" s="1411">
        <v>6.06</v>
      </c>
      <c r="F32" s="1411">
        <v>6.1</v>
      </c>
      <c r="G32" s="1411">
        <v>6.45</v>
      </c>
      <c r="H32" s="1411">
        <v>6.6</v>
      </c>
      <c r="I32" s="1411">
        <v>4</v>
      </c>
      <c r="J32" s="1411">
        <v>4.5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40538</v>
      </c>
      <c r="D33" s="1411">
        <v>5.35</v>
      </c>
      <c r="E33" s="1411">
        <v>5.81</v>
      </c>
      <c r="F33" s="1411">
        <v>5.85</v>
      </c>
      <c r="G33" s="1411">
        <v>6.22</v>
      </c>
      <c r="H33" s="1411">
        <v>6.4</v>
      </c>
      <c r="I33" s="1411">
        <v>3.75</v>
      </c>
      <c r="J33" s="1411">
        <v>4.3</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40471</v>
      </c>
      <c r="D34" s="1411">
        <v>5.0999999999999996</v>
      </c>
      <c r="E34" s="1411">
        <v>5.56</v>
      </c>
      <c r="F34" s="1411">
        <v>5.6</v>
      </c>
      <c r="G34" s="1411">
        <v>5.96</v>
      </c>
      <c r="H34" s="1411">
        <v>6.14</v>
      </c>
      <c r="I34" s="1411">
        <v>3.5</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39805</v>
      </c>
      <c r="D35" s="1411">
        <v>4.8600000000000003</v>
      </c>
      <c r="E35" s="1411">
        <v>5.31</v>
      </c>
      <c r="F35" s="1411">
        <v>5.4</v>
      </c>
      <c r="G35" s="1411">
        <v>5.76</v>
      </c>
      <c r="H35" s="1411">
        <v>5.94</v>
      </c>
      <c r="I35" s="1411">
        <v>3.33</v>
      </c>
      <c r="J35" s="1411">
        <v>3.87</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2">
        <v>39779</v>
      </c>
      <c r="D36" s="1411">
        <v>5.04</v>
      </c>
      <c r="E36" s="1411">
        <v>5.58</v>
      </c>
      <c r="F36" s="1411">
        <v>5.67</v>
      </c>
      <c r="G36" s="1411">
        <v>5.94</v>
      </c>
      <c r="H36" s="1411">
        <v>6.12</v>
      </c>
      <c r="I36" s="1411">
        <v>3.51</v>
      </c>
      <c r="J36" s="1411">
        <v>4.05</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39751</v>
      </c>
      <c r="D37" s="1411">
        <v>6.03</v>
      </c>
      <c r="E37" s="1411">
        <v>6.66</v>
      </c>
      <c r="F37" s="1411">
        <v>6.75</v>
      </c>
      <c r="G37" s="1411">
        <v>7.02</v>
      </c>
      <c r="H37" s="1411">
        <v>7.2</v>
      </c>
      <c r="I37" s="1411">
        <v>4.05</v>
      </c>
      <c r="J37" s="1411">
        <v>4.59</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3">
        <v>39748</v>
      </c>
      <c r="D38" s="1411">
        <v>6.12</v>
      </c>
      <c r="E38" s="1411">
        <v>6.93</v>
      </c>
      <c r="F38" s="1411">
        <v>7.02</v>
      </c>
      <c r="G38" s="1411">
        <v>7.29</v>
      </c>
      <c r="H38" s="1411">
        <v>7.47</v>
      </c>
      <c r="I38" s="1411">
        <v>4.05</v>
      </c>
      <c r="J38" s="1411">
        <v>4.59</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39730</v>
      </c>
      <c r="D39" s="1411">
        <v>6.12</v>
      </c>
      <c r="E39" s="1411">
        <v>6.93</v>
      </c>
      <c r="F39" s="1411">
        <v>7.02</v>
      </c>
      <c r="G39" s="1411">
        <v>7.29</v>
      </c>
      <c r="H39" s="1411">
        <v>7.47</v>
      </c>
      <c r="I39" s="1411">
        <v>4.32</v>
      </c>
      <c r="J39" s="1411">
        <v>4.8600000000000003</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39707</v>
      </c>
      <c r="D40" s="1411">
        <v>6.21</v>
      </c>
      <c r="E40" s="1411">
        <v>7.2</v>
      </c>
      <c r="F40" s="1411">
        <v>7.29</v>
      </c>
      <c r="G40" s="1411">
        <v>7.56</v>
      </c>
      <c r="H40" s="1411">
        <v>7.74</v>
      </c>
      <c r="I40" s="1411">
        <v>4.59</v>
      </c>
      <c r="J40" s="1411">
        <v>5.13</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39437</v>
      </c>
      <c r="D41" s="1411">
        <v>6.57</v>
      </c>
      <c r="E41" s="1411">
        <v>7.47</v>
      </c>
      <c r="F41" s="1411">
        <v>7.56</v>
      </c>
      <c r="G41" s="1411">
        <v>7.74</v>
      </c>
      <c r="H41" s="1411">
        <v>7.83</v>
      </c>
      <c r="I41" s="1411">
        <v>4.7699999999999996</v>
      </c>
      <c r="J41" s="1411">
        <v>5.22</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39340</v>
      </c>
      <c r="D42" s="1411">
        <v>6.48</v>
      </c>
      <c r="E42" s="1411">
        <v>7.29</v>
      </c>
      <c r="F42" s="1411">
        <v>7.47</v>
      </c>
      <c r="G42" s="1411">
        <v>7.65</v>
      </c>
      <c r="H42" s="1411">
        <v>7.83</v>
      </c>
      <c r="I42" s="1411">
        <v>4.7699999999999996</v>
      </c>
      <c r="J42" s="1411">
        <v>5.22</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39316</v>
      </c>
      <c r="D43" s="1411">
        <v>6.21</v>
      </c>
      <c r="E43" s="1411">
        <v>7.02</v>
      </c>
      <c r="F43" s="1411">
        <v>7.2</v>
      </c>
      <c r="G43" s="1411">
        <v>7.38</v>
      </c>
      <c r="H43" s="1411">
        <v>7.56</v>
      </c>
      <c r="I43" s="1411">
        <v>4.59</v>
      </c>
      <c r="J43" s="1411">
        <v>5.04</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39284</v>
      </c>
      <c r="D44" s="1411">
        <v>6.03</v>
      </c>
      <c r="E44" s="1411">
        <v>6.84</v>
      </c>
      <c r="F44" s="1411">
        <v>7.02</v>
      </c>
      <c r="G44" s="1411">
        <v>7.2</v>
      </c>
      <c r="H44" s="1411">
        <v>7.38</v>
      </c>
      <c r="I44" s="1411">
        <v>4.5</v>
      </c>
      <c r="J44" s="1411">
        <v>4.95</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39221</v>
      </c>
      <c r="D45" s="1411">
        <v>5.85</v>
      </c>
      <c r="E45" s="1411">
        <v>6.57</v>
      </c>
      <c r="F45" s="1411">
        <v>6.75</v>
      </c>
      <c r="G45" s="1411">
        <v>6.93</v>
      </c>
      <c r="H45" s="1411">
        <v>7.2</v>
      </c>
      <c r="I45" s="1411">
        <v>4.41</v>
      </c>
      <c r="J45" s="1411">
        <v>4.8600000000000003</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39159</v>
      </c>
      <c r="D46" s="1411">
        <v>5.67</v>
      </c>
      <c r="E46" s="1411">
        <v>6.39</v>
      </c>
      <c r="F46" s="1411">
        <v>6.57</v>
      </c>
      <c r="G46" s="1411">
        <v>6.75</v>
      </c>
      <c r="H46" s="1411">
        <v>7.11</v>
      </c>
      <c r="I46" s="1411">
        <v>4.32</v>
      </c>
      <c r="J46" s="1411">
        <v>4.7699999999999996</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38948</v>
      </c>
      <c r="D47" s="1411">
        <v>5.58</v>
      </c>
      <c r="E47" s="1411">
        <v>6.12</v>
      </c>
      <c r="F47" s="1411">
        <v>6.3</v>
      </c>
      <c r="G47" s="1411">
        <v>6.48</v>
      </c>
      <c r="H47" s="1411">
        <v>6.84</v>
      </c>
      <c r="I47" s="1411">
        <v>4.1399999999999997</v>
      </c>
      <c r="J47" s="1411">
        <v>4.59</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38835</v>
      </c>
      <c r="D48" s="1411">
        <v>5.4</v>
      </c>
      <c r="E48" s="1411">
        <v>5.85</v>
      </c>
      <c r="F48" s="1411">
        <v>6.03</v>
      </c>
      <c r="G48" s="1411">
        <v>6.12</v>
      </c>
      <c r="H48" s="1411">
        <v>6.39</v>
      </c>
      <c r="I48" s="1411">
        <v>4.1399999999999997</v>
      </c>
      <c r="J48" s="1411">
        <v>4.59</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38428</v>
      </c>
      <c r="D49" s="1411">
        <v>5.22</v>
      </c>
      <c r="E49" s="1411">
        <v>5.58</v>
      </c>
      <c r="F49" s="1411">
        <v>5.76</v>
      </c>
      <c r="G49" s="1411">
        <v>5.85</v>
      </c>
      <c r="H49" s="1411">
        <v>6.12</v>
      </c>
      <c r="I49" s="1411">
        <v>3.96</v>
      </c>
      <c r="J49" s="1411">
        <v>4.41</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38289</v>
      </c>
      <c r="D50" s="1411">
        <v>5.22</v>
      </c>
      <c r="E50" s="1411">
        <v>5.58</v>
      </c>
      <c r="F50" s="1411">
        <v>5.76</v>
      </c>
      <c r="G50" s="1411">
        <v>5.85</v>
      </c>
      <c r="H50" s="1411">
        <v>6.12</v>
      </c>
      <c r="I50" s="1411">
        <v>3.78</v>
      </c>
      <c r="J50" s="1411">
        <v>4.2300000000000004</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37308</v>
      </c>
      <c r="D51" s="1411">
        <v>5.04</v>
      </c>
      <c r="E51" s="1411">
        <v>5.31</v>
      </c>
      <c r="F51" s="1411">
        <v>5.49</v>
      </c>
      <c r="G51" s="1411">
        <v>5.58</v>
      </c>
      <c r="H51" s="1411">
        <v>5.76</v>
      </c>
      <c r="I51" s="1411">
        <v>3.6</v>
      </c>
      <c r="J51" s="1411">
        <v>4.05</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36321</v>
      </c>
      <c r="D52" s="1411">
        <v>5.58</v>
      </c>
      <c r="E52" s="1411">
        <v>5.85</v>
      </c>
      <c r="F52" s="1411">
        <v>5.94</v>
      </c>
      <c r="G52" s="1411">
        <v>6.03</v>
      </c>
      <c r="H52" s="1411">
        <v>6.21</v>
      </c>
      <c r="I52" s="1411">
        <v>4.1399999999999997</v>
      </c>
      <c r="J52" s="1411">
        <v>4.59</v>
      </c>
      <c r="L52" s="1411"/>
      <c r="M52" s="1412"/>
      <c r="N52" s="1411"/>
      <c r="O52" s="1411"/>
      <c r="P52" s="1411"/>
      <c r="Q52" s="1411"/>
      <c r="R52" s="1411"/>
      <c r="S52" s="1411"/>
      <c r="T52" s="1411"/>
      <c r="U52" s="1411"/>
      <c r="V52" s="1411"/>
      <c r="W52" s="1411"/>
      <c r="X52" s="1411"/>
      <c r="Y52" s="1411"/>
      <c r="Z52" s="1411"/>
    </row>
    <row r="53" spans="2:26">
      <c r="B53" s="1411"/>
      <c r="C53" s="1412">
        <v>36136</v>
      </c>
      <c r="D53" s="1411">
        <v>6.12</v>
      </c>
      <c r="E53" s="1411">
        <v>6.39</v>
      </c>
      <c r="F53" s="1411">
        <v>6.66</v>
      </c>
      <c r="G53" s="1411">
        <v>7.2</v>
      </c>
      <c r="H53" s="1411">
        <v>7.56</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35977</v>
      </c>
      <c r="D54" s="1411">
        <v>6.57</v>
      </c>
      <c r="E54" s="1411">
        <v>6.93</v>
      </c>
      <c r="F54" s="1411">
        <v>7.11</v>
      </c>
      <c r="G54" s="1411">
        <v>7.65</v>
      </c>
      <c r="H54" s="1411">
        <v>8.01</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35879</v>
      </c>
      <c r="D55" s="1411">
        <v>7.02</v>
      </c>
      <c r="E55" s="1411">
        <v>7.92</v>
      </c>
      <c r="F55" s="1411">
        <v>9</v>
      </c>
      <c r="G55" s="1411">
        <v>9.7200000000000006</v>
      </c>
      <c r="H55" s="1411">
        <v>10.35</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35726</v>
      </c>
      <c r="D56" s="1411">
        <v>7.65</v>
      </c>
      <c r="E56" s="1411">
        <v>8.64</v>
      </c>
      <c r="F56" s="1411">
        <v>9.36</v>
      </c>
      <c r="G56" s="1411">
        <v>9.9</v>
      </c>
      <c r="H56" s="1411">
        <v>10.53</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35300</v>
      </c>
      <c r="D57" s="1411">
        <v>9.18</v>
      </c>
      <c r="E57" s="1411">
        <v>10.08</v>
      </c>
      <c r="F57" s="1411">
        <v>10.98</v>
      </c>
      <c r="G57" s="1411">
        <v>11.7</v>
      </c>
      <c r="H57" s="1411">
        <v>12.42</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35186</v>
      </c>
      <c r="D58" s="1411">
        <v>9.7200000000000006</v>
      </c>
      <c r="E58" s="1411">
        <v>10.98</v>
      </c>
      <c r="F58" s="1411">
        <v>13.14</v>
      </c>
      <c r="G58" s="1411">
        <v>14.94</v>
      </c>
      <c r="H58" s="1411">
        <v>15.12</v>
      </c>
      <c r="I58" s="1411">
        <v>0</v>
      </c>
      <c r="J58" s="1411">
        <v>0</v>
      </c>
    </row>
    <row r="59" spans="2:26">
      <c r="B59" s="1411"/>
      <c r="C59" s="1412">
        <v>34881</v>
      </c>
      <c r="D59" s="1411">
        <v>10.08</v>
      </c>
      <c r="E59" s="1411">
        <v>12.06</v>
      </c>
      <c r="F59" s="1411">
        <v>13.5</v>
      </c>
      <c r="G59" s="1411">
        <v>15.12</v>
      </c>
      <c r="H59" s="1411">
        <v>15.3</v>
      </c>
      <c r="I59" s="1411">
        <v>0</v>
      </c>
      <c r="J59" s="1411">
        <v>0</v>
      </c>
    </row>
    <row r="60" spans="2:26">
      <c r="B60" s="1411"/>
      <c r="C60" s="1412">
        <v>34700</v>
      </c>
      <c r="D60" s="1411">
        <v>9</v>
      </c>
      <c r="E60" s="1411">
        <v>10.98</v>
      </c>
      <c r="F60" s="1411">
        <v>12.96</v>
      </c>
      <c r="G60" s="1411">
        <v>14.58</v>
      </c>
      <c r="H60" s="1411">
        <v>14.76</v>
      </c>
      <c r="I60" s="1411">
        <v>0</v>
      </c>
      <c r="J60" s="1411">
        <v>0</v>
      </c>
    </row>
    <row r="61" spans="2:26">
      <c r="B61" s="1411"/>
      <c r="C61" s="1412">
        <v>34161</v>
      </c>
      <c r="D61" s="1411">
        <v>9</v>
      </c>
      <c r="E61" s="1411">
        <v>10.98</v>
      </c>
      <c r="F61" s="1411">
        <v>12.24</v>
      </c>
      <c r="G61" s="1411">
        <v>13.86</v>
      </c>
      <c r="H61" s="1411">
        <v>14.04</v>
      </c>
      <c r="I61" s="1411">
        <v>0</v>
      </c>
      <c r="J61" s="1411">
        <v>0</v>
      </c>
    </row>
    <row r="62" spans="2:26">
      <c r="B62" s="1411"/>
      <c r="C62" s="1412">
        <v>34104</v>
      </c>
      <c r="D62" s="1411">
        <v>8.82</v>
      </c>
      <c r="E62" s="1411">
        <v>9.36</v>
      </c>
      <c r="F62" s="1411">
        <v>10.8</v>
      </c>
      <c r="G62" s="1411">
        <v>12.06</v>
      </c>
      <c r="H62" s="1411">
        <v>12.24</v>
      </c>
      <c r="I62" s="1411">
        <v>0</v>
      </c>
      <c r="J62" s="1411">
        <v>0</v>
      </c>
    </row>
    <row r="63" spans="2:26">
      <c r="B63" s="1411"/>
      <c r="C63" s="1412">
        <v>33349</v>
      </c>
      <c r="D63" s="1411">
        <v>8.1</v>
      </c>
      <c r="E63" s="1411">
        <v>8.64</v>
      </c>
      <c r="F63" s="1411">
        <v>9</v>
      </c>
      <c r="G63" s="1411">
        <v>9.5399999999999991</v>
      </c>
      <c r="H63" s="1411">
        <v>9.7200000000000006</v>
      </c>
      <c r="I63" s="1411">
        <v>0</v>
      </c>
      <c r="J63" s="1411">
        <v>0</v>
      </c>
    </row>
    <row r="64" spans="2:26">
      <c r="B64" s="1411"/>
      <c r="C64" s="1412">
        <v>33318</v>
      </c>
      <c r="D64" s="1411">
        <v>9</v>
      </c>
      <c r="E64" s="1411">
        <v>10.08</v>
      </c>
      <c r="F64" s="1411">
        <v>10.8</v>
      </c>
      <c r="G64" s="1411">
        <v>11.52</v>
      </c>
      <c r="H64" s="1411">
        <v>11.88</v>
      </c>
      <c r="I64" s="1411" t="s">
        <v>1058</v>
      </c>
      <c r="J64" s="1411" t="s">
        <v>1058</v>
      </c>
    </row>
    <row r="65" spans="2:10">
      <c r="B65" s="1411"/>
      <c r="C65" s="1412">
        <v>33106</v>
      </c>
      <c r="D65" s="1411">
        <v>8.64</v>
      </c>
      <c r="E65" s="1411">
        <v>9.36</v>
      </c>
      <c r="F65" s="1411">
        <v>10.08</v>
      </c>
      <c r="G65" s="1411">
        <v>10.8</v>
      </c>
      <c r="H65" s="1411">
        <v>11.16</v>
      </c>
      <c r="I65" s="1411">
        <v>0</v>
      </c>
      <c r="J65" s="1411">
        <v>0</v>
      </c>
    </row>
    <row r="66" spans="2:10">
      <c r="B66" s="1411"/>
      <c r="C66" s="1412">
        <v>32540</v>
      </c>
      <c r="D66" s="1411">
        <v>11.34</v>
      </c>
      <c r="E66" s="1411">
        <v>11.34</v>
      </c>
      <c r="F66" s="1411">
        <v>12.78</v>
      </c>
      <c r="G66" s="1411">
        <v>14.4</v>
      </c>
      <c r="H66" s="1411">
        <v>19.260000000000002</v>
      </c>
      <c r="I66" s="1411">
        <v>0</v>
      </c>
      <c r="J66" s="1411">
        <v>0</v>
      </c>
    </row>
    <row r="67" spans="2:10">
      <c r="B67" s="1411"/>
      <c r="C67" s="1412"/>
      <c r="D67" s="1411"/>
      <c r="E67" s="1411"/>
      <c r="F67" s="1411"/>
      <c r="G67" s="1411"/>
      <c r="H67" s="1411"/>
      <c r="I67" s="1411"/>
      <c r="J67" s="1411"/>
    </row>
    <row r="68" spans="2:10">
      <c r="B68" s="1414"/>
      <c r="C68" s="1415"/>
      <c r="D68" s="1414"/>
      <c r="E68" s="1414"/>
      <c r="F68" s="1414"/>
      <c r="G68" s="1414"/>
      <c r="H68" s="1414"/>
      <c r="I68" s="1414"/>
      <c r="J68" s="1414"/>
    </row>
    <row r="69" spans="2:10">
      <c r="B69" s="1414"/>
      <c r="C69" s="1415"/>
      <c r="D69" s="1414"/>
      <c r="E69" s="1414"/>
      <c r="F69" s="1414"/>
      <c r="G69" s="1414"/>
      <c r="H69" s="1414"/>
      <c r="I69" s="1414"/>
      <c r="J69" s="1414"/>
    </row>
    <row r="70" spans="2:10">
      <c r="B70" s="1414"/>
      <c r="C70" s="1415"/>
      <c r="D70" s="1414"/>
      <c r="E70" s="1414"/>
      <c r="F70" s="1414"/>
      <c r="G70" s="1414"/>
      <c r="H70" s="1414"/>
      <c r="I70" s="1414"/>
      <c r="J70" s="1414"/>
    </row>
    <row r="71" spans="2:10">
      <c r="B71" s="1363"/>
      <c r="C71" s="1363"/>
      <c r="D71" s="1363"/>
      <c r="E71" s="1363"/>
      <c r="F71" s="1363"/>
      <c r="G71" s="1363"/>
      <c r="H71" s="1363"/>
      <c r="I71" s="1363"/>
      <c r="J71" s="1363"/>
    </row>
    <row r="72" spans="2:10">
      <c r="B72" s="1363"/>
      <c r="C72" s="1363"/>
      <c r="D72" s="1363"/>
      <c r="E72" s="1363"/>
      <c r="F72" s="1363"/>
      <c r="G72" s="1363"/>
      <c r="H72" s="1363"/>
      <c r="I72" s="1363"/>
      <c r="J72" s="1363"/>
    </row>
  </sheetData>
  <sheetProtection password="CEE9"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车库抵押物清单</vt:lpstr>
      <vt:lpstr>面积</vt:lpstr>
      <vt:lpstr>抵押物清单汇总</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2022-09-01T07:21:30Z</dcterms:modified>
</cp:coreProperties>
</file>