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32" windowWidth="9960" windowHeight="10992"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N20" i="1"/>
  <c r="F15" i="74" l="1"/>
  <c r="E7" i="39"/>
  <c r="G7" i="39"/>
  <c r="I7" i="39"/>
  <c r="B1" i="74"/>
  <c r="D29" i="74"/>
  <c r="D26" i="74"/>
  <c r="D27" i="74"/>
  <c r="D28" i="74" s="1"/>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s="1"/>
  <c r="C8" i="68" s="1"/>
  <c r="C5" i="68" s="1"/>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B22" i="1"/>
  <c r="E1" i="73"/>
  <c r="K1" i="73"/>
  <c r="C19" i="68"/>
  <c r="F21" i="68"/>
  <c r="B23" i="1"/>
  <c r="C21" i="68"/>
  <c r="B24" i="1"/>
  <c r="F34" i="68"/>
  <c r="C36" i="68" s="1"/>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D9" i="68"/>
  <c r="E37" i="68"/>
  <c r="F38" i="68"/>
  <c r="C38" i="68"/>
  <c r="F20" i="68"/>
  <c r="C40" i="68"/>
  <c r="G1" i="15"/>
  <c r="D3" i="66"/>
  <c r="I3" i="66"/>
  <c r="I4" i="66"/>
  <c r="I5" i="66"/>
  <c r="I6" i="66"/>
  <c r="I7" i="66"/>
  <c r="I8" i="66"/>
  <c r="I9" i="66"/>
  <c r="I10" i="66"/>
  <c r="C28" i="66"/>
  <c r="I13" i="66"/>
  <c r="I14" i="66"/>
  <c r="I15" i="66"/>
  <c r="I18" i="66"/>
  <c r="I19" i="66"/>
  <c r="I20" i="66"/>
  <c r="I21" i="66"/>
  <c r="C29" i="66"/>
  <c r="C27" i="66"/>
  <c r="C30" i="66"/>
  <c r="C31" i="66"/>
  <c r="C32" i="66"/>
  <c r="E26" i="66"/>
  <c r="L1" i="73"/>
  <c r="B43" i="1"/>
  <c r="B41" i="1"/>
  <c r="F32" i="15"/>
  <c r="E27" i="6"/>
  <c r="K19" i="6"/>
  <c r="S6" i="1"/>
  <c r="T6" i="1"/>
  <c r="F15" i="15"/>
  <c r="F17" i="15"/>
  <c r="F18" i="15"/>
  <c r="F20" i="15"/>
  <c r="F23" i="15"/>
  <c r="F21" i="15"/>
  <c r="F28" i="15"/>
  <c r="C28" i="15"/>
  <c r="F33" i="15"/>
  <c r="L19" i="6"/>
  <c r="M19" i="6"/>
  <c r="I19" i="6"/>
  <c r="H19" i="6"/>
  <c r="R19" i="6"/>
  <c r="R6" i="1"/>
  <c r="B52" i="1"/>
  <c r="F34" i="15"/>
  <c r="Y6" i="1"/>
  <c r="E15" i="4"/>
  <c r="F6" i="1"/>
  <c r="M47" i="15"/>
  <c r="J50" i="15"/>
  <c r="J51" i="15"/>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9"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D22" i="15"/>
  <c r="AQ13" i="1"/>
  <c r="O6" i="1"/>
  <c r="P6" i="1"/>
  <c r="F30" i="68"/>
  <c r="C30" i="68"/>
  <c r="F30" i="11"/>
  <c r="C48" i="11"/>
  <c r="F28" i="67"/>
  <c r="C28" i="67"/>
  <c r="F31" i="12"/>
  <c r="F52" i="9"/>
  <c r="C31" i="12"/>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s="1"/>
  <c r="C12" i="12" s="1"/>
  <c r="F34" i="11"/>
  <c r="C37" i="11" s="1"/>
  <c r="F11"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I5" i="6"/>
  <c r="C49" i="21"/>
  <c r="I63" i="40"/>
  <c r="H65" i="40"/>
  <c r="J63" i="40"/>
  <c r="I65" i="40"/>
  <c r="K63" i="40"/>
  <c r="J65" i="40"/>
  <c r="L63" i="40"/>
  <c r="K65" i="40"/>
  <c r="E2" i="70"/>
  <c r="C34" i="69"/>
  <c r="C38" i="69" s="1"/>
  <c r="M63" i="40"/>
  <c r="L65" i="40"/>
  <c r="D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F27" i="68"/>
  <c r="C29" i="68" s="1"/>
  <c r="D27" i="68" s="1"/>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29" i="12" s="1"/>
  <c r="D28" i="12" s="1"/>
  <c r="F27" i="11"/>
  <c r="C28" i="11"/>
  <c r="C27" i="11"/>
  <c r="C29" i="11"/>
  <c r="D27" i="11"/>
  <c r="C47" i="11"/>
  <c r="D45" i="11"/>
  <c r="F27" i="69"/>
  <c r="C29" i="69" s="1"/>
  <c r="D27" i="69" s="1"/>
  <c r="E9" i="76"/>
  <c r="F8" i="15"/>
  <c r="B12" i="76"/>
  <c r="F13" i="15"/>
  <c r="F20" i="31"/>
  <c r="E12" i="76"/>
  <c r="M28" i="15"/>
  <c r="E13" i="76"/>
  <c r="L47" i="67"/>
  <c r="M27" i="15"/>
  <c r="M9" i="15"/>
  <c r="E7" i="76"/>
  <c r="M8" i="15"/>
  <c r="M21" i="15"/>
  <c r="F9" i="67"/>
  <c r="AO7" i="1"/>
  <c r="F40" i="15"/>
  <c r="F36" i="15"/>
  <c r="F42" i="15"/>
  <c r="C14" i="15"/>
  <c r="J15" i="67"/>
  <c r="F5" i="73"/>
  <c r="D2" i="34"/>
  <c r="F38" i="15"/>
  <c r="E11" i="76"/>
  <c r="E8" i="76"/>
  <c r="AO12" i="1"/>
  <c r="F16" i="67"/>
  <c r="E2" i="69"/>
  <c r="J15" i="15"/>
  <c r="F8" i="67"/>
  <c r="F43" i="67"/>
  <c r="L48" i="15"/>
  <c r="D2" i="21"/>
  <c r="M6" i="67"/>
  <c r="D2" i="35"/>
  <c r="F35" i="15"/>
  <c r="D7" i="73"/>
  <c r="F36" i="67"/>
  <c r="AO9" i="1"/>
  <c r="F38" i="67"/>
  <c r="F43" i="15"/>
  <c r="M23" i="15"/>
  <c r="F13" i="67"/>
  <c r="F16" i="15"/>
  <c r="M29" i="15"/>
  <c r="E10" i="76"/>
  <c r="D4" i="73"/>
  <c r="B11" i="76"/>
  <c r="F3" i="73"/>
  <c r="AO8" i="1"/>
  <c r="F7" i="67"/>
  <c r="M22" i="67"/>
  <c r="M21" i="67"/>
  <c r="AO11" i="1"/>
  <c r="F9" i="15"/>
  <c r="B9" i="76"/>
  <c r="D5" i="73"/>
  <c r="M6" i="15"/>
  <c r="M24" i="67"/>
  <c r="M23" i="67"/>
  <c r="M22" i="15"/>
  <c r="F35" i="67"/>
  <c r="F37" i="15"/>
  <c r="C76" i="15"/>
  <c r="F6" i="67"/>
  <c r="B6" i="76"/>
  <c r="M24" i="15"/>
  <c r="F41" i="67"/>
  <c r="D6" i="73"/>
  <c r="F4" i="73"/>
  <c r="D3" i="73"/>
  <c r="B10" i="76"/>
  <c r="M8" i="67"/>
  <c r="M26" i="15"/>
  <c r="D2" i="33"/>
  <c r="F26" i="67"/>
  <c r="D2" i="36"/>
  <c r="M29" i="67"/>
  <c r="AO13" i="1"/>
  <c r="L47" i="15"/>
  <c r="F7" i="15"/>
  <c r="M27" i="67"/>
  <c r="M28" i="67"/>
  <c r="F26" i="15"/>
  <c r="D2" i="37"/>
  <c r="L48" i="67"/>
  <c r="F40" i="67"/>
  <c r="F37" i="67"/>
  <c r="B7" i="76"/>
  <c r="M26" i="67"/>
  <c r="F7" i="73"/>
  <c r="F6" i="73"/>
  <c r="E6" i="76"/>
  <c r="C76" i="67"/>
  <c r="E2" i="68"/>
  <c r="M9" i="67"/>
  <c r="B8" i="76"/>
  <c r="F42" i="67"/>
  <c r="AO10" i="1"/>
  <c r="B13" i="76"/>
  <c r="E10" i="49" l="1"/>
  <c r="E6" i="49"/>
  <c r="B4" i="49"/>
  <c r="E16" i="49"/>
  <c r="B16" i="49"/>
  <c r="C34" i="11"/>
  <c r="C35" i="11" s="1"/>
  <c r="C14" i="12"/>
  <c r="C47" i="68"/>
  <c r="D45" i="68" s="1"/>
  <c r="C35" i="69"/>
  <c r="C15" i="12"/>
  <c r="C23" i="12"/>
  <c r="C18" i="12"/>
  <c r="E4" i="49"/>
  <c r="E5" i="49"/>
  <c r="E8" i="49"/>
  <c r="B13" i="49"/>
  <c r="E4" i="4" s="1"/>
  <c r="B5" i="62" s="1"/>
  <c r="B73" i="72" s="1"/>
  <c r="E7" i="49"/>
  <c r="C47" i="69"/>
  <c r="D45" i="69" s="1"/>
  <c r="B2" i="35"/>
  <c r="B3" i="35" s="1"/>
  <c r="M7" i="67"/>
  <c r="J6" i="67" s="1"/>
  <c r="F50" i="67"/>
  <c r="E20" i="43"/>
  <c r="F65" i="67"/>
  <c r="J20" i="15"/>
  <c r="L58" i="15"/>
  <c r="L59" i="15"/>
  <c r="M59" i="15"/>
  <c r="N59" i="15"/>
  <c r="C27" i="67"/>
  <c r="B20" i="31"/>
  <c r="F69" i="67"/>
  <c r="B7" i="70"/>
  <c r="F70" i="67"/>
  <c r="Q71" i="67"/>
  <c r="F66" i="15"/>
  <c r="B2" i="76"/>
  <c r="B2" i="33"/>
  <c r="B3" i="33" s="1"/>
  <c r="B2" i="36"/>
  <c r="B3" i="36" s="1"/>
  <c r="B8" i="70"/>
  <c r="E2" i="76"/>
  <c r="B2" i="21"/>
  <c r="B3" i="21" s="1"/>
  <c r="C6" i="67"/>
  <c r="F68" i="67"/>
  <c r="B13" i="70"/>
  <c r="Q71" i="15"/>
  <c r="B11" i="70"/>
  <c r="J57" i="15"/>
  <c r="J55" i="15" s="1"/>
  <c r="J58" i="15" s="1"/>
  <c r="Q50" i="15" s="1"/>
  <c r="J53" i="15"/>
  <c r="L56" i="15"/>
  <c r="L57" i="15"/>
  <c r="I54" i="15"/>
  <c r="L60" i="15"/>
  <c r="F65" i="15"/>
  <c r="F64" i="15"/>
  <c r="F71" i="15"/>
  <c r="F51" i="15"/>
  <c r="B2" i="34"/>
  <c r="B3" i="34" s="1"/>
  <c r="B2" i="37"/>
  <c r="B3" i="37" s="1"/>
  <c r="J20" i="67"/>
  <c r="C34" i="67"/>
  <c r="F63" i="67"/>
  <c r="C62" i="67" s="1"/>
  <c r="F66" i="67"/>
  <c r="F71" i="67"/>
  <c r="L59" i="67"/>
  <c r="M59" i="67"/>
  <c r="L58" i="67"/>
  <c r="N59" i="67"/>
  <c r="L56" i="67"/>
  <c r="I54" i="67"/>
  <c r="J57" i="67"/>
  <c r="J55" i="67" s="1"/>
  <c r="J58" i="67" s="1"/>
  <c r="Q50" i="67" s="1"/>
  <c r="B12" i="70"/>
  <c r="B9" i="70"/>
  <c r="F64" i="67"/>
  <c r="F51" i="67"/>
  <c r="B10" i="70"/>
  <c r="F68" i="15"/>
  <c r="C34" i="15"/>
  <c r="F63" i="15"/>
  <c r="C62" i="15" s="1"/>
  <c r="C27" i="15"/>
  <c r="C15" i="15"/>
  <c r="C18" i="15"/>
  <c r="I1" i="73"/>
  <c r="B39" i="1" s="1"/>
  <c r="M7" i="15"/>
  <c r="J6" i="15" s="1"/>
  <c r="U6" i="1"/>
  <c r="F50" i="15"/>
  <c r="C20" i="68"/>
  <c r="C28" i="68" s="1"/>
  <c r="C27" i="68" s="1"/>
  <c r="D19" i="69"/>
  <c r="C10" i="69"/>
  <c r="C8" i="69" s="1"/>
  <c r="C5" i="69" s="1"/>
  <c r="R16" i="1"/>
  <c r="B23" i="49"/>
  <c r="B22" i="49"/>
  <c r="B7" i="49"/>
  <c r="C4" i="4" s="1"/>
  <c r="B14" i="49"/>
  <c r="E22" i="49"/>
  <c r="B5" i="49"/>
  <c r="B11" i="49"/>
  <c r="E21" i="49"/>
  <c r="E9" i="49"/>
  <c r="B6" i="49"/>
  <c r="B8" i="49"/>
  <c r="E11" i="49"/>
  <c r="D19" i="68"/>
  <c r="D37" i="68" s="1"/>
  <c r="C37" i="68" s="1"/>
  <c r="C33" i="68" s="1"/>
  <c r="C9" i="68"/>
  <c r="E15" i="74"/>
  <c r="G1" i="73"/>
  <c r="F59" i="67"/>
  <c r="M17" i="15"/>
  <c r="C14" i="67"/>
  <c r="F31" i="67"/>
  <c r="C16" i="15"/>
  <c r="F59" i="15"/>
  <c r="C17" i="67"/>
  <c r="C16" i="67"/>
  <c r="F6" i="15"/>
  <c r="M17" i="67"/>
  <c r="C17" i="15"/>
  <c r="B40" i="1" l="1"/>
  <c r="F22" i="68" s="1"/>
  <c r="C16" i="12"/>
  <c r="C38" i="11"/>
  <c r="C33" i="11" s="1"/>
  <c r="C39" i="11"/>
  <c r="C46" i="11" s="1"/>
  <c r="C45" i="11" s="1"/>
  <c r="C49" i="67"/>
  <c r="C21" i="12"/>
  <c r="C22" i="12" s="1"/>
  <c r="C30" i="12" s="1"/>
  <c r="C28" i="12" s="1"/>
  <c r="C6" i="15"/>
  <c r="C18" i="67"/>
  <c r="C15" i="67"/>
  <c r="C19" i="15"/>
  <c r="C39" i="68"/>
  <c r="C46" i="68" s="1"/>
  <c r="C45" i="68" s="1"/>
  <c r="B4" i="62"/>
  <c r="B71" i="72" s="1"/>
  <c r="K4" i="4"/>
  <c r="B46" i="48" s="1"/>
  <c r="B4" i="72" s="1"/>
  <c r="D37" i="69"/>
  <c r="C37" i="69" s="1"/>
  <c r="C33" i="69" s="1"/>
  <c r="C19" i="69"/>
  <c r="F11" i="15"/>
  <c r="M11" i="15"/>
  <c r="J10" i="15" s="1"/>
  <c r="J5" i="15" s="1"/>
  <c r="F11" i="67"/>
  <c r="M11" i="67"/>
  <c r="J10" i="67" s="1"/>
  <c r="J5" i="67" s="1"/>
  <c r="Q73" i="67"/>
  <c r="Q60" i="67"/>
  <c r="Q74" i="67"/>
  <c r="Q61" i="67"/>
  <c r="B3" i="76"/>
  <c r="Q74" i="15"/>
  <c r="Q61" i="15"/>
  <c r="O17" i="43"/>
  <c r="P17" i="43"/>
  <c r="M17" i="43"/>
  <c r="N17" i="43"/>
  <c r="C49" i="15"/>
  <c r="Q66" i="15"/>
  <c r="Q57" i="15"/>
  <c r="F1" i="15"/>
  <c r="Q52" i="15"/>
  <c r="Q73" i="15"/>
  <c r="Q60" i="15"/>
  <c r="F31" i="15"/>
  <c r="AE6" i="1"/>
  <c r="F22" i="69" l="1"/>
  <c r="C24" i="69" s="1"/>
  <c r="F24" i="67"/>
  <c r="C24" i="67" s="1"/>
  <c r="F24" i="15"/>
  <c r="C24" i="15" s="1"/>
  <c r="F22" i="11"/>
  <c r="C26" i="11" s="1"/>
  <c r="D22" i="11" s="1"/>
  <c r="F25" i="12"/>
  <c r="C26" i="12" s="1"/>
  <c r="D25" i="12" s="1"/>
  <c r="C20" i="69"/>
  <c r="C19" i="67"/>
  <c r="C20" i="67" s="1"/>
  <c r="J26" i="15"/>
  <c r="J24" i="15"/>
  <c r="J18" i="15"/>
  <c r="C10" i="67"/>
  <c r="C5" i="67" s="1"/>
  <c r="C53" i="67"/>
  <c r="C48" i="67" s="1"/>
  <c r="C10" i="15"/>
  <c r="C5" i="15" s="1"/>
  <c r="C53" i="15"/>
  <c r="C48" i="15" s="1"/>
  <c r="C24" i="68"/>
  <c r="C26" i="68"/>
  <c r="D22" i="68" s="1"/>
  <c r="C44" i="68"/>
  <c r="D41" i="68" s="1"/>
  <c r="C23" i="68"/>
  <c r="C42" i="68"/>
  <c r="J24" i="67"/>
  <c r="J26" i="67"/>
  <c r="J29" i="67" s="1"/>
  <c r="J18" i="67"/>
  <c r="C25" i="68"/>
  <c r="C39" i="69"/>
  <c r="C43" i="68"/>
  <c r="C20" i="15"/>
  <c r="F41" i="15"/>
  <c r="C44" i="69" l="1"/>
  <c r="D41" i="69" s="1"/>
  <c r="C23" i="11"/>
  <c r="C43" i="69"/>
  <c r="C23" i="15"/>
  <c r="C42" i="69"/>
  <c r="C23" i="69"/>
  <c r="C26" i="69"/>
  <c r="D22" i="69" s="1"/>
  <c r="C27" i="12"/>
  <c r="C25" i="12" s="1"/>
  <c r="C32" i="12" s="1"/>
  <c r="B2" i="12" s="1"/>
  <c r="B3" i="12" s="1"/>
  <c r="C25" i="11"/>
  <c r="C44" i="11"/>
  <c r="D41" i="11" s="1"/>
  <c r="C24" i="11"/>
  <c r="C43" i="11"/>
  <c r="C42" i="11"/>
  <c r="F69" i="15"/>
  <c r="J29" i="15"/>
  <c r="C26" i="15"/>
  <c r="C29" i="15" s="1"/>
  <c r="C22" i="11"/>
  <c r="C31" i="11" s="1"/>
  <c r="C26" i="67"/>
  <c r="C23" i="67"/>
  <c r="C25" i="69"/>
  <c r="C22" i="69" s="1"/>
  <c r="C28" i="69"/>
  <c r="C27" i="69" s="1"/>
  <c r="C66" i="15"/>
  <c r="C60" i="15"/>
  <c r="C41" i="68"/>
  <c r="C49" i="68" s="1"/>
  <c r="C51" i="68" s="1"/>
  <c r="C66" i="67"/>
  <c r="C60" i="67"/>
  <c r="C46" i="69"/>
  <c r="C45" i="69" s="1"/>
  <c r="C38" i="15"/>
  <c r="C32" i="15"/>
  <c r="C22" i="68"/>
  <c r="C31" i="68" s="1"/>
  <c r="C32" i="67"/>
  <c r="C38" i="67"/>
  <c r="C41" i="69" l="1"/>
  <c r="C41" i="11"/>
  <c r="C49" i="11" s="1"/>
  <c r="C51" i="11" s="1"/>
  <c r="C52" i="11" s="1"/>
  <c r="B2" i="11" s="1"/>
  <c r="B3" i="11" s="1"/>
  <c r="C29" i="67"/>
  <c r="J19" i="67" s="1"/>
  <c r="J17" i="67" s="1"/>
  <c r="C36" i="15"/>
  <c r="J14" i="15"/>
  <c r="J22" i="15" s="1"/>
  <c r="C57" i="15"/>
  <c r="C61" i="15" s="1"/>
  <c r="C59" i="15" s="1"/>
  <c r="C13" i="15"/>
  <c r="Q70" i="15" s="1"/>
  <c r="Q49" i="15"/>
  <c r="J19" i="15"/>
  <c r="J17" i="15" s="1"/>
  <c r="J59" i="15"/>
  <c r="J60" i="15" s="1"/>
  <c r="L46" i="15" s="1"/>
  <c r="C33" i="15"/>
  <c r="C52" i="68"/>
  <c r="B2" i="68" s="1"/>
  <c r="C31" i="15"/>
  <c r="C31" i="69"/>
  <c r="C49" i="69"/>
  <c r="C51" i="69" s="1"/>
  <c r="C19" i="9"/>
  <c r="J13" i="15" l="1"/>
  <c r="J23" i="15" s="1"/>
  <c r="J16" i="15" s="1"/>
  <c r="J25" i="15" s="1"/>
  <c r="C37" i="15"/>
  <c r="C30" i="15" s="1"/>
  <c r="C39" i="15" s="1"/>
  <c r="Q69" i="15" s="1"/>
  <c r="Q68" i="15" s="1"/>
  <c r="Q49" i="67"/>
  <c r="C64" i="15"/>
  <c r="C56" i="11"/>
  <c r="C57" i="11" s="1"/>
  <c r="C57" i="67"/>
  <c r="C61" i="67" s="1"/>
  <c r="C59" i="67" s="1"/>
  <c r="C75" i="15"/>
  <c r="C33" i="67"/>
  <c r="C31" i="67" s="1"/>
  <c r="J14" i="67"/>
  <c r="J13" i="67" s="1"/>
  <c r="J23" i="67" s="1"/>
  <c r="C36" i="67"/>
  <c r="C13" i="67"/>
  <c r="C56" i="67" s="1"/>
  <c r="C65" i="67" s="1"/>
  <c r="J59" i="67"/>
  <c r="J60" i="67" s="1"/>
  <c r="Q48" i="15"/>
  <c r="C56" i="15"/>
  <c r="C65" i="15" s="1"/>
  <c r="C21" i="9"/>
  <c r="C102" i="9"/>
  <c r="C57" i="68"/>
  <c r="C56" i="68" s="1"/>
  <c r="B3" i="68"/>
  <c r="C52" i="69"/>
  <c r="B2" i="69" s="1"/>
  <c r="B3" i="69" s="1"/>
  <c r="L51" i="15"/>
  <c r="C20" i="9"/>
  <c r="D34" i="9"/>
  <c r="D35" i="9"/>
  <c r="C58" i="15" l="1"/>
  <c r="C67" i="15" s="1"/>
  <c r="C68" i="15" s="1"/>
  <c r="C71" i="15" s="1"/>
  <c r="C64" i="67"/>
  <c r="C58" i="67" s="1"/>
  <c r="C67" i="67" s="1"/>
  <c r="C68" i="67" s="1"/>
  <c r="C71" i="67" s="1"/>
  <c r="C40" i="15"/>
  <c r="Q65" i="15" s="1"/>
  <c r="Q75" i="15" s="1"/>
  <c r="J22" i="67"/>
  <c r="J16" i="67" s="1"/>
  <c r="J25" i="67" s="1"/>
  <c r="Q70" i="67"/>
  <c r="C75" i="67"/>
  <c r="C37" i="67"/>
  <c r="C30" i="67" s="1"/>
  <c r="C39" i="67" s="1"/>
  <c r="L46" i="67"/>
  <c r="Q48" i="67"/>
  <c r="C80" i="15"/>
  <c r="C79" i="15" s="1"/>
  <c r="C103" i="9"/>
  <c r="C57" i="69"/>
  <c r="C56" i="69" s="1"/>
  <c r="Q67" i="15"/>
  <c r="L51" i="67"/>
  <c r="B2" i="15" l="1"/>
  <c r="B3" i="15" s="1"/>
  <c r="C43" i="15"/>
  <c r="C46" i="15"/>
  <c r="Q47" i="15"/>
  <c r="Q53" i="15" s="1"/>
  <c r="C83" i="15"/>
  <c r="C82" i="15" s="1"/>
  <c r="Q56" i="15"/>
  <c r="Q62" i="15" s="1"/>
  <c r="C80" i="67"/>
  <c r="C79" i="67" s="1"/>
  <c r="Q67" i="67"/>
  <c r="L57" i="67"/>
  <c r="L60" i="67" s="1"/>
  <c r="Q57" i="67" s="1"/>
  <c r="C40" i="67"/>
  <c r="Q69" i="67"/>
  <c r="Q68" i="67" s="1"/>
  <c r="AO6" i="1"/>
  <c r="D19" i="9"/>
  <c r="D20" i="9"/>
  <c r="Q66" i="67" l="1"/>
  <c r="D21" i="9"/>
  <c r="G19" i="9"/>
  <c r="G21" i="9" s="1"/>
  <c r="D102" i="9"/>
  <c r="D22" i="9"/>
  <c r="B6" i="70"/>
  <c r="B2" i="70" s="1"/>
  <c r="B3" i="70" s="1"/>
  <c r="Q65" i="67"/>
  <c r="Q75" i="67" s="1"/>
  <c r="D2" i="67"/>
  <c r="C43" i="67"/>
  <c r="C45" i="67"/>
  <c r="C46" i="67" s="1"/>
  <c r="Q47" i="67"/>
  <c r="Q53" i="67" s="1"/>
  <c r="Q56" i="67"/>
  <c r="C83" i="67"/>
  <c r="C82" i="67" s="1"/>
  <c r="Q62" i="67"/>
  <c r="D103" i="9"/>
  <c r="G20" i="9"/>
  <c r="C32" i="9"/>
  <c r="B3" i="67" l="1"/>
  <c r="B2" i="67"/>
  <c r="H118" i="9"/>
  <c r="C35" i="9"/>
  <c r="F118" i="9" s="1"/>
  <c r="C34" i="9" l="1"/>
  <c r="D118" i="9" s="1"/>
  <c r="F4" i="52"/>
  <c r="B51" i="72" s="1"/>
  <c r="F119" i="9"/>
  <c r="F5" i="52" s="1"/>
  <c r="B53" i="72" s="1"/>
  <c r="G118" i="9"/>
  <c r="G4" i="52" s="1"/>
  <c r="B52" i="72" s="1"/>
  <c r="H101" i="9"/>
  <c r="C104" i="9"/>
  <c r="D14" i="74"/>
  <c r="H119" i="9"/>
  <c r="H5" i="52" s="1"/>
  <c r="H4" i="52"/>
  <c r="I118" i="9"/>
  <c r="I4" i="52" l="1"/>
  <c r="C105" i="9"/>
  <c r="H102" i="9"/>
  <c r="D7" i="53" s="1"/>
  <c r="B21" i="72" s="1"/>
  <c r="E118" i="9"/>
  <c r="E4" i="52" s="1"/>
  <c r="B48" i="72" s="1"/>
  <c r="B5" i="74"/>
  <c r="E14" i="74"/>
  <c r="F14" i="74"/>
  <c r="H107" i="9"/>
  <c r="D5" i="53"/>
  <c r="D119" i="9"/>
  <c r="D5" i="52" s="1"/>
  <c r="B49" i="72" s="1"/>
  <c r="D4" i="52"/>
  <c r="B47" i="72" s="1"/>
  <c r="H108" i="9" l="1"/>
  <c r="D15" i="53" s="1"/>
  <c r="B31" i="72" s="1"/>
  <c r="D13" i="53"/>
  <c r="D122" i="9"/>
  <c r="D6" i="53"/>
  <c r="B22" i="72" s="1"/>
  <c r="B20" i="72"/>
  <c r="C5" i="74"/>
  <c r="M48" i="9"/>
  <c r="D45" i="9"/>
  <c r="D5" i="74"/>
  <c r="D53" i="9" l="1"/>
  <c r="D48" i="9" s="1"/>
  <c r="M52" i="9" s="1"/>
  <c r="C93" i="9"/>
  <c r="C86" i="9" s="1"/>
  <c r="C72" i="9"/>
  <c r="C64" i="9"/>
  <c r="C63" i="9" s="1"/>
  <c r="C67" i="9" s="1"/>
  <c r="C68" i="9" s="1"/>
  <c r="D54" i="9" s="1"/>
  <c r="D55" i="9"/>
  <c r="M53" i="9" s="1"/>
  <c r="D52" i="9"/>
  <c r="C85" i="9"/>
  <c r="C78" i="9"/>
  <c r="C73" i="9" s="1"/>
  <c r="D14" i="53"/>
  <c r="B32" i="72" s="1"/>
  <c r="B30" i="72"/>
  <c r="G14" i="74"/>
  <c r="B6" i="74" s="1"/>
  <c r="D123" i="9"/>
  <c r="D9" i="52" s="1"/>
  <c r="D8" i="52"/>
  <c r="C95" i="9" l="1"/>
  <c r="C97" i="9" s="1"/>
  <c r="D58" i="9" s="1"/>
  <c r="D56" i="9" s="1"/>
  <c r="M54" i="9" s="1"/>
  <c r="N57" i="9" s="1"/>
  <c r="C79" i="9"/>
  <c r="M49" i="9"/>
  <c r="C6" i="74"/>
  <c r="D6" i="74"/>
  <c r="C80" i="9"/>
  <c r="E80" i="9" s="1"/>
  <c r="E81" i="9" s="1"/>
  <c r="C81" i="9" l="1"/>
  <c r="C96" i="9"/>
  <c r="E96" i="9" s="1"/>
  <c r="E97" i="9" s="1"/>
  <c r="P57" i="9"/>
  <c r="N58" i="9"/>
  <c r="L63" i="9"/>
  <c r="M63" i="9" s="1"/>
  <c r="L64" i="9"/>
  <c r="M64" i="9" s="1"/>
  <c r="L65" i="9"/>
  <c r="M65" i="9" s="1"/>
  <c r="L66" i="9"/>
  <c r="M66" i="9" s="1"/>
  <c r="L67" i="9"/>
  <c r="M67" i="9" s="1"/>
  <c r="L68" i="9"/>
  <c r="M68" i="9" s="1"/>
  <c r="N59" i="9"/>
  <c r="N60" i="9" l="1"/>
  <c r="N61" i="9"/>
  <c r="M69" i="9"/>
  <c r="N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<sst xmlns="http://schemas.openxmlformats.org/spreadsheetml/2006/main" count="7490" uniqueCount="3182">
  <si>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</si>
  <si>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</si>
  <si>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</si>
  <si>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</si>
  <si>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</si>
  <si>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</si>
  <si>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</si>
  <si>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</si>
  <si>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</si>
  <si>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</si>
  <si>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</si>
  <si>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</si>
  <si>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</si>
  <si>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</si>
  <si>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</si>
  <si>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</si>
  <si>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</si>
  <si>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</si>
  <si>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</si>
  <si>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</si>
  <si>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</si>
  <si>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</si>
  <si>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</si>
  <si>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</si>
  <si>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</si>
  <si>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</si>
  <si>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</si>
  <si>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</si>
  <si>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</si>
  <si>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</si>
  <si>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</si>
  <si>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</si>
  <si>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</si>
  <si>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</si>
  <si>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</si>
  <si>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</si>
  <si>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</si>
  <si>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</si>
  <si>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</si>
  <si>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</si>
  <si>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</si>
  <si>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</si>
  <si>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</si>
  <si>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</si>
  <si>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</si>
  <si>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</si>
  <si>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</si>
  <si>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</si>
  <si>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</si>
  <si>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</si>
  <si>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</si>
  <si>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</si>
  <si>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</si>
  <si>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</si>
  <si>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</si>
  <si>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</si>
  <si>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</si>
  <si>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</si>
  <si>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</si>
  <si>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</si>
  <si>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</si>
  <si>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</si>
  <si>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</si>
  <si>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</si>
  <si>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</si>
  <si>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</si>
  <si>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</si>
  <si>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</si>
  <si>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</si>
  <si>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</si>
  <si>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</si>
  <si>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</si>
  <si>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</si>
  <si>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</si>
  <si>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</si>
  <si>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</si>
  <si>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</si>
  <si>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</si>
  <si>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</si>
  <si>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</si>
  <si>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</si>
  <si>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</si>
  <si>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</si>
  <si>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</si>
  <si>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</si>
  <si>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</si>
  <si>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</si>
  <si>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</si>
  <si>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</si>
  <si>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</si>
  <si>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</si>
  <si>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</si>
  <si>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</si>
  <si>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</si>
  <si>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</si>
  <si>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</si>
  <si>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</si>
  <si>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</si>
  <si>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</si>
  <si>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</si>
  <si>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</si>
  <si>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</si>
  <si>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</si>
  <si>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</si>
  <si>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</si>
  <si>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</si>
  <si>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</si>
  <si>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</si>
  <si>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</si>
  <si>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</si>
  <si>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</si>
  <si>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</si>
  <si>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</si>
  <si>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</si>
  <si>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</si>
  <si>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</si>
  <si>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</si>
  <si>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</si>
  <si>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</si>
  <si>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</si>
  <si>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</si>
  <si>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</si>
  <si>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</si>
  <si>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</si>
  <si>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</si>
  <si>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</si>
  <si>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</si>
  <si>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</si>
  <si>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</si>
  <si>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</si>
  <si>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</si>
  <si>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</si>
  <si>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</si>
  <si>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</si>
  <si>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</si>
  <si>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</si>
  <si>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</si>
  <si>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</si>
  <si>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</si>
  <si>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</si>
  <si>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</si>
  <si>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</si>
  <si>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</si>
  <si>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</si>
  <si>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</si>
  <si>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</si>
  <si>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</si>
  <si>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</si>
  <si>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</si>
  <si>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</si>
  <si>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</si>
  <si>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</si>
  <si>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</si>
  <si>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</si>
  <si>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</si>
  <si>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</si>
  <si>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</si>
  <si>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</si>
  <si>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</si>
  <si>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</si>
  <si>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</si>
  <si>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</si>
  <si>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</si>
  <si>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</si>
  <si>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</si>
  <si>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</si>
  <si>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</si>
  <si>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</si>
  <si>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</si>
  <si>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</si>
  <si>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</si>
  <si>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</si>
  <si>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</si>
  <si>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</si>
  <si>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</si>
  <si>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</si>
  <si>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</si>
  <si>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</si>
  <si>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</si>
  <si>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</si>
  <si>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</si>
  <si>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</si>
  <si>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</si>
  <si>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</si>
  <si>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</si>
  <si>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</si>
  <si>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</si>
  <si>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</si>
  <si>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</si>
  <si>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</si>
  <si>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</si>
  <si>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</si>
  <si>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</si>
  <si>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</si>
  <si>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</si>
  <si>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</si>
  <si>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</si>
  <si>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</si>
  <si>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</si>
  <si>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</si>
  <si>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</si>
  <si>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</si>
  <si>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</si>
  <si>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</si>
  <si>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</si>
  <si>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</si>
  <si>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</si>
  <si>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</si>
  <si>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</si>
  <si>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</si>
  <si>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</si>
  <si>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</si>
  <si>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</si>
  <si>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</si>
  <si>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</si>
  <si>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</si>
  <si>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</si>
  <si>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</si>
  <si>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</si>
  <si>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</si>
  <si>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</si>
  <si>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</si>
  <si>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</si>
  <si>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</si>
  <si>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</si>
  <si>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</si>
  <si>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</si>
  <si>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</si>
  <si>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</si>
  <si>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</si>
  <si>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</si>
  <si>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</si>
  <si>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</si>
  <si>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</si>
  <si>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</si>
  <si>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</si>
  <si>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</si>
  <si>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</si>
  <si>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</si>
  <si>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</si>
  <si>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</si>
  <si>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</si>
  <si>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</si>
  <si>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</si>
  <si>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</si>
  <si>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</si>
  <si>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</si>
  <si>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</si>
  <si>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</si>
  <si>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</si>
  <si>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</si>
  <si>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</si>
  <si>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</si>
  <si>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</si>
  <si>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</si>
  <si>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</si>
  <si>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</si>
  <si>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</si>
  <si>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</si>
  <si>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</si>
  <si>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</si>
  <si>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</si>
  <si>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</si>
  <si>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</si>
  <si>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</si>
  <si>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</si>
  <si>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</si>
  <si>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</si>
  <si>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</si>
  <si>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</si>
  <si>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</si>
  <si>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</si>
  <si>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</si>
  <si>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</si>
  <si>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</si>
  <si>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</si>
  <si>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</si>
  <si>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</si>
  <si>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</si>
  <si>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</si>
  <si>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</si>
  <si>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</si>
  <si>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</si>
  <si>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</si>
  <si>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</si>
  <si>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</si>
  <si>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</si>
  <si>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</si>
  <si>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</si>
  <si>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</si>
  <si>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</si>
  <si>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</si>
  <si>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</si>
  <si>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</si>
  <si>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</si>
  <si>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</si>
  <si>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</si>
  <si>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</si>
  <si>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</si>
  <si>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</si>
  <si>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</si>
  <si>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</si>
  <si>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</si>
  <si>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</si>
  <si>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</si>
  <si>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</si>
  <si>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</si>
  <si>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</si>
  <si>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</si>
  <si>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</si>
  <si>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</si>
  <si>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</si>
  <si>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</si>
  <si>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</si>
  <si>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</si>
  <si>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</si>
  <si>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</si>
  <si>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</si>
  <si>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</si>
  <si>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</si>
  <si>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</si>
  <si>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</si>
  <si>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</si>
  <si>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</si>
  <si>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</si>
  <si>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</si>
  <si>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</si>
  <si>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</si>
  <si>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</si>
  <si>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</si>
  <si>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</si>
  <si>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</si>
  <si>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</si>
  <si>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</si>
  <si>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</si>
  <si>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</si>
  <si>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</si>
  <si>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</si>
  <si>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</si>
  <si>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</si>
  <si>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</si>
  <si>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</si>
  <si>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</si>
  <si>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</si>
  <si>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</si>
  <si>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</si>
  <si>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</si>
  <si>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</si>
  <si>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</si>
  <si>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</si>
  <si>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</si>
  <si>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</si>
  <si>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</si>
  <si>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</si>
  <si>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</si>
  <si>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</si>
  <si>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</si>
  <si>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</si>
  <si>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</si>
  <si>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</si>
  <si>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</si>
  <si>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</si>
  <si>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</si>
  <si>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</si>
  <si>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</si>
  <si>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</si>
  <si>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</si>
  <si>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</si>
  <si>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</si>
  <si>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</si>
  <si>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</si>
  <si>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</si>
  <si>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</si>
  <si>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</si>
  <si>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</si>
  <si>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</si>
  <si>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</si>
  <si>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</si>
  <si>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</si>
  <si>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</si>
  <si>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</si>
  <si>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</si>
  <si>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</si>
  <si>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</si>
  <si>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</si>
  <si>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</si>
  <si>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</si>
  <si>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</si>
  <si>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</si>
  <si>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</si>
  <si>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</si>
  <si>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</si>
  <si>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</si>
  <si>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</si>
  <si>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</si>
  <si>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</si>
  <si>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</si>
  <si>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</si>
  <si>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</si>
  <si>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</si>
  <si>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</si>
  <si>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</si>
  <si>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</si>
  <si>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</si>
  <si>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</si>
  <si>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</si>
  <si>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</si>
  <si>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</si>
  <si>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</si>
  <si>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</si>
  <si>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</si>
  <si>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</si>
  <si>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</si>
  <si>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</si>
  <si>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</si>
  <si>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</si>
  <si>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</si>
  <si>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</si>
  <si>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</si>
  <si>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</si>
  <si>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</si>
  <si>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</si>
  <si>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</si>
  <si>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</si>
  <si>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</si>
  <si>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</si>
  <si>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</si>
  <si>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</si>
  <si>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</si>
  <si>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</si>
  <si>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</si>
  <si>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</si>
  <si>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</si>
  <si>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</si>
  <si>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</si>
  <si>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</si>
  <si>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</si>
  <si>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</si>
  <si>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</si>
  <si>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</si>
  <si>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</si>
  <si>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</si>
  <si>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</si>
  <si>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</si>
  <si>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</si>
  <si>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</si>
  <si>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</si>
  <si>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</si>
  <si>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</si>
  <si>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</si>
  <si>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</si>
  <si>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</si>
  <si>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</si>
  <si>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</si>
  <si>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</si>
  <si>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</si>
  <si>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</si>
  <si>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</si>
  <si>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</si>
  <si>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</si>
  <si>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</si>
  <si>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</si>
  <si>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</si>
  <si>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</si>
  <si>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</si>
  <si>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</si>
  <si>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</si>
  <si>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</si>
  <si>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</si>
  <si>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</si>
  <si>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</si>
  <si>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</si>
  <si>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</si>
  <si>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</si>
  <si>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</si>
  <si>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</si>
  <si>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</si>
  <si>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</si>
  <si>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</si>
  <si>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</si>
  <si>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</si>
  <si>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</si>
  <si>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</si>
  <si>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</si>
  <si>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</si>
  <si>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</si>
  <si>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</si>
  <si>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</si>
  <si>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</si>
  <si>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</si>
  <si>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</si>
  <si>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</si>
  <si>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</si>
  <si>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</si>
  <si>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</si>
  <si>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</si>
  <si>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</si>
  <si>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</si>
  <si>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</si>
  <si>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</si>
  <si>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</si>
  <si>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</si>
  <si>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</si>
  <si>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</si>
  <si>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</si>
  <si>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</si>
  <si>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</si>
  <si>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</si>
  <si>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</si>
  <si>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</si>
  <si>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</si>
  <si>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</si>
  <si>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</si>
  <si>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</si>
  <si>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</si>
  <si>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</si>
  <si>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</si>
  <si>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</si>
  <si>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</si>
  <si>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</si>
  <si>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</si>
  <si>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</si>
  <si>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</si>
  <si>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</si>
  <si>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</si>
  <si>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</si>
  <si>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</si>
  <si>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</si>
  <si>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</si>
  <si>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</si>
  <si>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</si>
  <si>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</si>
  <si>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</si>
  <si>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</si>
  <si>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</si>
  <si>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</si>
  <si>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</si>
  <si>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</si>
  <si>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</si>
  <si>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</si>
  <si>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</si>
  <si>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</si>
  <si>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</si>
  <si>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</si>
  <si>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</si>
  <si>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</si>
  <si>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</si>
  <si>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</si>
  <si>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</si>
  <si>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</si>
  <si>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</si>
  <si>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</si>
  <si>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</si>
  <si>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</si>
  <si>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</si>
  <si>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</si>
  <si>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</si>
  <si>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</si>
  <si>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</si>
  <si>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</si>
  <si>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</si>
  <si>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</si>
  <si>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</si>
  <si>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</si>
  <si>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</si>
  <si>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</si>
  <si>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</si>
  <si>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</si>
  <si>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</si>
  <si>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</si>
  <si>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</si>
  <si>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</si>
  <si>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</si>
  <si>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</si>
  <si>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</si>
  <si>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</si>
  <si>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</si>
  <si>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</si>
  <si>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</si>
  <si>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</si>
  <si>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</si>
  <si>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</si>
  <si>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</si>
  <si>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</si>
  <si>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</si>
  <si>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</si>
  <si>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</si>
  <si>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</si>
  <si>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</si>
  <si>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</si>
  <si>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</si>
  <si>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</si>
  <si>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</si>
  <si>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</si>
  <si>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</si>
  <si>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</si>
  <si>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</si>
  <si>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</si>
  <si>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</si>
  <si>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</si>
  <si>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</si>
  <si>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</si>
  <si>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</si>
  <si>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</si>
  <si>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</si>
  <si>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</si>
  <si>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</si>
  <si>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</si>
  <si>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</si>
  <si>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</si>
  <si>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</si>
  <si>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</si>
  <si>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</si>
  <si>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</si>
  <si>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</si>
  <si>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</si>
  <si>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</si>
  <si>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</si>
  <si>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</si>
  <si>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</si>
  <si>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</si>
  <si>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</si>
  <si>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</si>
  <si>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</si>
  <si>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</si>
  <si>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</si>
  <si>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</si>
  <si>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</si>
  <si>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</si>
  <si>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</si>
  <si>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</si>
  <si>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</si>
  <si>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</si>
  <si>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</si>
  <si>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</si>
  <si>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</si>
  <si>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</si>
  <si>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</si>
  <si>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</si>
  <si>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</si>
  <si>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</si>
  <si>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</si>
  <si>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</si>
  <si>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</si>
  <si>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</si>
  <si>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</si>
  <si>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</si>
  <si>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</si>
  <si>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</si>
  <si>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</si>
  <si>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</si>
  <si>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</si>
  <si>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</si>
  <si>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</si>
  <si>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</si>
  <si>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</si>
  <si>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</si>
  <si>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</si>
  <si>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</si>
  <si>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</si>
  <si>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</si>
  <si>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</si>
  <si>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</si>
  <si>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</si>
  <si>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</si>
  <si>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</si>
  <si>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</si>
  <si>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</si>
  <si>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</si>
  <si>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</si>
  <si>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</si>
  <si>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</si>
  <si>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</si>
  <si>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</si>
  <si>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</si>
  <si>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</si>
  <si>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</si>
  <si>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</si>
  <si>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</si>
  <si>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</si>
  <si>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</si>
  <si>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</si>
  <si>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</si>
  <si>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</si>
  <si>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</si>
  <si>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</si>
  <si>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</si>
  <si>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</si>
  <si>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</si>
  <si>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</si>
  <si>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</si>
  <si>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</si>
  <si>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</si>
  <si>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</si>
  <si>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</si>
  <si>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</si>
  <si>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</si>
  <si>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</si>
  <si>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</si>
  <si>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</si>
  <si>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</si>
  <si>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</si>
  <si>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</si>
  <si>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</si>
  <si>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</si>
  <si>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</si>
  <si>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</si>
  <si>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</si>
  <si>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</si>
  <si>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</si>
  <si>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</si>
  <si>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</si>
  <si>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</si>
  <si>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</si>
  <si>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</si>
  <si>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</si>
  <si>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</si>
  <si>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</si>
  <si>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</si>
  <si>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</si>
  <si>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</si>
  <si>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</si>
  <si>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</si>
  <si>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</si>
  <si>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</si>
  <si>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</si>
  <si>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</si>
  <si>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</si>
  <si>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</si>
  <si>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</si>
  <si>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</si>
  <si>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</si>
  <si>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</si>
  <si>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</si>
  <si>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</si>
  <si>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</si>
  <si>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</si>
  <si>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</si>
  <si>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</si>
  <si>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</si>
  <si>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</si>
  <si>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</si>
  <si>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</si>
  <si>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</si>
  <si>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</si>
  <si>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</si>
  <si>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</si>
  <si>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</si>
  <si>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</si>
  <si>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</si>
  <si>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</si>
  <si>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</si>
  <si>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</si>
  <si>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</si>
  <si>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</si>
  <si>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</si>
  <si>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</si>
  <si>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</si>
  <si>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</si>
  <si>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</si>
  <si>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</si>
  <si>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</si>
  <si>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</si>
  <si>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</si>
  <si>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</si>
  <si>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</si>
  <si>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</si>
  <si>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</si>
  <si>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</si>
  <si>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</si>
  <si>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</si>
  <si>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</si>
  <si>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</si>
  <si>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</si>
  <si>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</si>
  <si>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</si>
  <si>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</si>
  <si>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</si>
  <si>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</si>
  <si>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</si>
  <si>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</si>
  <si>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</si>
  <si>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</si>
  <si>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</si>
  <si>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</si>
  <si>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</si>
  <si>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</si>
  <si>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</si>
  <si>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</si>
  <si>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</si>
  <si>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</si>
  <si>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</si>
  <si>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</si>
  <si>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</si>
  <si>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</si>
  <si>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</si>
  <si>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</si>
  <si>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</si>
  <si>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</si>
  <si>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</si>
  <si>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</si>
  <si>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</si>
  <si>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</si>
  <si>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</si>
  <si>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</si>
  <si>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</si>
  <si>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</si>
  <si>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</si>
  <si>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</si>
  <si>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</si>
  <si>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</si>
  <si>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</si>
  <si>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</si>
  <si>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</si>
  <si>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</si>
  <si>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</si>
  <si>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</si>
  <si>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</si>
  <si>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</si>
  <si>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</si>
  <si>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</si>
  <si>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</si>
  <si>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</si>
  <si>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</si>
  <si>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</si>
  <si>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</si>
  <si>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</si>
  <si>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</si>
  <si>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</si>
  <si>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</si>
  <si>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</si>
  <si>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</si>
  <si>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</si>
  <si>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</si>
  <si>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</si>
  <si>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</si>
  <si>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</si>
  <si>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</si>
  <si>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</si>
  <si>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</si>
  <si>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</si>
  <si>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</si>
  <si>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</si>
  <si>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</si>
  <si>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</si>
  <si>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</si>
  <si>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</si>
  <si>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</si>
  <si>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</si>
  <si>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</si>
  <si>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</si>
  <si>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</si>
  <si>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</si>
  <si>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</si>
  <si>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</si>
  <si>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</si>
  <si>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</si>
  <si>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</si>
  <si>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</si>
  <si>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</si>
  <si>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</si>
  <si>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</si>
  <si>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</si>
  <si>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</si>
  <si>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</si>
  <si>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</si>
  <si>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</si>
  <si>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</si>
  <si>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</si>
  <si>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</si>
  <si>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</si>
  <si>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</si>
  <si>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</si>
  <si>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</si>
  <si>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</si>
  <si>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</si>
  <si>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</si>
  <si>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</si>
  <si>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</si>
  <si>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</si>
  <si>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</si>
  <si>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</si>
  <si>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</si>
  <si>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</si>
  <si>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</si>
  <si>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</si>
  <si>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</si>
  <si>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</si>
  <si>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</si>
  <si>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</si>
  <si>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</si>
  <si>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</si>
  <si>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</si>
  <si>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</si>
  <si>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</si>
  <si>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</si>
  <si>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</si>
  <si>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</si>
  <si>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</si>
  <si>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</si>
  <si>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</si>
  <si>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</si>
  <si>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</si>
  <si>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</si>
  <si>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</si>
  <si>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</si>
  <si>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</si>
  <si>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</si>
  <si>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</si>
  <si>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</si>
  <si>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</si>
  <si>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</si>
  <si>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</si>
  <si>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</si>
  <si>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</si>
  <si>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</si>
  <si>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</si>
  <si>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</si>
  <si>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</si>
  <si>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</si>
  <si>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</si>
  <si>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</si>
  <si>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</si>
  <si>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</si>
  <si>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</si>
  <si>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</si>
  <si>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</si>
  <si>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</si>
  <si>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</si>
  <si>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</si>
  <si>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</si>
  <si>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</si>
  <si>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</si>
  <si>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</si>
  <si>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</si>
  <si>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</si>
  <si>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</si>
  <si>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</si>
  <si>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</si>
  <si>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</si>
  <si>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</si>
  <si>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</si>
  <si>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</si>
  <si>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</si>
  <si>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</si>
  <si>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</si>
  <si>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</si>
  <si>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</si>
  <si>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</si>
  <si>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</si>
  <si>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</si>
  <si>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</si>
  <si>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</si>
  <si>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</si>
  <si>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</si>
  <si>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</si>
  <si>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</si>
  <si>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</si>
  <si>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</si>
  <si>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</si>
  <si>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</si>
  <si>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</si>
  <si>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</si>
  <si>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</si>
  <si>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</si>
  <si>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</si>
  <si>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</si>
  <si>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</si>
  <si>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</si>
  <si>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</si>
  <si>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</si>
  <si>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</si>
  <si>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</si>
  <si>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</si>
  <si>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</si>
  <si>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</si>
  <si>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</si>
  <si>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</si>
  <si>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</si>
  <si>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</si>
  <si>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</si>
  <si>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</si>
  <si>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</si>
  <si>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</si>
  <si>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</si>
  <si>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</si>
  <si>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</si>
  <si>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</si>
  <si>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</si>
  <si>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</si>
  <si>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</si>
  <si>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</si>
  <si>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</si>
  <si>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</si>
  <si>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</si>
  <si>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</si>
  <si>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</si>
  <si>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</si>
  <si>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</si>
  <si>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</si>
  <si>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</si>
  <si>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</si>
  <si>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</si>
  <si>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</si>
  <si>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</si>
  <si>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</si>
  <si>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</si>
  <si>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</si>
  <si>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</si>
  <si>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</si>
  <si>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</si>
  <si>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</si>
  <si>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</si>
  <si>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</si>
  <si>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</si>
  <si>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</si>
  <si>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</si>
  <si>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</si>
  <si>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</si>
  <si>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</si>
  <si>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</si>
  <si>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</si>
  <si>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</si>
  <si>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</si>
  <si>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</si>
  <si>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</si>
  <si>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</si>
  <si>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</si>
  <si>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</si>
  <si>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</si>
  <si>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</si>
  <si>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</si>
  <si>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</si>
  <si>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</si>
  <si>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</si>
  <si>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</si>
  <si>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</si>
  <si>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</si>
  <si>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</si>
  <si>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</si>
  <si>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</si>
  <si>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</si>
  <si>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</si>
  <si>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</si>
  <si>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</si>
  <si>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</si>
  <si>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</si>
  <si>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</si>
  <si>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</si>
  <si>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</si>
  <si>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</si>
  <si>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</si>
  <si>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</si>
  <si>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</si>
  <si>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</si>
  <si>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</si>
  <si>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</si>
  <si>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</si>
  <si>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</si>
  <si>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</si>
  <si>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</si>
  <si>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</si>
  <si>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</si>
  <si>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</si>
  <si>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</si>
  <si>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</si>
  <si>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</si>
  <si>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</si>
  <si>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</si>
  <si>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</si>
  <si>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</si>
  <si>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</si>
  <si>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</si>
  <si>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</si>
  <si>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</si>
  <si>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</si>
  <si>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</si>
  <si>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</si>
  <si>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</si>
  <si>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</si>
  <si>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</si>
  <si>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</si>
  <si>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</si>
  <si>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</si>
  <si>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</si>
  <si>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</si>
  <si>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</si>
  <si>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</si>
  <si>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</si>
  <si>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</si>
  <si>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</si>
  <si>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</si>
  <si>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</si>
  <si>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</si>
  <si>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</si>
  <si>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</si>
  <si>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</si>
  <si>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</si>
  <si>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</si>
  <si>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</si>
  <si>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</si>
  <si>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</si>
  <si>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</si>
  <si>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</si>
  <si>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</si>
  <si>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</si>
  <si>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</si>
  <si>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</si>
  <si>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</si>
  <si>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</si>
  <si>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</si>
  <si>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</si>
  <si>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</si>
  <si>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</si>
  <si>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</si>
  <si>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</si>
  <si>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</si>
  <si>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</si>
  <si>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</si>
  <si>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</si>
  <si>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</si>
  <si>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</si>
  <si>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</si>
  <si>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</si>
  <si>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</si>
  <si>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</si>
  <si>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</si>
  <si>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</si>
  <si>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</si>
  <si>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</si>
  <si>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</si>
  <si>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</si>
  <si>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</si>
  <si>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</si>
  <si>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</si>
  <si>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</si>
  <si>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</si>
  <si>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</si>
  <si>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</si>
  <si>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</si>
  <si>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</si>
  <si>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</si>
  <si>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</si>
  <si>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</si>
  <si>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</si>
  <si>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</si>
  <si>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</si>
  <si>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</si>
  <si>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</si>
  <si>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</si>
  <si>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</si>
  <si>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</si>
  <si>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</si>
  <si>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</si>
  <si>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</si>
  <si>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</si>
  <si>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</si>
  <si>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</si>
  <si>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</si>
  <si>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</si>
  <si>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</si>
  <si>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</si>
  <si>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</si>
  <si>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</si>
  <si>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</si>
  <si>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</si>
  <si>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</si>
  <si>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</si>
  <si>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</si>
  <si>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</si>
  <si>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</si>
  <si>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</si>
  <si>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</si>
  <si>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</si>
  <si>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</si>
  <si>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</si>
  <si>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</si>
  <si>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</si>
  <si>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</si>
  <si>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</si>
  <si>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</si>
  <si>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</si>
  <si>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</si>
  <si>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</si>
  <si>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</si>
  <si>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</si>
  <si>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</si>
  <si>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</si>
  <si>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</si>
  <si>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</si>
  <si>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</si>
  <si>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</si>
  <si>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</si>
  <si>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</si>
  <si>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</si>
  <si>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</si>
  <si>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</si>
  <si>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</si>
  <si>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</si>
  <si>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</si>
  <si>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</si>
  <si>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</si>
  <si>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</si>
  <si>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</si>
  <si>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</si>
  <si>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</si>
  <si>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</si>
  <si>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</si>
  <si>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</si>
  <si>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</si>
  <si>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</si>
  <si>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</si>
  <si>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</si>
  <si>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</si>
  <si>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</si>
  <si>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</si>
  <si>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</si>
  <si>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</si>
  <si>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</si>
  <si>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</si>
  <si>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</si>
  <si>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</si>
  <si>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</si>
  <si>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</si>
  <si>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</si>
  <si>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</si>
  <si>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</si>
  <si>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</si>
  <si>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</si>
  <si>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</si>
  <si>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</si>
  <si>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</si>
  <si>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</si>
  <si>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</si>
  <si>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</si>
  <si>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</si>
  <si>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</si>
  <si>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</si>
  <si>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</si>
  <si>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</si>
  <si>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</si>
  <si>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</si>
  <si>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</si>
  <si>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</si>
  <si>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</si>
  <si>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</si>
  <si>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</si>
  <si>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</si>
  <si>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</si>
  <si>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</si>
  <si>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</si>
  <si>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</si>
  <si>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</si>
  <si>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</si>
  <si>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</si>
  <si>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</si>
  <si>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</si>
  <si>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</si>
  <si>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</si>
  <si>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</si>
  <si>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</si>
  <si>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</si>
  <si>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</si>
  <si>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</si>
  <si>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</si>
  <si>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</si>
  <si>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</si>
  <si>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</si>
  <si>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</si>
  <si>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</si>
  <si>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</si>
  <si>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</si>
  <si>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</si>
  <si>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</si>
  <si>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</si>
  <si>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</si>
  <si>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</si>
  <si>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</si>
  <si>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</si>
  <si>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</si>
  <si>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</si>
  <si>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</si>
  <si>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</si>
  <si>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</si>
  <si>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</si>
  <si>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</si>
  <si>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</si>
  <si>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</si>
  <si>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</si>
  <si>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</si>
  <si>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</si>
  <si>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</si>
  <si>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</si>
  <si>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</si>
  <si>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</si>
  <si>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</si>
  <si>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</si>
  <si>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</si>
  <si>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</si>
  <si>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</si>
  <si>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</si>
  <si>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</si>
  <si>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</si>
  <si>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</si>
  <si>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</si>
  <si>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</si>
  <si>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</si>
  <si>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</si>
  <si>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</si>
  <si>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</si>
  <si>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</si>
  <si>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</si>
  <si>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</si>
  <si>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</si>
  <si>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</si>
  <si>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</si>
  <si>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</si>
  <si>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</si>
  <si>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</si>
  <si>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</si>
  <si>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</si>
  <si>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</si>
  <si>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</si>
  <si>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</si>
  <si>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</si>
  <si>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</si>
  <si>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</si>
  <si>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</si>
  <si>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</si>
  <si>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</si>
  <si>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</si>
  <si>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</si>
  <si>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</si>
  <si>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</si>
  <si>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</si>
  <si>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</si>
  <si>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</si>
  <si>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</si>
  <si>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</si>
  <si>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</si>
  <si>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</si>
  <si>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</si>
  <si>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</si>
  <si>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</si>
  <si>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</si>
  <si>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</si>
  <si>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</si>
  <si>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</si>
  <si>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</si>
  <si>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</si>
  <si>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</si>
  <si>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</si>
  <si>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</si>
  <si>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</si>
  <si>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</si>
  <si>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</si>
  <si>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</si>
  <si>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</si>
  <si>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</si>
  <si>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</si>
  <si>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</si>
  <si>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</si>
  <si>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</si>
  <si>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</si>
  <si>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</si>
  <si>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</si>
  <si>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</si>
  <si>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</si>
  <si>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</si>
  <si>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</si>
  <si>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</si>
  <si>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</si>
  <si>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</si>
  <si>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</si>
  <si>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</si>
  <si>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</si>
  <si>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</si>
  <si>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</si>
  <si>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</si>
  <si>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</si>
  <si>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</si>
  <si>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</si>
  <si>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</si>
  <si>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</si>
  <si>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</si>
  <si>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</si>
  <si>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</si>
  <si>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</si>
  <si>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</si>
  <si>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</si>
  <si>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</si>
  <si>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</si>
  <si>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</si>
  <si>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</si>
  <si>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</si>
  <si>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</si>
  <si>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</si>
  <si>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</si>
  <si>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</si>
  <si>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</si>
  <si>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</si>
  <si>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</si>
  <si>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</si>
  <si>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</si>
  <si>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</si>
  <si>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</si>
  <si>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</si>
  <si>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</si>
  <si>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</si>
  <si>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</si>
  <si>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</si>
  <si>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</si>
  <si>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</si>
  <si>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</si>
  <si>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</si>
  <si>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</si>
  <si>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</si>
  <si>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</si>
  <si>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</si>
  <si>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</si>
  <si>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</si>
  <si>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</si>
  <si>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</si>
  <si>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</si>
  <si>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</si>
  <si>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</si>
  <si>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</si>
  <si>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</si>
  <si>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</si>
  <si>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</si>
  <si>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</si>
  <si>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</si>
  <si>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</si>
  <si>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</si>
  <si>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</si>
  <si>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</si>
  <si>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</si>
  <si>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</si>
  <si>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</si>
  <si>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</si>
  <si>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</si>
  <si>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</si>
  <si>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</si>
  <si>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</si>
  <si>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</si>
  <si>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</si>
  <si>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</si>
  <si>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</si>
  <si>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</si>
  <si>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</si>
  <si>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</si>
  <si>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</si>
  <si>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</si>
  <si>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</si>
  <si>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</si>
  <si>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</si>
  <si>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</si>
  <si>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</si>
  <si>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</si>
  <si>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</si>
  <si>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</si>
  <si>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</si>
  <si>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</si>
  <si>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</si>
  <si>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</si>
  <si>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</si>
  <si>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</si>
  <si>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</si>
  <si>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</si>
  <si>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</si>
  <si>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</si>
  <si>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</si>
  <si>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</si>
  <si>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</si>
  <si>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</si>
  <si>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</si>
  <si>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</si>
  <si>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</si>
  <si>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</si>
  <si>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</si>
  <si>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</si>
  <si>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</si>
  <si>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</si>
  <si>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</si>
  <si>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</si>
  <si>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</si>
  <si>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</si>
  <si>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</si>
  <si>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</si>
  <si>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</si>
  <si>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</si>
  <si>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</si>
  <si>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</si>
  <si>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</si>
  <si>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</si>
  <si>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</si>
  <si>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</si>
  <si>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</si>
  <si>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</si>
  <si>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</si>
  <si>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</si>
  <si>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</si>
  <si>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</si>
  <si>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</si>
  <si>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</si>
  <si>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</si>
  <si>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</si>
  <si>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</si>
  <si>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</si>
  <si>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</si>
  <si>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</si>
  <si>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</si>
  <si>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</si>
  <si>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</si>
  <si>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</si>
  <si>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</si>
  <si>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</si>
  <si>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</si>
  <si>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</si>
  <si>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</si>
  <si>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</si>
  <si>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</si>
  <si>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</si>
  <si>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</si>
  <si>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</si>
  <si>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</si>
  <si>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</si>
  <si>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</si>
  <si>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</si>
  <si>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</si>
  <si>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</si>
  <si>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</si>
  <si>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</si>
  <si>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</si>
  <si>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</si>
  <si>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</si>
  <si>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</si>
  <si>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</si>
  <si>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</si>
  <si>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</si>
  <si>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</si>
  <si>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</si>
  <si>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</si>
  <si>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</si>
  <si>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</si>
  <si>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</si>
  <si>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</si>
  <si>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</si>
  <si>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</si>
  <si>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</si>
  <si>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</si>
  <si>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</si>
  <si>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</si>
  <si>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</si>
  <si>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</si>
  <si>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</si>
  <si>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</si>
  <si>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</si>
  <si>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</si>
  <si>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</si>
  <si>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</si>
  <si>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</si>
  <si>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</si>
  <si>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</si>
  <si>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</si>
  <si>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</si>
  <si>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</si>
  <si>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</si>
  <si>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</si>
  <si>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</si>
  <si>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</si>
  <si>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</si>
  <si>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</si>
  <si>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</si>
  <si>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</si>
  <si>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</si>
  <si>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</si>
  <si>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</si>
  <si>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</si>
  <si>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</si>
  <si>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</si>
  <si>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</si>
  <si>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</si>
  <si>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</si>
  <si>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</si>
  <si>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</si>
  <si>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</si>
  <si>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</si>
  <si>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</si>
  <si>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</si>
  <si>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</si>
  <si>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</si>
  <si>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</si>
  <si>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</si>
  <si>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</si>
  <si>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</si>
  <si>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</si>
  <si>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</si>
  <si>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</si>
  <si>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</si>
  <si>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</si>
  <si>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</si>
  <si>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</si>
  <si>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</si>
  <si>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</si>
  <si>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</si>
  <si>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</si>
  <si>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</si>
  <si>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</si>
  <si>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</si>
  <si>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</si>
  <si>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</si>
  <si>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</si>
  <si>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</si>
  <si>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</si>
  <si>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</si>
  <si>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</si>
  <si>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</si>
  <si>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</si>
  <si>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</si>
  <si>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</si>
  <si>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</si>
  <si>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</si>
  <si>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</si>
  <si>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</si>
  <si>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</si>
  <si>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</si>
  <si>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</si>
  <si>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</si>
  <si>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</si>
  <si>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</si>
  <si>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</si>
  <si>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</si>
  <si>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</si>
  <si>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</si>
  <si>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</si>
  <si>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</si>
  <si>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</si>
  <si>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</si>
  <si>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</si>
  <si>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</si>
  <si>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</si>
  <si>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</si>
  <si>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</si>
  <si>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</si>
  <si>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</si>
  <si>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</si>
  <si>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</si>
  <si>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</si>
  <si>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</si>
  <si>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</si>
  <si>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</si>
  <si>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</si>
  <si>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</si>
  <si>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</si>
  <si>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</si>
  <si>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</si>
  <si>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</si>
  <si>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</si>
  <si>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</si>
  <si>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</si>
  <si>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</si>
  <si>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</si>
  <si>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</si>
  <si>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</si>
  <si>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</si>
  <si>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</si>
  <si>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</si>
  <si>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</si>
  <si>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</si>
  <si>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</si>
  <si>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</si>
  <si>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</si>
  <si>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</si>
  <si>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</si>
  <si>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</si>
  <si>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</si>
  <si>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</si>
  <si>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</si>
  <si>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</si>
  <si>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</si>
  <si>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</si>
  <si>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</si>
  <si>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</si>
  <si>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</si>
  <si>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</si>
  <si>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</si>
  <si>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</si>
  <si>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</si>
  <si>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</si>
  <si>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</si>
  <si>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</si>
  <si>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</si>
  <si>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</si>
  <si>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</si>
  <si>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</si>
  <si>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</si>
  <si>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</si>
  <si>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</si>
  <si>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</si>
  <si>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</si>
  <si>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</si>
  <si>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</si>
  <si>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</si>
  <si>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</si>
  <si>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</si>
  <si>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</si>
  <si>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</si>
  <si>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</si>
  <si>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</si>
  <si>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</si>
  <si>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</si>
  <si>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</si>
  <si>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</si>
  <si>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</si>
  <si>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</si>
  <si>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</si>
  <si>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</si>
  <si>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</si>
  <si>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</si>
  <si>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</si>
  <si>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</si>
  <si>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</si>
  <si>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</si>
  <si>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</si>
  <si>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</si>
  <si>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</si>
  <si>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</si>
  <si>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</si>
  <si>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</si>
  <si>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</si>
  <si>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</si>
  <si>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</si>
  <si>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</si>
  <si>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</si>
  <si>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</si>
  <si>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</si>
  <si>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</si>
  <si>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</si>
  <si>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</si>
  <si>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</si>
  <si>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</si>
  <si>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</si>
  <si>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</si>
  <si>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</si>
  <si>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</si>
  <si>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</si>
  <si>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</si>
  <si>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</si>
  <si>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</si>
  <si>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</si>
  <si>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</si>
  <si>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</si>
  <si>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</si>
  <si>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</si>
  <si>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</si>
  <si>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</si>
  <si>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</si>
  <si>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</si>
  <si>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</si>
  <si>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</si>
  <si>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</si>
  <si>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</si>
  <si>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</si>
  <si>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</si>
  <si>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</si>
  <si>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</si>
  <si>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</si>
  <si>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</si>
  <si>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</si>
  <si>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</si>
  <si>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</si>
  <si>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</si>
  <si>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</si>
  <si>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</si>
  <si>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</si>
  <si>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</si>
  <si>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</si>
  <si>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</si>
  <si>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</si>
  <si>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</si>
  <si>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</si>
  <si>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</si>
  <si>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</si>
  <si>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</si>
  <si>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</si>
  <si>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</si>
  <si>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</si>
  <si>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</si>
  <si>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</si>
  <si>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</si>
  <si>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</si>
  <si>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</si>
  <si>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</si>
  <si>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</si>
  <si>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</si>
  <si>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</si>
  <si>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</si>
  <si>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</si>
  <si>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</si>
  <si>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</si>
  <si>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</si>
  <si>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</si>
  <si>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</si>
  <si>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</si>
  <si>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</si>
  <si>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</si>
  <si>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</si>
  <si>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</si>
  <si>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</si>
  <si>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</si>
  <si>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</si>
  <si>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</si>
  <si>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</si>
  <si>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</si>
  <si>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</si>
  <si>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</si>
  <si>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</si>
  <si>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</si>
  <si>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</si>
  <si>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</si>
  <si>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</si>
  <si>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</si>
  <si>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</si>
  <si>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</si>
  <si>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</si>
  <si>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</si>
  <si>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</si>
  <si>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</si>
  <si>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</si>
  <si>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</si>
  <si>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</si>
  <si>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</si>
  <si>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</si>
  <si>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</si>
  <si>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</si>
  <si>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</si>
  <si>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</si>
  <si>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</si>
  <si>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</si>
  <si>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</si>
  <si>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</si>
  <si>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</si>
  <si>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</si>
  <si>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</si>
  <si>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</si>
  <si>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</si>
  <si>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</si>
  <si>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</si>
  <si>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</si>
  <si>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</si>
  <si>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</si>
  <si>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</si>
  <si>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</si>
  <si>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</si>
  <si>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</si>
  <si>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</si>
  <si>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</si>
  <si>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</si>
  <si>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</si>
  <si>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</si>
  <si>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</si>
  <si>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</si>
  <si>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</si>
  <si>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</si>
  <si>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</si>
  <si>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</si>
  <si>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</si>
  <si>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</si>
  <si>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</si>
  <si>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</si>
  <si>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</si>
  <si>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</si>
  <si>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</si>
  <si>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</si>
  <si>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</si>
  <si>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</si>
  <si>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</si>
  <si>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</si>
  <si>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</si>
  <si>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</si>
  <si>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</si>
  <si>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</si>
  <si>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</si>
  <si>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</si>
  <si>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</si>
  <si>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</si>
  <si>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</si>
  <si>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</si>
  <si>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</si>
  <si>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</si>
  <si>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</si>
  <si>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</si>
  <si>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</si>
  <si>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</si>
  <si>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</si>
  <si>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</si>
  <si>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</si>
  <si>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</si>
  <si>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</si>
  <si>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</si>
  <si>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</si>
  <si>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</si>
  <si>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</si>
  <si>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</si>
  <si>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</si>
  <si>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</si>
  <si>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</si>
  <si>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</si>
  <si>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</si>
  <si>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</si>
  <si>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</si>
  <si>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</si>
  <si>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</si>
  <si>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</si>
  <si>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</si>
  <si>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</si>
  <si>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</si>
  <si>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</si>
  <si>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</si>
  <si>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</si>
  <si>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</si>
  <si>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</si>
  <si>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</si>
  <si>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</si>
  <si>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</si>
  <si>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</si>
  <si>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</si>
  <si>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</si>
  <si>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</si>
  <si>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</si>
  <si>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</si>
  <si>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</si>
  <si>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</si>
  <si>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</si>
  <si>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</si>
  <si>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</si>
  <si>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</si>
  <si>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</si>
  <si>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</si>
  <si>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</si>
  <si>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</si>
  <si>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</si>
  <si>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</si>
  <si>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</si>
  <si>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</si>
  <si>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</si>
  <si>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</si>
  <si>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</si>
  <si>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</si>
  <si>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</si>
  <si>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</si>
  <si>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</si>
  <si>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</si>
  <si>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</si>
  <si>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</si>
  <si>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</si>
  <si>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</si>
  <si>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</si>
  <si>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</si>
  <si>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</si>
  <si>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</si>
  <si>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</si>
  <si>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</si>
  <si>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</si>
  <si>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</si>
  <si>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</si>
  <si>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</si>
  <si>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</si>
  <si>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</si>
  <si>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</si>
  <si>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</si>
  <si>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</si>
  <si>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</si>
  <si>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</si>
  <si>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</si>
  <si>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</si>
  <si>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</si>
  <si>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</si>
  <si>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</si>
  <si>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</si>
  <si>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</si>
  <si>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</si>
  <si>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</si>
  <si>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</si>
  <si>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</si>
  <si>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</si>
  <si>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</si>
  <si>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</si>
  <si>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</si>
  <si>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</si>
  <si>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</si>
  <si>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</si>
  <si>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</si>
  <si>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</si>
  <si>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</si>
  <si>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</si>
  <si>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</si>
  <si>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</si>
  <si>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</si>
  <si>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</si>
  <si>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</si>
  <si>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</si>
  <si>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</si>
  <si>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</si>
  <si>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</si>
  <si>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</si>
  <si>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</si>
  <si>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</si>
  <si>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</si>
  <si>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</si>
  <si>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</si>
  <si>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</si>
  <si>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</si>
  <si>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</si>
  <si>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</si>
  <si>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</si>
  <si>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</si>
  <si>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</si>
  <si>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</si>
  <si>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</si>
  <si>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</si>
  <si>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</si>
  <si>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</si>
  <si>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</si>
  <si>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</si>
  <si>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</si>
  <si>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</si>
  <si>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</si>
  <si>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</si>
  <si>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</si>
  <si>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</si>
  <si>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</si>
  <si>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</si>
  <si>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</si>
  <si>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</si>
  <si>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</si>
  <si>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</si>
  <si>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</si>
  <si>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</si>
  <si>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</si>
  <si>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</si>
  <si>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</si>
  <si>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</si>
  <si>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</si>
  <si>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</si>
  <si>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</si>
  <si>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</si>
  <si>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</si>
  <si>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</si>
  <si>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</si>
  <si>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</si>
  <si>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</si>
  <si>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</si>
  <si>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</si>
  <si>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</si>
  <si>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</si>
  <si>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</si>
  <si>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</si>
  <si>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</si>
  <si>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</si>
  <si>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</si>
  <si>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</si>
  <si>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</si>
  <si>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</si>
  <si>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</si>
  <si>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</si>
  <si>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</si>
  <si>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</si>
  <si>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</si>
  <si>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</si>
  <si>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</si>
  <si>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</si>
  <si>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</si>
  <si>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</si>
  <si>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</si>
  <si>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</si>
  <si>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</si>
  <si>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</si>
  <si>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</si>
  <si>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</si>
  <si>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</si>
  <si>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</si>
  <si>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</si>
  <si>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</si>
  <si>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</si>
  <si>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</si>
  <si>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</si>
  <si>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</si>
  <si>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</si>
  <si>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</si>
  <si>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</si>
  <si>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</si>
  <si>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</si>
  <si>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</si>
  <si>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</si>
  <si>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</si>
  <si>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</si>
  <si>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</si>
  <si>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</si>
  <si>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</si>
  <si>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</si>
  <si>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</si>
  <si>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</si>
  <si>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</si>
  <si>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</si>
  <si>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</si>
  <si>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</si>
  <si>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</si>
  <si>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</si>
  <si>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</si>
  <si>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</si>
  <si>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</si>
  <si>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</si>
  <si>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</si>
  <si>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</si>
  <si>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</si>
  <si>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</si>
  <si>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</si>
  <si>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</si>
  <si>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</si>
  <si>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</si>
  <si>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</si>
  <si>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</si>
  <si>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</si>
  <si>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</si>
  <si>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</si>
  <si>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</si>
  <si>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</si>
  <si>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</si>
  <si>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</si>
  <si>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</si>
  <si>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</si>
  <si>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</si>
  <si>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</si>
  <si>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</si>
  <si>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</si>
  <si>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</si>
  <si>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</si>
  <si>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</si>
  <si>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</si>
  <si>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</si>
  <si>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</si>
  <si>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</si>
  <si>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</si>
  <si>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</si>
  <si>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</si>
  <si>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</si>
  <si>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</si>
  <si>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</si>
  <si>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</si>
  <si>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</si>
  <si>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</si>
  <si>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</si>
  <si>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</si>
  <si>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</si>
  <si>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</si>
  <si>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</si>
  <si>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</si>
  <si>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</si>
  <si>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</si>
  <si>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</si>
  <si>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</si>
  <si>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</si>
  <si>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</si>
  <si>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</si>
  <si>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</si>
  <si>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</si>
  <si>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</si>
  <si>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</si>
  <si>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</si>
  <si>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</si>
  <si>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</si>
  <si>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</si>
  <si>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</si>
  <si>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</si>
  <si>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</si>
  <si>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</si>
  <si>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</si>
  <si>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</si>
  <si>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</si>
  <si>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</si>
  <si>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</si>
  <si>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</si>
  <si>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</si>
  <si>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</si>
  <si>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</si>
  <si>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</si>
  <si>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</si>
  <si>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</si>
  <si>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</si>
  <si>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</si>
  <si>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</si>
  <si>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</si>
  <si>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</si>
  <si>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</si>
  <si>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</si>
  <si>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</si>
  <si>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</si>
  <si>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</si>
  <si>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</si>
  <si>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</si>
  <si>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</si>
  <si>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</si>
  <si>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</si>
  <si>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</si>
  <si>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</si>
  <si>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</si>
  <si>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</si>
  <si>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</si>
  <si>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</si>
  <si>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</si>
  <si>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</si>
  <si>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</si>
  <si>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</si>
  <si>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</si>
  <si>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</si>
  <si>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</si>
  <si>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</si>
  <si>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</si>
  <si>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</si>
  <si>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</si>
  <si>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</si>
  <si>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</si>
  <si>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</si>
  <si>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</si>
  <si>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</si>
  <si>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</si>
  <si>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</si>
  <si>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</si>
  <si>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</si>
  <si>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</si>
  <si>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</si>
  <si>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</si>
  <si>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</si>
  <si>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</si>
  <si>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</si>
  <si>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</si>
  <si>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</si>
  <si>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</si>
  <si>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</si>
  <si>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</si>
  <si>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</si>
  <si>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</si>
  <si>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</si>
  <si>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</si>
  <si>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</si>
  <si>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</si>
  <si>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</si>
  <si>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</si>
  <si>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</si>
  <si>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</si>
  <si>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</si>
  <si>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</si>
  <si>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</si>
  <si>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</si>
  <si>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</si>
  <si>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</si>
  <si>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</si>
  <si>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</si>
  <si>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</si>
  <si>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</si>
  <si>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</si>
  <si>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</si>
  <si>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</si>
  <si>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</si>
  <si>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</si>
  <si>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</si>
  <si>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</si>
  <si>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</si>
  <si>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</si>
  <si>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</si>
  <si>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</si>
  <si>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</si>
  <si>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</si>
  <si>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</si>
  <si>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</si>
  <si>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</si>
  <si>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</si>
  <si>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</si>
  <si>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</si>
  <si>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</si>
  <si>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</si>
  <si>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</si>
  <si>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</si>
  <si>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</si>
  <si>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</si>
  <si>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</si>
  <si>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</si>
  <si>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</si>
  <si>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</si>
  <si>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</si>
  <si>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</si>
  <si>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</si>
  <si>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</si>
  <si>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</si>
  <si>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</si>
  <si>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</si>
  <si>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</si>
  <si>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</si>
  <si>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</si>
  <si>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</si>
  <si>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</si>
  <si>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</si>
  <si>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</si>
  <si>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</si>
  <si>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</si>
  <si>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</si>
  <si>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</si>
  <si>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</si>
  <si>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</si>
  <si>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</si>
  <si>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</si>
  <si>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</si>
  <si>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</si>
  <si>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</si>
  <si>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</si>
  <si>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</si>
  <si>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</si>
  <si>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</si>
  <si>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</si>
  <si>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</si>
  <si>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</si>
  <si>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</si>
  <si>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</si>
  <si>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</si>
  <si>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</si>
  <si>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</si>
  <si>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</si>
  <si>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</si>
  <si>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</si>
  <si>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</si>
  <si>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</si>
  <si>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</si>
  <si>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</si>
  <si>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</si>
  <si>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</si>
  <si>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</si>
  <si>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</si>
  <si>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</si>
  <si>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</si>
  <si>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</si>
  <si>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</si>
  <si>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</si>
  <si>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</si>
  <si>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</si>
  <si>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</si>
  <si>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</si>
  <si>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</si>
  <si>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</si>
  <si>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</si>
  <si>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</si>
  <si>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</si>
  <si>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</si>
  <si>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</si>
  <si>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</si>
  <si>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</si>
  <si>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</si>
  <si>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</si>
  <si>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</si>
  <si>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</si>
  <si>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</si>
  <si>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</si>
  <si>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</si>
  <si>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</si>
  <si>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</si>
  <si>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</si>
  <si>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</si>
  <si>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</si>
  <si>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</si>
  <si>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</si>
  <si>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</si>
  <si>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</si>
  <si>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</si>
  <si>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</si>
  <si>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</si>
  <si>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</si>
  <si>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</si>
  <si>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</si>
  <si>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</si>
  <si>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</si>
  <si>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</si>
  <si>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</si>
  <si>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</si>
  <si>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</si>
  <si>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</si>
  <si>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</si>
  <si>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</si>
  <si>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</si>
  <si>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</si>
  <si>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</si>
  <si>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</si>
  <si>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</si>
  <si>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</si>
  <si>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</si>
  <si>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</si>
  <si>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</si>
  <si>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</si>
  <si>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</si>
  <si>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</si>
  <si>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</si>
  <si>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</si>
  <si>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</si>
  <si>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</si>
  <si>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</si>
  <si>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</si>
  <si>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</si>
  <si>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</si>
  <si>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</si>
  <si>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</si>
  <si>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</si>
  <si>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</si>
  <si>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</si>
  <si>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</si>
  <si>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</si>
  <si>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</si>
  <si>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</si>
  <si>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</si>
  <si>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</si>
  <si>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</si>
  <si>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</si>
  <si>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</si>
  <si>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</si>
  <si>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</si>
  <si>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</si>
  <si>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</si>
  <si>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</si>
  <si>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</si>
  <si>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</si>
  <si>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</si>
  <si>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</si>
  <si>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</si>
  <si>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</si>
  <si>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</si>
  <si>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</si>
  <si>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</si>
  <si>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</si>
  <si>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</si>
  <si>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</si>
  <si>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</si>
  <si>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</si>
  <si>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</si>
  <si>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</si>
  <si>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</si>
  <si>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</si>
  <si>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</si>
  <si>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</si>
  <si>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</si>
  <si>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</si>
  <si>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</si>
  <si>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</si>
  <si>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</si>
  <si>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</si>
  <si>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</si>
  <si>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</si>
  <si>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</si>
  <si>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</si>
  <si>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</si>
  <si>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</si>
  <si>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</si>
  <si>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</si>
  <si>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</si>
  <si>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</si>
  <si>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</si>
  <si>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</si>
  <si>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</si>
  <si>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</si>
  <si>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</si>
  <si>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</si>
  <si>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</si>
  <si>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</si>
  <si>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</si>
  <si>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</si>
  <si>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</si>
  <si>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</si>
  <si>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</si>
  <si>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</si>
  <si>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</si>
  <si>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</si>
  <si>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</si>
  <si>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</si>
  <si>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</si>
  <si>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</si>
  <si>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</si>
  <si>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</si>
  <si>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</si>
  <si>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</si>
  <si>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</si>
  <si>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</si>
  <si>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</si>
  <si>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</si>
  <si>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</si>
  <si>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</si>
  <si>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</si>
  <si>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</si>
  <si>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</si>
  <si>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</si>
  <si>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</si>
  <si>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</si>
  <si>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</si>
  <si>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</si>
  <si>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</si>
  <si>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</si>
  <si>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</si>
  <si>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</si>
  <si>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</si>
  <si>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</si>
  <si>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</si>
  <si>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</si>
  <si>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</si>
  <si>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</si>
  <si>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</si>
  <si>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</si>
  <si>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</si>
  <si>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</si>
  <si>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</si>
  <si>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</si>
  <si>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</si>
  <si>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</si>
  <si>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</si>
  <si>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</si>
  <si>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</si>
  <si>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</si>
  <si>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</si>
  <si>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</si>
  <si>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</si>
  <si>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</si>
  <si>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</si>
  <si>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</si>
  <si>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</si>
  <si>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</si>
  <si>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</si>
  <si>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</si>
  <si>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</si>
  <si>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</si>
  <si>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</si>
  <si>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</si>
  <si>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</si>
  <si>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</si>
  <si>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</si>
  <si>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</si>
  <si>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</si>
  <si>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</si>
  <si>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</si>
  <si>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</si>
  <si>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</si>
  <si>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</si>
  <si>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</si>
  <si>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</si>
  <si>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</si>
  <si>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</si>
  <si>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</si>
  <si>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</si>
  <si>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</si>
  <si>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</si>
  <si>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</si>
  <si>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</si>
  <si>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</si>
  <si>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</si>
  <si>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</si>
  <si>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</si>
  <si>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</si>
  <si>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</si>
  <si>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</si>
  <si>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</si>
  <si>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</si>
  <si>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</si>
  <si>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</si>
  <si>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</si>
  <si>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</si>
  <si>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</si>
  <si>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</si>
  <si>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</si>
  <si>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</si>
  <si>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</si>
  <si>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</si>
  <si>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</si>
  <si>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</si>
  <si>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</si>
  <si>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</si>
  <si>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</si>
  <si>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</si>
  <si>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</si>
  <si>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</si>
  <si>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</si>
  <si>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</si>
  <si>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</si>
  <si>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</si>
  <si>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</si>
  <si>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</si>
  <si>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</si>
  <si>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</si>
  <si>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</si>
  <si>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</si>
  <si>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</si>
  <si>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</si>
  <si>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</si>
  <si>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</si>
  <si>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</si>
  <si>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</si>
  <si>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</si>
  <si>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</si>
  <si>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</si>
  <si>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</si>
  <si>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</si>
  <si>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</si>
  <si>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</si>
  <si>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</si>
  <si>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</si>
  <si>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</si>
  <si>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</si>
  <si>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</si>
  <si>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</si>
  <si>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</si>
  <si>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</si>
  <si>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</si>
  <si>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</si>
  <si>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</si>
  <si>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</si>
  <si>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</si>
  <si>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</si>
  <si>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</si>
  <si>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</si>
  <si>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</si>
  <si>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</si>
  <si>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</si>
  <si>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</si>
  <si>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</si>
  <si>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</si>
  <si>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</si>
  <si>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</si>
  <si>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</si>
  <si>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</si>
  <si>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</si>
  <si>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</si>
  <si>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</si>
  <si>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</si>
  <si>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</si>
  <si>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</si>
  <si>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</si>
  <si>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</si>
  <si>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</si>
  <si>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</si>
  <si>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</si>
  <si>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</si>
  <si>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</si>
  <si>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</si>
  <si>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</si>
  <si>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</si>
  <si>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</si>
  <si>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</si>
  <si>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</si>
  <si>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</si>
  <si>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</si>
  <si>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</si>
  <si>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</si>
  <si>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</si>
  <si>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</si>
  <si>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</si>
  <si>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</si>
  <si>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</si>
  <si>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</si>
  <si>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</si>
  <si>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</si>
  <si>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</si>
  <si>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</si>
  <si>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</si>
  <si>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</si>
  <si>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</si>
  <si>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</si>
  <si>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</si>
  <si>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</si>
  <si>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</si>
  <si>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</si>
  <si>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</si>
  <si>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</si>
  <si>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</si>
  <si>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</si>
  <si>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</si>
  <si>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</si>
  <si>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</si>
  <si>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</si>
  <si>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</si>
  <si>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</si>
  <si>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</si>
  <si>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</si>
  <si>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</si>
  <si>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</si>
  <si>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</si>
  <si>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</si>
  <si>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</si>
  <si>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</si>
  <si>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</si>
  <si>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</si>
  <si>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</si>
  <si>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</si>
  <si>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</si>
  <si>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</si>
  <si>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</si>
  <si>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</si>
  <si>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</si>
  <si>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</si>
  <si>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</si>
  <si>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</si>
  <si>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</si>
  <si>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</si>
  <si>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</si>
  <si>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</si>
  <si>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</si>
  <si>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</si>
  <si>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</si>
  <si>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</si>
  <si>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</si>
  <si>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</si>
  <si>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</si>
  <si>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</si>
  <si>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</si>
  <si>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</si>
  <si>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</si>
  <si>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</si>
  <si>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</si>
  <si>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</si>
  <si>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</si>
  <si>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</si>
  <si>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</si>
  <si>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</si>
  <si>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</si>
  <si>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</si>
  <si>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</si>
  <si>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</si>
  <si>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</si>
  <si>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</si>
  <si>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</si>
  <si>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</si>
  <si>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</si>
  <si>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</si>
  <si>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</si>
  <si>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</si>
  <si>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</si>
  <si>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</si>
  <si>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</si>
  <si>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</si>
  <si>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</si>
  <si>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</si>
  <si>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</si>
  <si>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</si>
  <si>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</si>
  <si>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</si>
  <si>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</si>
  <si>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</si>
  <si>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</si>
  <si>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</si>
  <si>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</si>
  <si>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</si>
  <si>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</si>
  <si>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</si>
  <si>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</si>
  <si>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</si>
  <si>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</si>
  <si>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</si>
  <si>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</si>
  <si>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</si>
  <si>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</si>
  <si>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</si>
  <si>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</si>
  <si>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</si>
  <si>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</si>
  <si>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</si>
  <si>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</si>
  <si>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</si>
  <si>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</si>
  <si>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</si>
  <si>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</si>
  <si>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</si>
  <si>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</si>
  <si>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</si>
  <si>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</si>
  <si>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</si>
  <si>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</si>
  <si>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</si>
  <si>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</si>
  <si>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</si>
  <si>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</si>
  <si>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</si>
  <si>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</si>
  <si>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</si>
  <si>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</si>
  <si>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</si>
  <si>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</si>
  <si>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</si>
  <si>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</si>
  <si>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</si>
  <si>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</si>
  <si>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</si>
  <si>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</si>
  <si>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</si>
  <si>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</si>
  <si>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</si>
  <si>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</si>
  <si>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</si>
  <si>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</si>
  <si>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</si>
  <si>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</si>
  <si>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</si>
  <si>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</si>
  <si>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</si>
  <si>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</si>
  <si>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</si>
  <si>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</si>
  <si>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</si>
  <si>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</si>
  <si>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</si>
  <si>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</si>
  <si>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</si>
  <si>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</si>
  <si>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</si>
  <si>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</si>
  <si>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</si>
  <si>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</si>
  <si>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</si>
  <si>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</si>
  <si>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</si>
  <si>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</si>
  <si>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</si>
  <si>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</si>
  <si>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</si>
  <si>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</si>
  <si>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</si>
  <si>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</si>
  <si>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</si>
  <si>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</si>
  <si>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</si>
  <si>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</si>
  <si>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</si>
  <si>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</si>
  <si>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</si>
  <si>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</si>
  <si>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</si>
  <si>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</si>
  <si>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</si>
  <si>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</si>
  <si>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</si>
  <si>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</si>
  <si>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</si>
  <si>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</si>
  <si>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</si>
  <si>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</si>
  <si>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</si>
  <si>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</si>
  <si>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</si>
  <si>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</si>
  <si>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</si>
  <si>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</si>
  <si>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</si>
  <si>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</si>
  <si>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</si>
  <si>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</si>
  <si>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</si>
  <si>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</si>
  <si>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</si>
  <si>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</si>
  <si>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</si>
  <si>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</si>
  <si>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</si>
  <si>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</si>
  <si>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</si>
  <si>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</si>
  <si>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</si>
  <si>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</si>
  <si>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</si>
  <si>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</si>
  <si>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</si>
  <si>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</si>
  <si>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</si>
  <si>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</si>
  <si>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</si>
  <si>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</si>
  <si>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</si>
  <si>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</si>
  <si>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</si>
  <si>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</si>
  <si>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</si>
  <si>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</si>
  <si>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</si>
  <si>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</si>
  <si>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</si>
  <si>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</si>
  <si>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</si>
  <si>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</si>
  <si>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</si>
  <si>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</si>
  <si>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</si>
  <si>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</si>
  <si>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</si>
  <si>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</si>
  <si>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</si>
  <si>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</si>
  <si>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</si>
  <si>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</si>
  <si>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</si>
  <si>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</si>
  <si>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</si>
  <si>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</si>
  <si>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</si>
  <si>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</si>
  <si>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</si>
  <si>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</si>
  <si>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</si>
  <si>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</si>
  <si>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</si>
  <si>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</si>
  <si>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</si>
  <si>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</si>
  <si>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</si>
  <si>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</si>
  <si>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</si>
  <si>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</si>
  <si>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</si>
  <si>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</si>
  <si>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</si>
  <si>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</si>
  <si>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</si>
  <si>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</si>
  <si>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</si>
  <si>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</si>
  <si>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</si>
  <si>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</si>
  <si>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</si>
  <si>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</si>
  <si>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</si>
  <si>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</si>
  <si>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</si>
  <si>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</si>
  <si>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</si>
  <si>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</si>
  <si>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</si>
  <si>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</si>
  <si>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</si>
  <si>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</si>
  <si>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</si>
  <si>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</si>
  <si>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</si>
  <si>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</si>
  <si>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</si>
  <si>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</si>
  <si>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</si>
  <si>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</si>
  <si>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</si>
  <si>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</si>
  <si>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</si>
  <si>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</si>
  <si>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</si>
  <si>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</si>
  <si>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</si>
  <si>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</si>
  <si>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</si>
  <si>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</si>
  <si>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</si>
  <si>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</si>
  <si>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</si>
  <si>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</si>
  <si>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</si>
  <si>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</si>
  <si>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</si>
  <si>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</si>
  <si>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</si>
  <si>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</si>
  <si>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</si>
  <si>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</si>
  <si>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</si>
  <si>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</si>
  <si>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</si>
  <si>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</si>
  <si>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</si>
  <si>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</si>
  <si>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</si>
  <si>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</si>
  <si>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</si>
  <si>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</si>
  <si>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</si>
  <si>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</si>
  <si>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</si>
  <si>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</si>
  <si>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</si>
  <si>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</si>
  <si>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</si>
  <si>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</si>
  <si>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</si>
  <si>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</si>
  <si>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</si>
  <si>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</si>
  <si>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</si>
  <si>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</si>
  <si>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</si>
  <si>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</si>
  <si>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</si>
  <si>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</si>
  <si>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</si>
  <si>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</si>
  <si>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</si>
  <si>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</si>
  <si>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</si>
  <si>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</si>
  <si>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</si>
  <si>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</si>
  <si>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</si>
  <si>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</si>
  <si>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</si>
  <si>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</si>
  <si>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</si>
  <si>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</si>
  <si>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</si>
  <si>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</si>
  <si>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</si>
  <si>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</si>
  <si>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</si>
  <si>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</si>
  <si>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</si>
  <si>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</si>
  <si>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</si>
  <si>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</si>
  <si>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</si>
  <si>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</si>
  <si>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</si>
  <si>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</si>
  <si>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</si>
  <si>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</si>
  <si>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</si>
  <si>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</si>
  <si>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</si>
  <si>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</si>
  <si>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</si>
  <si>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</si>
  <si>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</si>
  <si>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</si>
  <si>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</si>
  <si>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</si>
  <si>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</si>
  <si>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</si>
  <si>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</si>
  <si>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</si>
  <si>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</si>
  <si>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</si>
  <si>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</si>
  <si>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</si>
  <si>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</si>
  <si>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</si>
  <si>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</si>
  <si>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</si>
  <si>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</si>
  <si>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</si>
  <si>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</si>
  <si>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</si>
  <si>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</si>
  <si>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</si>
  <si>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</si>
  <si>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</si>
  <si>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</si>
  <si>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</si>
  <si>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</si>
  <si>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</si>
  <si>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</si>
  <si>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</si>
  <si>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</si>
  <si>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</si>
  <si>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</si>
  <si>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</si>
  <si>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</si>
  <si>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</si>
  <si>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</si>
  <si>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</si>
  <si>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</si>
  <si>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</si>
  <si>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</si>
  <si>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</si>
  <si>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</si>
  <si>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</si>
  <si>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</si>
  <si>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</si>
  <si>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</si>
  <si>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</si>
  <si>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</si>
  <si>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</si>
  <si>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</si>
  <si>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</si>
  <si>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</si>
  <si>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</si>
  <si>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</si>
  <si>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</si>
  <si>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</si>
  <si>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</si>
  <si>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</si>
  <si>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</si>
  <si>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</si>
  <si>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</si>
  <si>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</si>
  <si>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</si>
  <si>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</si>
  <si>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</si>
  <si>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</si>
  <si>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</si>
  <si>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</si>
  <si>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</si>
  <si>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</si>
  <si>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</si>
  <si>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</si>
  <si>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</si>
  <si>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</si>
  <si>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</si>
  <si>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</si>
  <si>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</si>
  <si>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</si>
  <si>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</si>
  <si>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</si>
  <si>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</si>
  <si>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</si>
  <si>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</si>
  <si>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</si>
  <si>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</si>
  <si>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</si>
  <si>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</si>
  <si>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</si>
  <si>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</si>
  <si>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</si>
  <si>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</si>
  <si>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</si>
  <si>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</si>
  <si>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</si>
  <si>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</si>
  <si>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</si>
  <si>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</si>
  <si>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</si>
  <si>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</si>
  <si>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</si>
  <si>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</si>
  <si>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</si>
  <si>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</si>
  <si>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</si>
  <si>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</si>
  <si>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</si>
  <si>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</si>
  <si>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</si>
  <si>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</si>
  <si>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</si>
  <si>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</si>
  <si>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</si>
  <si>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</si>
  <si>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</si>
  <si>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</si>
  <si>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</si>
  <si>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</si>
  <si>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</si>
  <si>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</si>
  <si>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</si>
  <si>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</si>
  <si>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</si>
  <si>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</si>
  <si>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</si>
  <si>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</si>
  <si>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</si>
  <si>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</si>
  <si>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</si>
  <si>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</si>
  <si>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</si>
  <si>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</si>
  <si>
    <t>吴薇</t>
  </si>
  <si>
    <t>年总收益</t>
  </si>
  <si>
    <t>部位</t>
  </si>
  <si>
    <t>数量</t>
  </si>
  <si>
    <t>（间）</t>
  </si>
  <si>
    <t>平均房价</t>
  </si>
  <si>
    <t>（元）</t>
  </si>
  <si>
    <t>平均入住率</t>
  </si>
  <si>
    <t>（%）</t>
  </si>
  <si>
    <t>客房</t>
  </si>
  <si>
    <t>高级房</t>
  </si>
  <si>
    <t>豪华房</t>
  </si>
  <si>
    <t>套房</t>
  </si>
  <si>
    <t>总统套房</t>
  </si>
  <si>
    <t>年收入（万元）</t>
  </si>
  <si>
    <t>会议室</t>
  </si>
  <si>
    <t>餐厅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</si>
</sst>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9" fontId="254" fillId="0" borderId="1" xfId="0" applyNumberFormat="1"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0" fontId="254" fillId="0" borderId="1"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6.2" thickBot="1">
      <c r="A5" s="1597" t="s">
        <v>1223</v>
      </c>
      <c r="B5" s="1598" t="str">
        <f>'预评函-封皮'!B49</f>
        <v>康正预评字号</v>
      </c>
    </row>
    <row r="6" spans="1:2" s="1593" customFormat="1" ht="16.2"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ht="31.2">
      <c r="A42" s="1594" t="s">
        <v>1288</v>
      </c>
      <c r="B42" s="1595" t="str">
        <f>'预评函-3'!B2</f>
        <v>建筑面积</v>
      </c>
    </row>
    <row r="43" spans="1:2" s="1596" customFormat="1">
      <c r="A43" s="1594" t="s">
        <v>1289</v>
      </c>
      <c r="B43" s="1595">
        <f>'预评函-3'!B4</f>
        <v>38702.28</v>
      </c>
    </row>
    <row r="44" spans="1:2" s="1596" customFormat="1" ht="31.2">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6.2" thickBot="1">
      <c r="A73" s="1597" t="s">
        <v>1263</v>
      </c>
      <c r="B73" s="1598">
        <f ca="1">'预评函-4'!B5</f>
        <v>1120070131</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4" t="s">
        <v>864</v>
      </c>
      <c r="C54" s="2021" t="s">
        <v>1281</v>
      </c>
    </row>
    <row r="55" spans="1:4">
      <c r="A55" s="3025"/>
      <c r="B55" s="2024" t="s">
        <v>865</v>
      </c>
      <c r="C55" s="2021" t="s">
        <v>1282</v>
      </c>
    </row>
    <row r="56" spans="1:4">
      <c r="A56" s="3025"/>
      <c r="B56" s="2024" t="s">
        <v>866</v>
      </c>
      <c r="C56" s="2021" t="s">
        <v>1286</v>
      </c>
    </row>
    <row r="57" spans="1:4">
      <c r="A57" s="302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8" sqref="J8"/>
    </sheetView>
  </sheetViews>
  <sheetFormatPr defaultColWidth="10" defaultRowHeight="18" customHeight="1"/>
  <cols>
    <col min="1" max="1" width="14.88671875" style="2034" customWidth="1"/>
    <col min="2" max="2" width="10" style="2034" customWidth="1"/>
    <col min="3" max="3" width="11.44140625" style="2034" customWidth="1"/>
    <col min="4" max="6" width="10" style="2034" customWidth="1"/>
    <col min="7" max="7" width="10.77734375" style="2034" customWidth="1"/>
    <col min="8" max="8" width="10" style="2034" customWidth="1"/>
    <col min="9" max="9" width="11.10937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26" t="str">
        <f>IF(B10="北京市","北京市",C10)&amp;F10&amp;IF(结果表!G1="在建","出让国有建设用地使用权及在建建筑物",IF(结果表!G1="土地","出让国有建设用地使用权",))&amp;B9&amp;"预评估"</f>
        <v>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3165</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29"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30"/>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36"/>
      <c r="C16" s="3037"/>
      <c r="D16" s="3038"/>
      <c r="E16" s="2088" t="s">
        <v>1792</v>
      </c>
      <c r="F16" s="3039"/>
      <c r="G16" s="3040"/>
      <c r="H16" s="3040"/>
      <c r="I16" s="3041"/>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42" t="s">
        <v>1796</v>
      </c>
      <c r="F17" s="3043"/>
      <c r="G17" s="3043"/>
      <c r="H17" s="3043"/>
      <c r="I17" s="3044"/>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45" t="s">
        <v>1799</v>
      </c>
      <c r="F18" s="3046"/>
      <c r="G18" s="3046"/>
      <c r="H18" s="3046"/>
      <c r="I18" s="3047"/>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32" t="s">
        <v>1804</v>
      </c>
      <c r="C20" s="3033"/>
      <c r="D20" s="3034" t="s">
        <v>1805</v>
      </c>
      <c r="E20" s="3035"/>
      <c r="F20" s="2100" t="s">
        <v>1806</v>
      </c>
      <c r="G20" s="2044"/>
      <c r="H20" s="2044"/>
      <c r="I20" s="2044"/>
      <c r="J20" s="2044"/>
      <c r="K20" s="3031"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9"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9"/>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9"/>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50"/>
      <c r="B30" s="2037" t="s">
        <v>1823</v>
      </c>
      <c r="C30" s="3051"/>
      <c r="D30" s="305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53"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5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5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48" t="s">
        <v>1833</v>
      </c>
      <c r="T34" s="2137" t="str">
        <f>NUMBERSTRING(7-K34,1)&amp;"通"</f>
        <v>七通</v>
      </c>
      <c r="U34" s="2031"/>
      <c r="V34" s="2031"/>
    </row>
    <row r="35" spans="1:22" ht="18" customHeight="1">
      <c r="A35" s="2138"/>
      <c r="B35" s="3055" t="s">
        <v>1834</v>
      </c>
      <c r="C35" s="3055"/>
      <c r="D35" s="3055"/>
      <c r="E35" s="305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H17" sqref="H17"/>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0.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3.2">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3.2">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3.2">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3.2">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46.8">
      <c r="A3" s="3056"/>
      <c r="B3" s="3056"/>
      <c r="C3" s="3056"/>
      <c r="D3" s="3057"/>
      <c r="E3" s="30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36" sqref="G36"/>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1929</v>
      </c>
      <c r="B1" s="1395"/>
      <c r="C1" s="1395"/>
      <c r="D1" s="1395"/>
      <c r="E1" s="1395"/>
      <c r="F1" s="1395"/>
      <c r="G1" s="1395"/>
      <c r="H1" s="1395"/>
      <c r="I1" s="1395"/>
      <c r="J1" s="1395"/>
      <c r="K1" s="1395"/>
      <c r="L1" s="1395"/>
      <c r="M1" s="1395"/>
      <c r="N1" s="1395"/>
      <c r="O1" s="1395"/>
      <c r="P1" s="1395"/>
    </row>
    <row r="2" spans="1:16" ht="14.4">
      <c r="A2" s="3067" t="s">
        <v>1930</v>
      </c>
      <c r="B2" s="3067"/>
      <c r="C2" s="3067"/>
      <c r="D2" s="970" t="s">
        <v>1906</v>
      </c>
      <c r="E2" s="2230" t="s">
        <v>1907</v>
      </c>
      <c r="F2" s="1395"/>
      <c r="G2" s="2231"/>
      <c r="H2" s="2232"/>
      <c r="I2" s="2233" t="s">
        <v>1931</v>
      </c>
      <c r="J2" s="1395"/>
      <c r="K2" s="1395"/>
      <c r="L2" s="1395"/>
      <c r="M2" s="1395"/>
      <c r="N2" s="1430"/>
      <c r="O2" s="1395"/>
      <c r="P2" s="1395"/>
    </row>
    <row r="3" spans="1:16" ht="15" thickBot="1">
      <c r="A3" s="3068" t="s">
        <v>1904</v>
      </c>
      <c r="B3" s="3068"/>
      <c r="C3" s="3068"/>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4.4">
      <c r="A4" s="3069"/>
      <c r="B4" s="3070"/>
      <c r="C4" s="3071"/>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ht="14.4">
      <c r="A5" s="47" t="s">
        <v>1908</v>
      </c>
      <c r="B5" s="3072" t="s">
        <v>1909</v>
      </c>
      <c r="C5" s="3072"/>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72" t="s">
        <v>1910</v>
      </c>
      <c r="C6" s="3072"/>
      <c r="D6" s="48">
        <f>ROUND($D$3*E6/$E$3,2)</f>
        <v>13879.46</v>
      </c>
      <c r="E6" s="49">
        <f>E3-E5</f>
        <v>38702.28</v>
      </c>
      <c r="F6" s="1395"/>
      <c r="G6" s="2238" t="s">
        <v>1911</v>
      </c>
      <c r="H6" s="1402" t="s">
        <v>1912</v>
      </c>
      <c r="I6" s="942">
        <f>ROUND(F31/D31,2)</f>
        <v>2.79</v>
      </c>
      <c r="J6" s="1395"/>
      <c r="K6" s="1395"/>
      <c r="L6" s="1395"/>
      <c r="M6" s="1395"/>
      <c r="N6" s="1395"/>
      <c r="O6" s="1395"/>
      <c r="P6" s="1395"/>
    </row>
    <row r="7" spans="1:16" ht="14.4">
      <c r="A7" s="3064"/>
      <c r="B7" s="3065"/>
      <c r="C7" s="3066"/>
      <c r="D7" s="2234" t="s">
        <v>1906</v>
      </c>
      <c r="E7" s="2239" t="s">
        <v>1913</v>
      </c>
      <c r="F7" s="1395"/>
      <c r="G7" s="2231" t="s">
        <v>1914</v>
      </c>
      <c r="H7" s="64"/>
      <c r="I7" s="420"/>
      <c r="J7" s="1395"/>
      <c r="K7" s="1395"/>
      <c r="L7" s="1395"/>
      <c r="M7" s="1395"/>
      <c r="N7" s="1395"/>
      <c r="O7" s="1395"/>
      <c r="P7" s="1395"/>
    </row>
    <row r="8" spans="1:16" ht="14.4">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ht="14.4">
      <c r="A9" s="2241"/>
      <c r="B9" s="2242"/>
      <c r="C9" s="48" t="s">
        <v>1918</v>
      </c>
      <c r="D9" s="48">
        <f t="shared" si="0"/>
        <v>0</v>
      </c>
      <c r="E9" s="52">
        <v>0</v>
      </c>
      <c r="F9" s="1395"/>
      <c r="G9" s="2240"/>
      <c r="H9" s="2240"/>
      <c r="I9" s="1395"/>
      <c r="J9" s="1395"/>
      <c r="K9" s="1395"/>
      <c r="L9" s="1395"/>
      <c r="M9" s="1395"/>
      <c r="N9" s="1395"/>
      <c r="O9" s="1395"/>
      <c r="P9" s="1395"/>
    </row>
    <row r="10" spans="1:16" ht="14.4">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ht="14.4">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ht="14.4">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ht="14.4">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ht="14.4">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 thickBot="1">
      <c r="A16" s="2237"/>
      <c r="B16" s="2242"/>
      <c r="C16" s="50" t="s">
        <v>1922</v>
      </c>
      <c r="D16" s="50">
        <f>SUM(D8:D15)</f>
        <v>13879.46</v>
      </c>
      <c r="E16" s="53">
        <f>SUM(E8:E15)</f>
        <v>38702.28</v>
      </c>
      <c r="F16" s="1395"/>
      <c r="G16" s="2240"/>
      <c r="H16" s="2243" t="s">
        <v>1934</v>
      </c>
      <c r="I16" s="2244"/>
      <c r="J16" s="1395"/>
      <c r="K16" s="3061" t="s">
        <v>1934</v>
      </c>
      <c r="L16" s="3062"/>
      <c r="M16" s="3062"/>
      <c r="N16" s="3062"/>
      <c r="O16" s="3062"/>
      <c r="P16" s="3063"/>
    </row>
    <row r="17" spans="1:19" ht="14.4">
      <c r="A17" s="2245" t="s">
        <v>1935</v>
      </c>
      <c r="B17" s="2246" t="s">
        <v>1936</v>
      </c>
      <c r="C17" s="2247" t="s">
        <v>1937</v>
      </c>
      <c r="D17" s="2248" t="s">
        <v>1925</v>
      </c>
      <c r="E17" s="2249" t="s">
        <v>1926</v>
      </c>
      <c r="F17" s="2250"/>
      <c r="G17" s="2251"/>
      <c r="H17" s="2252" t="s">
        <v>1938</v>
      </c>
      <c r="I17" s="2253" t="s">
        <v>1923</v>
      </c>
      <c r="J17" s="1395"/>
      <c r="K17" s="3058" t="s">
        <v>1939</v>
      </c>
      <c r="L17" s="3059"/>
      <c r="M17" s="3060"/>
      <c r="N17" s="3058" t="s">
        <v>1940</v>
      </c>
      <c r="O17" s="3059"/>
      <c r="P17" s="3060"/>
      <c r="R17" s="2231" t="s">
        <v>1941</v>
      </c>
      <c r="S17" s="64"/>
    </row>
    <row r="18" spans="1:19" ht="14.4">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ht="14.4">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ht="14.4">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ht="14.4">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ht="14.4">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ht="14.4">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4" sqref="K24"/>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4.4"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57.6">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3.8">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(N20+N21)/2</f>
        <v>0.92999999999999994</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0.92999999999999994</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4">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8.8">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0" t="s">
        <v>2012</v>
      </c>
      <c r="B20" s="113">
        <v>2.5</v>
      </c>
      <c r="C20" s="2280" t="s">
        <v>2013</v>
      </c>
      <c r="D20" s="2281"/>
      <c r="E20" s="2280"/>
      <c r="F20" s="2280"/>
      <c r="G20" s="2280"/>
      <c r="H20" s="2280"/>
      <c r="I20" s="2280"/>
      <c r="J20" s="2280"/>
      <c r="K20" s="168"/>
      <c r="L20" s="168"/>
      <c r="M20" s="1584"/>
      <c r="N20" s="1584">
        <f>ROUND(1-(2019-2014)/60,2)</f>
        <v>0.92</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1" t="s">
        <v>2014</v>
      </c>
      <c r="B21" s="113">
        <v>2.5</v>
      </c>
      <c r="C21" s="2280"/>
      <c r="D21" s="2281"/>
      <c r="E21" s="2280"/>
      <c r="F21" s="2280"/>
      <c r="G21" s="2280"/>
      <c r="H21" s="2280"/>
      <c r="I21" s="2280"/>
      <c r="J21" s="2280"/>
      <c r="K21" s="168"/>
      <c r="L21" s="168"/>
      <c r="M21" s="1584"/>
      <c r="N21" s="1584">
        <v>0.94</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8.8">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2372" customWidth="1"/>
    <col min="2" max="2" width="24.44140625" style="2419" customWidth="1"/>
    <col min="3" max="3" width="24.44140625" style="2418" customWidth="1"/>
    <col min="4" max="4" width="2.6640625" style="2418" customWidth="1"/>
    <col min="5" max="5" width="5.88671875" style="2418" customWidth="1"/>
    <col min="6" max="6" width="27" style="2419" customWidth="1"/>
    <col min="7" max="7" width="27" style="2420" customWidth="1"/>
    <col min="8" max="8" width="11.88671875" style="2398" customWidth="1"/>
    <col min="9" max="9" width="16.77734375" style="2399" customWidth="1"/>
    <col min="10" max="10" width="2.6640625" style="2398" customWidth="1"/>
    <col min="11" max="11" width="11.88671875" style="2398" customWidth="1"/>
    <col min="12" max="12" width="16.77734375" style="2399" customWidth="1"/>
    <col min="13" max="13" width="2.6640625" style="2398" customWidth="1"/>
    <col min="14" max="14" width="11.88671875" style="2398" customWidth="1"/>
    <col min="15" max="15" width="16.77734375" style="2399" customWidth="1"/>
    <col min="16" max="16" width="2.6640625" style="2398" customWidth="1"/>
    <col min="17" max="17" width="11.88671875" style="2398" customWidth="1"/>
    <col min="18" max="18" width="16.77734375" style="2400" customWidth="1"/>
    <col min="19" max="29" width="9" style="2371"/>
    <col min="30" max="16384" width="9" style="2372"/>
  </cols>
  <sheetData>
    <row r="1" spans="1:29" s="2365" customFormat="1" ht="18" thickBot="1">
      <c r="A1" s="3073" t="s">
        <v>2075</v>
      </c>
      <c r="B1" s="3074"/>
      <c r="C1" s="3074"/>
      <c r="D1" s="3074"/>
      <c r="E1" s="3074"/>
      <c r="F1" s="3074"/>
      <c r="G1" s="307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2076</v>
      </c>
      <c r="D2" s="2369"/>
      <c r="E2" s="2370"/>
      <c r="F2" s="2289"/>
      <c r="G2" s="2368" t="s">
        <v>2077</v>
      </c>
      <c r="H2" s="2371"/>
      <c r="I2" s="2371"/>
      <c r="J2" s="2371"/>
      <c r="K2" s="2371"/>
      <c r="L2" s="2371"/>
      <c r="M2" s="2371"/>
      <c r="N2" s="2371"/>
      <c r="O2" s="2371"/>
      <c r="P2" s="2371"/>
      <c r="Q2" s="2371"/>
      <c r="R2" s="2371"/>
    </row>
    <row r="3" spans="1:29" ht="57.6">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7.6">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7.6">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72">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72.599999999999994"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8.8">
      <c r="A8" s="431"/>
      <c r="B8" s="1797" t="s">
        <v>2090</v>
      </c>
      <c r="C8" s="2953" t="s">
        <v>3144</v>
      </c>
      <c r="D8" s="2379"/>
      <c r="E8" s="2379"/>
      <c r="F8" s="1136"/>
      <c r="G8" s="1136"/>
      <c r="H8" s="2371"/>
      <c r="I8" s="2371"/>
      <c r="J8" s="2371"/>
      <c r="K8" s="2371"/>
      <c r="L8" s="2371"/>
      <c r="M8" s="2371"/>
      <c r="N8" s="2371"/>
      <c r="O8" s="2371"/>
      <c r="P8" s="2371"/>
      <c r="Q8" s="2371"/>
      <c r="R8" s="2371"/>
    </row>
    <row r="9" spans="1:29" ht="72">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7.399999999999999">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8" thickBot="1">
      <c r="A13" s="2396" t="s">
        <v>2096</v>
      </c>
      <c r="B13" s="2390"/>
      <c r="C13" s="2390"/>
      <c r="D13" s="2397"/>
      <c r="E13" s="2390"/>
      <c r="F13" s="2390"/>
      <c r="G13" s="2390"/>
    </row>
    <row r="14" spans="1:29" ht="15" thickBot="1">
      <c r="A14" s="2401"/>
      <c r="B14" s="2402"/>
      <c r="C14" s="2403" t="s">
        <v>2097</v>
      </c>
      <c r="D14" s="2374"/>
      <c r="E14" s="2404"/>
      <c r="F14" s="2404"/>
      <c r="G14" s="2368" t="s">
        <v>2098</v>
      </c>
    </row>
    <row r="15" spans="1:29" ht="55.2">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5.2">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5.2">
      <c r="A17" s="645"/>
      <c r="B17" s="2407" t="s">
        <v>2086</v>
      </c>
      <c r="C17" s="2408" t="str">
        <f>C5</f>
        <v>周边办公楼项目较多，有贵州金融城、贵阳富力中心等，入驻率较高，办公集聚程度较好</v>
      </c>
      <c r="D17" s="2379"/>
      <c r="E17" s="2409"/>
      <c r="F17" s="2410" t="s">
        <v>2102</v>
      </c>
      <c r="G17" s="1572"/>
    </row>
    <row r="18" spans="1:18" ht="69">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7.6">
      <c r="A19" s="645"/>
      <c r="B19" s="2410" t="s">
        <v>2103</v>
      </c>
      <c r="C19" s="1572"/>
      <c r="D19" s="2374"/>
      <c r="E19" s="2409"/>
      <c r="F19" s="1797" t="s">
        <v>2087</v>
      </c>
      <c r="G19" s="136" t="str">
        <f>G5</f>
        <v>估价对象所在区域公共配套设施齐备情况</v>
      </c>
    </row>
    <row r="20" spans="1:18" ht="69">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69">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workbookViewId="0">
      <selection activeCell="B15" sqref="B15:D15"/>
    </sheetView>
  </sheetViews>
  <sheetFormatPr defaultColWidth="9" defaultRowHeight="14.4"/>
  <cols>
    <col min="1" max="1" width="23.33203125" style="1741" customWidth="1"/>
    <col min="2" max="7" width="15.77734375" style="1741" customWidth="1"/>
    <col min="8" max="9" width="8.44140625" style="1741" customWidth="1"/>
    <col min="10" max="16384" width="9" style="1741"/>
  </cols>
  <sheetData>
    <row r="1" spans="1:18" ht="16.2">
      <c r="A1" s="1745" t="s">
        <v>1355</v>
      </c>
      <c r="B1" s="1745">
        <f>SUM(B14:B23)</f>
        <v>38702.28</v>
      </c>
      <c r="C1" s="1744"/>
      <c r="D1" s="1744"/>
      <c r="E1" s="1744"/>
      <c r="F1" s="1744"/>
      <c r="G1" s="1742"/>
    </row>
    <row r="2" spans="1:18" ht="16.2">
      <c r="A2" s="1745" t="s">
        <v>1343</v>
      </c>
      <c r="B2" s="1745">
        <f>SUM(C14:C23)</f>
        <v>13879.46</v>
      </c>
      <c r="C2" s="1744"/>
      <c r="D2" s="1744"/>
      <c r="E2" s="1744"/>
      <c r="F2" s="1744"/>
      <c r="G2" s="1742"/>
    </row>
    <row r="3" spans="1:18" ht="15.6">
      <c r="A3" s="1745" t="s">
        <v>1352</v>
      </c>
      <c r="B3" s="1746">
        <f>项目基本情况!D3</f>
        <v>43592</v>
      </c>
      <c r="C3" s="1744"/>
      <c r="D3" s="1744"/>
      <c r="E3" s="1744"/>
      <c r="F3" s="1744"/>
      <c r="G3" s="1742"/>
    </row>
    <row r="4" spans="1:18" ht="31.2">
      <c r="A4" s="1745" t="s">
        <v>1351</v>
      </c>
      <c r="B4" s="1745" t="s">
        <v>1350</v>
      </c>
      <c r="C4" s="1745" t="s">
        <v>1349</v>
      </c>
      <c r="D4" s="1745" t="s">
        <v>1348</v>
      </c>
      <c r="E4" s="1744"/>
      <c r="F4" s="1742"/>
      <c r="G4" s="1742"/>
    </row>
    <row r="5" spans="1:18" ht="15.6">
      <c r="A5" s="1745" t="s">
        <v>1347</v>
      </c>
      <c r="B5" s="1745">
        <f ca="1">SUM(D14:D23)</f>
        <v>63978</v>
      </c>
      <c r="C5" s="1745">
        <f ca="1">ROUND(B5*10000/$B$1,0)</f>
        <v>16531</v>
      </c>
      <c r="D5" s="1745">
        <f ca="1">ROUND(B5*10000/$B$2,0)</f>
        <v>46095</v>
      </c>
      <c r="E5" s="1744"/>
      <c r="F5" s="1742"/>
      <c r="G5" s="1742"/>
    </row>
    <row r="6" spans="1:18" ht="15.6">
      <c r="A6" s="1745" t="s">
        <v>1346</v>
      </c>
      <c r="B6" s="1745">
        <f ca="1">SUM(G14:G23)</f>
        <v>63978</v>
      </c>
      <c r="C6" s="1745">
        <f ca="1">ROUND(B6*10000/$B$1,0)</f>
        <v>16531</v>
      </c>
      <c r="D6" s="1745">
        <f ca="1">ROUND(B6*10000/$B$2,0)</f>
        <v>46095</v>
      </c>
      <c r="E6" s="1744"/>
      <c r="F6" s="1742"/>
      <c r="G6" s="1742"/>
    </row>
    <row r="7" spans="1:18" ht="15.6">
      <c r="A7" s="1745" t="s">
        <v>1354</v>
      </c>
      <c r="B7" s="1745">
        <f>SUM(H14:H23)</f>
        <v>0</v>
      </c>
      <c r="C7" s="1745">
        <f>ROUND(B7*10000/$B$1,0)</f>
        <v>0</v>
      </c>
      <c r="D7" s="1745">
        <f>ROUND(B7*10000/$B$2,0)</f>
        <v>0</v>
      </c>
      <c r="E7" s="1744"/>
      <c r="F7" s="1742"/>
      <c r="G7" s="1742"/>
    </row>
    <row r="8" spans="1:18" ht="15.6">
      <c r="A8" s="1745" t="s">
        <v>1285</v>
      </c>
      <c r="B8" s="1745">
        <f>SUM(I14:I23)</f>
        <v>0</v>
      </c>
      <c r="C8" s="1745">
        <f>ROUND(B8*10000/$B$1,0)</f>
        <v>0</v>
      </c>
      <c r="D8" s="1745">
        <f>ROUND(B8*10000/$B$2,0)</f>
        <v>0</v>
      </c>
      <c r="E8" s="1744"/>
      <c r="F8" s="1742"/>
      <c r="G8" s="1742"/>
    </row>
    <row r="9" spans="1:18" ht="15.6">
      <c r="A9" s="1745" t="s">
        <v>1345</v>
      </c>
      <c r="B9" s="1747"/>
      <c r="C9" s="1744"/>
      <c r="D9" s="1744"/>
      <c r="E9" s="1744"/>
      <c r="F9" s="1742"/>
      <c r="G9" s="1742"/>
    </row>
    <row r="10" spans="1:18" ht="15.6">
      <c r="A10" s="1745" t="s">
        <v>1344</v>
      </c>
      <c r="B10" s="1747"/>
      <c r="C10" s="1744"/>
      <c r="D10" s="1744"/>
      <c r="E10" s="1744"/>
      <c r="F10" s="1742"/>
      <c r="G10" s="1742"/>
    </row>
    <row r="11" spans="1:18" ht="15.6">
      <c r="A11" s="1745" t="s">
        <v>1360</v>
      </c>
      <c r="B11" s="1747"/>
      <c r="C11" s="1744"/>
      <c r="D11" s="1744"/>
      <c r="E11" s="1744"/>
      <c r="F11" s="1742"/>
      <c r="G11" s="1742"/>
    </row>
    <row r="12" spans="1:18" ht="15.6">
      <c r="A12" s="1744"/>
      <c r="B12" s="1744"/>
      <c r="C12" s="1744"/>
      <c r="D12" s="1744"/>
      <c r="E12" s="1744"/>
      <c r="F12" s="1742"/>
      <c r="G12" s="1742"/>
    </row>
    <row r="13" spans="1:18" ht="62.4">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5.6">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5.6">
      <c r="A15" s="2960" t="s">
        <v>3157</v>
      </c>
      <c r="B15" s="1748"/>
      <c r="C15" s="1748"/>
      <c r="D15" s="1748"/>
      <c r="E15" s="1743" t="e">
        <f t="shared" ref="E15:E23" si="0">ROUND(D15*10000/B15,0)</f>
        <v>#DIV/0!</v>
      </c>
      <c r="F15" s="1743" t="e">
        <f t="shared" ref="F15:F23" si="1">ROUND(D15*10000/C15,0)</f>
        <v>#DIV/0!</v>
      </c>
      <c r="G15" s="1749">
        <f>D15</f>
        <v>0</v>
      </c>
      <c r="H15" s="1749"/>
      <c r="I15" s="1748"/>
      <c r="J15" s="2959"/>
      <c r="K15" s="2965"/>
      <c r="L15" s="2966"/>
    </row>
    <row r="16" spans="1:18" ht="15.6">
      <c r="A16" s="2960"/>
      <c r="B16" s="1748"/>
      <c r="C16" s="1748"/>
      <c r="D16" s="1748"/>
      <c r="E16" s="1743" t="e">
        <f t="shared" si="0"/>
        <v>#DIV/0!</v>
      </c>
      <c r="F16" s="1743" t="e">
        <f t="shared" si="1"/>
        <v>#DIV/0!</v>
      </c>
      <c r="G16" s="1749">
        <f t="shared" ref="G16:G23" si="2">D16</f>
        <v>0</v>
      </c>
      <c r="H16" s="1749"/>
      <c r="I16" s="1748"/>
      <c r="J16" s="2959"/>
      <c r="K16" s="2965"/>
      <c r="L16" s="2966"/>
    </row>
    <row r="17" spans="1:12" ht="15.6">
      <c r="A17" s="2960"/>
      <c r="B17" s="1748"/>
      <c r="C17" s="1748"/>
      <c r="D17" s="1748"/>
      <c r="E17" s="1743" t="e">
        <f t="shared" si="0"/>
        <v>#DIV/0!</v>
      </c>
      <c r="F17" s="1743" t="e">
        <f t="shared" si="1"/>
        <v>#DIV/0!</v>
      </c>
      <c r="G17" s="1749">
        <f t="shared" si="2"/>
        <v>0</v>
      </c>
      <c r="H17" s="1749"/>
      <c r="I17" s="1748"/>
      <c r="J17" s="2959"/>
      <c r="K17" s="2965"/>
      <c r="L17" s="2966"/>
    </row>
    <row r="18" spans="1:12" ht="15.6">
      <c r="A18" s="2960"/>
      <c r="B18" s="1748"/>
      <c r="C18" s="1748"/>
      <c r="D18" s="1748"/>
      <c r="E18" s="1743" t="e">
        <f t="shared" si="0"/>
        <v>#DIV/0!</v>
      </c>
      <c r="F18" s="1743" t="e">
        <f t="shared" si="1"/>
        <v>#DIV/0!</v>
      </c>
      <c r="G18" s="1749">
        <f t="shared" si="2"/>
        <v>0</v>
      </c>
      <c r="H18" s="1748"/>
      <c r="I18" s="1748"/>
      <c r="J18" s="2959"/>
      <c r="K18" s="2965"/>
      <c r="L18" s="2966"/>
    </row>
    <row r="19" spans="1:12" ht="15.6">
      <c r="A19" s="2960"/>
      <c r="B19" s="1748"/>
      <c r="C19" s="1748"/>
      <c r="D19" s="1748"/>
      <c r="E19" s="1743" t="e">
        <f t="shared" si="0"/>
        <v>#DIV/0!</v>
      </c>
      <c r="F19" s="1743" t="e">
        <f t="shared" si="1"/>
        <v>#DIV/0!</v>
      </c>
      <c r="G19" s="1749">
        <f t="shared" si="2"/>
        <v>0</v>
      </c>
      <c r="H19" s="1748"/>
      <c r="I19" s="1748"/>
      <c r="J19" s="2962"/>
      <c r="K19" s="2963"/>
      <c r="L19" s="2964"/>
    </row>
    <row r="20" spans="1:12" ht="15.6">
      <c r="A20" s="2960"/>
      <c r="B20" s="1748"/>
      <c r="C20" s="1748"/>
      <c r="D20" s="1748"/>
      <c r="E20" s="1743" t="e">
        <f t="shared" si="0"/>
        <v>#DIV/0!</v>
      </c>
      <c r="F20" s="1743" t="e">
        <f t="shared" si="1"/>
        <v>#DIV/0!</v>
      </c>
      <c r="G20" s="1749">
        <f t="shared" si="2"/>
        <v>0</v>
      </c>
      <c r="H20" s="1748"/>
      <c r="I20" s="1748"/>
      <c r="J20" s="2962"/>
      <c r="K20" s="2963"/>
      <c r="L20" s="2964"/>
    </row>
    <row r="21" spans="1:12" ht="15.6">
      <c r="A21" s="2960"/>
      <c r="B21" s="1748"/>
      <c r="C21" s="1748"/>
      <c r="D21" s="1748"/>
      <c r="E21" s="1743" t="e">
        <f t="shared" si="0"/>
        <v>#DIV/0!</v>
      </c>
      <c r="F21" s="1743" t="e">
        <f t="shared" si="1"/>
        <v>#DIV/0!</v>
      </c>
      <c r="G21" s="1749">
        <f t="shared" si="2"/>
        <v>0</v>
      </c>
      <c r="H21" s="1748"/>
      <c r="I21" s="1748"/>
      <c r="J21" s="2962"/>
      <c r="K21" s="2963"/>
      <c r="L21" s="2964"/>
    </row>
    <row r="22" spans="1:12" ht="15.6">
      <c r="A22" s="2960"/>
      <c r="B22" s="1748"/>
      <c r="C22" s="1748"/>
      <c r="D22" s="1748"/>
      <c r="E22" s="1743" t="e">
        <f t="shared" si="0"/>
        <v>#DIV/0!</v>
      </c>
      <c r="F22" s="1743" t="e">
        <f t="shared" si="1"/>
        <v>#DIV/0!</v>
      </c>
      <c r="G22" s="1749">
        <f t="shared" si="2"/>
        <v>0</v>
      </c>
      <c r="H22" s="1748"/>
      <c r="I22" s="1748"/>
      <c r="J22" s="2959"/>
      <c r="K22" s="2967"/>
      <c r="L22" s="2968"/>
    </row>
    <row r="23" spans="1:12" ht="15.6">
      <c r="A23" s="2960"/>
      <c r="B23" s="1748"/>
      <c r="C23" s="1748"/>
      <c r="D23" s="1748"/>
      <c r="E23" s="1745" t="e">
        <f t="shared" si="0"/>
        <v>#DIV/0!</v>
      </c>
      <c r="F23" s="1745" t="e">
        <f t="shared" si="1"/>
        <v>#DIV/0!</v>
      </c>
      <c r="G23" s="1749">
        <f t="shared" si="2"/>
        <v>0</v>
      </c>
      <c r="H23" s="1748"/>
      <c r="I23" s="1748"/>
      <c r="J23" s="2959"/>
      <c r="K23" s="2967"/>
      <c r="L23" s="2968"/>
    </row>
    <row r="26" spans="1:12">
      <c r="D26" s="1741">
        <f>SUM(D15:D21)</f>
        <v>0</v>
      </c>
    </row>
    <row r="27" spans="1:12">
      <c r="D27" s="1741">
        <f>SUM(B15:B21)</f>
        <v>0</v>
      </c>
    </row>
    <row r="28" spans="1:12">
      <c r="D28" s="1741" t="e">
        <f>ROUND(D26/D27*10000,0)</f>
        <v>#DIV/0!</v>
      </c>
    </row>
    <row r="29" spans="1:12">
      <c r="D29" s="1741">
        <f>530374/B1</f>
        <v>13.703947157635158</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80" zoomScaleNormal="100" zoomScaleSheetLayoutView="80" zoomScalePageLayoutView="80" workbookViewId="0">
      <selection activeCell="H25" sqref="H25"/>
    </sheetView>
  </sheetViews>
  <sheetFormatPr defaultColWidth="12.6640625" defaultRowHeight="21.75" customHeight="1"/>
  <cols>
    <col min="1" max="2" width="12.6640625" style="2427"/>
    <col min="3" max="4" width="12.6640625" style="2427" customWidth="1"/>
    <col min="5" max="9" width="12.6640625" style="2427"/>
    <col min="10" max="11" width="12.6640625" style="795" customWidth="1"/>
    <col min="12" max="12" width="12.6640625" style="795"/>
    <col min="13" max="13" width="14.109375" style="795" bestFit="1" customWidth="1"/>
    <col min="14" max="26" width="12.6640625" style="795"/>
    <col min="27" max="35" width="12.6640625" style="2426"/>
    <col min="36" max="16384" width="12.6640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47" t="str">
        <f>项目基本情况!S2</f>
        <v>房地产</v>
      </c>
      <c r="B2" s="3148"/>
      <c r="C2" s="3148"/>
      <c r="D2" s="3148"/>
      <c r="E2" s="3148"/>
      <c r="F2" s="3148"/>
      <c r="G2" s="3148"/>
      <c r="H2" s="3148"/>
      <c r="I2" s="3149"/>
    </row>
    <row r="3" spans="1:12" ht="13.2">
      <c r="A3" s="3150" t="s">
        <v>2111</v>
      </c>
      <c r="B3" s="3151"/>
      <c r="C3" s="3151"/>
      <c r="D3" s="3151"/>
      <c r="E3" s="3151"/>
      <c r="F3" s="3151"/>
      <c r="G3" s="3151"/>
      <c r="H3" s="3151"/>
      <c r="I3" s="3151"/>
    </row>
    <row r="4" spans="1:12" ht="14.4">
      <c r="A4" s="2428" t="s">
        <v>2112</v>
      </c>
      <c r="B4" s="2429" t="s">
        <v>2113</v>
      </c>
      <c r="C4" s="2430" t="s">
        <v>3124</v>
      </c>
      <c r="D4" s="2430" t="s">
        <v>3049</v>
      </c>
      <c r="E4" s="3131" t="s">
        <v>2114</v>
      </c>
      <c r="F4" s="3144"/>
      <c r="G4" s="3144"/>
      <c r="H4" s="3144"/>
      <c r="I4" s="3132"/>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3.2">
      <c r="A5" s="3122" t="s">
        <v>2115</v>
      </c>
      <c r="B5" s="3048">
        <v>25</v>
      </c>
      <c r="C5" s="3152"/>
      <c r="D5" s="3140"/>
      <c r="E5" s="140" t="s">
        <v>2116</v>
      </c>
      <c r="F5" s="2432"/>
      <c r="G5" s="2432"/>
      <c r="H5" s="2432"/>
      <c r="I5" s="1833"/>
    </row>
    <row r="6" spans="1:12" ht="13.2">
      <c r="A6" s="3122"/>
      <c r="B6" s="3048"/>
      <c r="C6" s="3154"/>
      <c r="D6" s="3140"/>
      <c r="E6" s="140" t="s">
        <v>2117</v>
      </c>
      <c r="F6" s="2432"/>
      <c r="G6" s="2432"/>
      <c r="H6" s="2432"/>
      <c r="I6" s="1833"/>
    </row>
    <row r="7" spans="1:12" ht="13.2">
      <c r="A7" s="3122"/>
      <c r="B7" s="3048"/>
      <c r="C7" s="3153"/>
      <c r="D7" s="3140"/>
      <c r="E7" s="140" t="s">
        <v>2118</v>
      </c>
      <c r="F7" s="2432"/>
      <c r="G7" s="2432"/>
      <c r="H7" s="2432"/>
      <c r="I7" s="1833"/>
    </row>
    <row r="8" spans="1:12" ht="13.2">
      <c r="A8" s="3122" t="s">
        <v>2119</v>
      </c>
      <c r="B8" s="3048">
        <v>15</v>
      </c>
      <c r="C8" s="3152"/>
      <c r="D8" s="3140"/>
      <c r="E8" s="140" t="s">
        <v>2120</v>
      </c>
      <c r="F8" s="2432"/>
      <c r="G8" s="2432"/>
      <c r="H8" s="2432"/>
      <c r="I8" s="1833"/>
    </row>
    <row r="9" spans="1:12" ht="13.2">
      <c r="A9" s="3122"/>
      <c r="B9" s="3048"/>
      <c r="C9" s="3153"/>
      <c r="D9" s="3140"/>
      <c r="E9" s="140" t="s">
        <v>2121</v>
      </c>
      <c r="F9" s="2432"/>
      <c r="G9" s="2432"/>
      <c r="H9" s="2432"/>
      <c r="I9" s="1833"/>
    </row>
    <row r="10" spans="1:12" ht="13.2">
      <c r="A10" s="3122" t="s">
        <v>2122</v>
      </c>
      <c r="B10" s="3048">
        <v>15</v>
      </c>
      <c r="C10" s="3152"/>
      <c r="D10" s="3140"/>
      <c r="E10" s="140" t="s">
        <v>2123</v>
      </c>
      <c r="F10" s="2432"/>
      <c r="G10" s="2432"/>
      <c r="H10" s="2432"/>
      <c r="I10" s="1833"/>
    </row>
    <row r="11" spans="1:12" ht="13.2">
      <c r="A11" s="3122"/>
      <c r="B11" s="3048"/>
      <c r="C11" s="3153"/>
      <c r="D11" s="3140"/>
      <c r="E11" s="140" t="s">
        <v>2124</v>
      </c>
      <c r="F11" s="2432"/>
      <c r="G11" s="2432"/>
      <c r="H11" s="2432"/>
      <c r="I11" s="1833"/>
    </row>
    <row r="12" spans="1:12" ht="13.2">
      <c r="A12" s="3122" t="s">
        <v>2125</v>
      </c>
      <c r="B12" s="3048">
        <v>15</v>
      </c>
      <c r="C12" s="3152"/>
      <c r="D12" s="3140"/>
      <c r="E12" s="140" t="s">
        <v>2126</v>
      </c>
      <c r="F12" s="2432"/>
      <c r="G12" s="2432"/>
      <c r="H12" s="2432"/>
      <c r="I12" s="1833"/>
    </row>
    <row r="13" spans="1:12" ht="13.2">
      <c r="A13" s="3122"/>
      <c r="B13" s="3048"/>
      <c r="C13" s="3153"/>
      <c r="D13" s="3140"/>
      <c r="E13" s="140" t="s">
        <v>2127</v>
      </c>
      <c r="F13" s="2432"/>
      <c r="G13" s="2432"/>
      <c r="H13" s="2432"/>
      <c r="I13" s="1833"/>
    </row>
    <row r="14" spans="1:12" ht="13.2">
      <c r="A14" s="3122" t="s">
        <v>2128</v>
      </c>
      <c r="B14" s="3048">
        <v>30</v>
      </c>
      <c r="C14" s="3152">
        <v>5</v>
      </c>
      <c r="D14" s="3140">
        <v>5</v>
      </c>
      <c r="E14" s="140" t="s">
        <v>2129</v>
      </c>
      <c r="F14" s="2432"/>
      <c r="G14" s="2432"/>
      <c r="H14" s="2432"/>
      <c r="I14" s="1833"/>
    </row>
    <row r="15" spans="1:12" ht="13.2">
      <c r="A15" s="3122"/>
      <c r="B15" s="3048"/>
      <c r="C15" s="3154"/>
      <c r="D15" s="3140"/>
      <c r="E15" s="140" t="s">
        <v>2130</v>
      </c>
      <c r="F15" s="2432"/>
      <c r="G15" s="2432"/>
      <c r="H15" s="2432"/>
      <c r="I15" s="1833"/>
    </row>
    <row r="16" spans="1:12" ht="13.2">
      <c r="A16" s="3122"/>
      <c r="B16" s="3048"/>
      <c r="C16" s="3153"/>
      <c r="D16" s="3140"/>
      <c r="E16" s="140" t="s">
        <v>2131</v>
      </c>
      <c r="F16" s="2432"/>
      <c r="G16" s="2432"/>
      <c r="H16" s="2432"/>
      <c r="I16" s="1833"/>
    </row>
    <row r="17" spans="1:35" ht="14.4">
      <c r="A17" s="2433" t="s">
        <v>2132</v>
      </c>
      <c r="B17" s="64"/>
      <c r="C17" s="141">
        <f>SUM(C5:C16)</f>
        <v>5</v>
      </c>
      <c r="D17" s="141">
        <f>SUM(D5:D16)</f>
        <v>5</v>
      </c>
      <c r="E17" s="138"/>
      <c r="F17" s="138"/>
      <c r="G17" s="138"/>
      <c r="H17" s="138"/>
      <c r="I17" s="138"/>
      <c r="K17" s="2431"/>
      <c r="L17" s="2434" t="s">
        <v>2133</v>
      </c>
      <c r="M17" s="2434" t="s">
        <v>2134</v>
      </c>
    </row>
    <row r="18" spans="1:35" ht="1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4.4">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v>63978</v>
      </c>
      <c r="K19" s="2431" t="s">
        <v>2141</v>
      </c>
      <c r="L19" s="2431">
        <f>IF(C1="",'数据-汇总表'!D3,SUMIF(项目类型,C1,'数据-汇总表'!D17:D26)+SUMIF(项目类型,C1,'数据-汇总表'!H17:H27))</f>
        <v>13879.46</v>
      </c>
      <c r="M19" s="2431">
        <f>IF(C1="",'数据-汇总表'!D3,SUMIF(项目类型,C1,'数据-汇总表'!D17:D26))</f>
        <v>13879.46</v>
      </c>
    </row>
    <row r="20" spans="1:35" ht="14.4">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8" thickBot="1">
      <c r="A23" s="2421"/>
      <c r="B23" s="2421"/>
      <c r="C23" s="2421"/>
      <c r="D23" s="2421"/>
      <c r="E23" s="138"/>
      <c r="F23" s="138"/>
      <c r="G23" s="138"/>
      <c r="H23" s="138"/>
      <c r="I23" s="138"/>
    </row>
    <row r="24" spans="1:35" ht="14.4">
      <c r="A24" s="3161" t="s">
        <v>2146</v>
      </c>
      <c r="B24" s="2438" t="s">
        <v>2138</v>
      </c>
      <c r="C24" s="145">
        <f>IF(B30=0,0,D30)</f>
        <v>0</v>
      </c>
      <c r="D24" s="2445"/>
      <c r="E24" s="138"/>
      <c r="F24" s="138"/>
      <c r="G24" s="138"/>
      <c r="H24" s="138"/>
      <c r="I24" s="138"/>
    </row>
    <row r="25" spans="1:35" ht="14.4">
      <c r="A25" s="3162"/>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3.8">
      <c r="A27" s="2447"/>
      <c r="B27" s="151">
        <v>0</v>
      </c>
      <c r="C27" s="151">
        <v>0</v>
      </c>
      <c r="D27" s="152">
        <f>ROUND(C27*B27/10000,0)</f>
        <v>0</v>
      </c>
      <c r="E27" s="138"/>
      <c r="F27" s="138"/>
      <c r="G27" s="138"/>
      <c r="H27" s="138"/>
      <c r="I27" s="138"/>
    </row>
    <row r="28" spans="1:35" ht="13.8">
      <c r="A28" s="2447"/>
      <c r="B28" s="151"/>
      <c r="C28" s="151"/>
      <c r="D28" s="152"/>
      <c r="E28" s="138"/>
      <c r="F28" s="138"/>
      <c r="G28" s="138"/>
      <c r="H28" s="138"/>
      <c r="I28" s="138"/>
    </row>
    <row r="29" spans="1:35" ht="13.8">
      <c r="A29" s="2447"/>
      <c r="B29" s="151"/>
      <c r="C29" s="151"/>
      <c r="D29" s="152"/>
      <c r="E29" s="138"/>
      <c r="F29" s="138"/>
      <c r="G29" s="138"/>
      <c r="H29" s="138"/>
      <c r="I29" s="138"/>
    </row>
    <row r="30" spans="1:35" ht="14.4">
      <c r="A30" s="151" t="s">
        <v>2151</v>
      </c>
      <c r="B30" s="151"/>
      <c r="C30" s="151"/>
      <c r="D30" s="151"/>
      <c r="E30" s="2930" t="s">
        <v>3029</v>
      </c>
      <c r="F30" s="138"/>
      <c r="G30" s="138"/>
      <c r="H30" s="138"/>
      <c r="I30" s="138"/>
    </row>
    <row r="31" spans="1:35" s="2449" customFormat="1" ht="14.4"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 thickBot="1">
      <c r="A32" s="2450" t="s">
        <v>2152</v>
      </c>
      <c r="B32" s="2451"/>
      <c r="C32" s="153">
        <f ca="1">IF(D32="总价",G19-C24,G20-C25)</f>
        <v>63978</v>
      </c>
      <c r="D32" s="2452" t="s">
        <v>2153</v>
      </c>
      <c r="E32" s="138"/>
      <c r="F32" s="138"/>
      <c r="G32" s="138"/>
      <c r="H32" s="138"/>
      <c r="I32" s="138"/>
    </row>
    <row r="33" spans="1:15" ht="14.4">
      <c r="A33" s="960" t="s">
        <v>2154</v>
      </c>
      <c r="B33" s="2453"/>
      <c r="C33" s="2454" t="s">
        <v>3130</v>
      </c>
      <c r="D33" s="2455" t="s">
        <v>3124</v>
      </c>
      <c r="E33" s="2456" t="s">
        <v>2155</v>
      </c>
      <c r="F33" s="2457" t="str">
        <f>IF(D32="楼面单价","取值（单价）","取值（总价）")</f>
        <v>取值（总价）</v>
      </c>
      <c r="G33" s="138"/>
      <c r="H33" s="138"/>
      <c r="I33" s="138"/>
    </row>
    <row r="34" spans="1:15" ht="14.4">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 thickBot="1">
      <c r="A36" s="3141" t="s">
        <v>2160</v>
      </c>
      <c r="B36" s="2464" t="s">
        <v>2161</v>
      </c>
      <c r="C36" s="154"/>
      <c r="D36" s="2465"/>
      <c r="E36" s="2466"/>
      <c r="F36" s="2467"/>
      <c r="G36" s="138"/>
      <c r="H36" s="138"/>
      <c r="I36" s="138"/>
    </row>
    <row r="37" spans="1:15" ht="15" thickBot="1">
      <c r="A37" s="3142"/>
      <c r="B37" s="2270" t="s">
        <v>2162</v>
      </c>
      <c r="C37" s="156"/>
      <c r="D37" s="1395"/>
      <c r="E37" s="1395"/>
      <c r="F37" s="2467"/>
      <c r="G37" s="138"/>
      <c r="H37" s="138"/>
      <c r="I37" s="138"/>
    </row>
    <row r="38" spans="1:15" ht="15" thickBot="1">
      <c r="A38" s="3143"/>
      <c r="B38" s="2468" t="s">
        <v>2163</v>
      </c>
      <c r="C38" s="727"/>
      <c r="D38" s="2469" t="s">
        <v>2164</v>
      </c>
      <c r="E38" s="1395"/>
      <c r="F38" s="2467"/>
      <c r="G38" s="138"/>
      <c r="H38" s="138"/>
      <c r="I38" s="138"/>
    </row>
    <row r="39" spans="1:15" ht="14.4">
      <c r="A39" s="2440" t="s">
        <v>2165</v>
      </c>
      <c r="B39" s="2470" t="s">
        <v>2166</v>
      </c>
      <c r="C39" s="2471" t="s">
        <v>2167</v>
      </c>
      <c r="D39" s="2471" t="s">
        <v>2168</v>
      </c>
      <c r="E39" s="2472" t="s">
        <v>2169</v>
      </c>
      <c r="F39" s="2467"/>
      <c r="G39" s="138"/>
      <c r="H39" s="138"/>
      <c r="I39" s="138"/>
    </row>
    <row r="40" spans="1:15" ht="13.8">
      <c r="A40" s="2473" t="s">
        <v>2170</v>
      </c>
      <c r="B40" s="158"/>
      <c r="C40" s="159"/>
      <c r="D40" s="159"/>
      <c r="E40" s="160"/>
      <c r="F40" s="2467"/>
      <c r="G40" s="138"/>
      <c r="H40" s="138"/>
      <c r="I40" s="138"/>
    </row>
    <row r="41" spans="1:15" ht="13.8">
      <c r="A41" s="2473" t="s">
        <v>2171</v>
      </c>
      <c r="B41" s="158"/>
      <c r="C41" s="159"/>
      <c r="D41" s="159"/>
      <c r="E41" s="160"/>
      <c r="F41" s="2467"/>
      <c r="G41" s="138"/>
      <c r="H41" s="138"/>
      <c r="I41" s="138"/>
    </row>
    <row r="42" spans="1:15" ht="14.4" thickBot="1">
      <c r="A42" s="2474"/>
      <c r="B42" s="161"/>
      <c r="C42" s="162"/>
      <c r="D42" s="162"/>
      <c r="E42" s="163"/>
      <c r="F42" s="2467"/>
      <c r="G42" s="138"/>
      <c r="H42" s="138"/>
      <c r="I42" s="138"/>
    </row>
    <row r="43" spans="1:15" ht="13.2">
      <c r="A43" s="2168"/>
      <c r="B43" s="2168"/>
      <c r="C43" s="2168"/>
      <c r="D43" s="2168"/>
      <c r="E43" s="2168"/>
      <c r="F43" s="2475"/>
      <c r="G43" s="2475"/>
      <c r="H43" s="2475"/>
      <c r="I43" s="2476"/>
    </row>
    <row r="44" spans="1:15" ht="17.399999999999999">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58" t="s">
        <v>2174</v>
      </c>
      <c r="B45" s="3159"/>
      <c r="C45" s="3160"/>
      <c r="D45" s="2958">
        <f ca="1">ROUND(系统读取表!B5*F45,0)</f>
        <v>63978</v>
      </c>
      <c r="E45" s="165" t="s">
        <v>2175</v>
      </c>
      <c r="F45" s="166">
        <v>1</v>
      </c>
      <c r="G45" s="167" t="s">
        <v>2176</v>
      </c>
      <c r="H45" s="138"/>
      <c r="I45" s="138"/>
      <c r="J45" s="3077" t="s">
        <v>2177</v>
      </c>
      <c r="K45" s="3077"/>
      <c r="L45" s="3077"/>
      <c r="M45" s="3077"/>
      <c r="N45" s="3077"/>
      <c r="O45" s="3077"/>
    </row>
    <row r="46" spans="1:15" ht="14.25" customHeight="1">
      <c r="A46" s="3155" t="s">
        <v>2178</v>
      </c>
      <c r="B46" s="3156"/>
      <c r="C46" s="3156"/>
      <c r="D46" s="3156"/>
      <c r="E46" s="3156"/>
      <c r="F46" s="3156"/>
      <c r="G46" s="3157"/>
      <c r="H46" s="2483"/>
      <c r="I46" s="168"/>
      <c r="J46" s="1811">
        <v>1</v>
      </c>
      <c r="K46" s="3077" t="s">
        <v>2179</v>
      </c>
      <c r="L46" s="3077"/>
      <c r="M46" s="3078"/>
      <c r="N46" s="3078"/>
      <c r="O46" s="3078"/>
    </row>
    <row r="47" spans="1:15" ht="12" customHeight="1">
      <c r="A47" s="169" t="s">
        <v>2180</v>
      </c>
      <c r="B47" s="170"/>
      <c r="C47" s="171"/>
      <c r="D47" s="172" t="s">
        <v>2181</v>
      </c>
      <c r="E47" s="24" t="s">
        <v>2182</v>
      </c>
      <c r="F47" s="173" t="s">
        <v>2183</v>
      </c>
      <c r="G47" s="174" t="s">
        <v>2184</v>
      </c>
      <c r="H47" s="2483"/>
      <c r="I47" s="168"/>
      <c r="J47" s="1811">
        <v>2</v>
      </c>
      <c r="K47" s="3077" t="s">
        <v>2185</v>
      </c>
      <c r="L47" s="3077"/>
      <c r="M47" s="3079">
        <f>'数据-取费表'!B2</f>
        <v>43592</v>
      </c>
      <c r="N47" s="3079"/>
      <c r="O47" s="3079"/>
    </row>
    <row r="48" spans="1:15" ht="26.4">
      <c r="A48" s="3145" t="s">
        <v>2186</v>
      </c>
      <c r="B48" s="3146"/>
      <c r="C48" s="3146"/>
      <c r="D48" s="140">
        <f ca="1">IF(H48="情况1",0,IF(H48="情况2",D52,IF(H48="情况3",D53,IF(H48="情况4",D54))))</f>
        <v>3412</v>
      </c>
      <c r="E48" s="1800" t="str">
        <f>IF(H48="情况4","(销售额-原购置价)×税（费）率","销售额×税（费）率")</f>
        <v>销售额×税（费）率</v>
      </c>
      <c r="F48" s="175">
        <f>IF(H48="情况1","免征",'数据-取费表'!B41)</f>
        <v>5.6000000000000001E-2</v>
      </c>
      <c r="G48" s="2484" t="s">
        <v>2187</v>
      </c>
      <c r="H48" s="2485" t="s">
        <v>3146</v>
      </c>
      <c r="I48" s="2483"/>
      <c r="J48" s="1811">
        <v>3</v>
      </c>
      <c r="K48" s="3077" t="s">
        <v>2188</v>
      </c>
      <c r="L48" s="3077"/>
      <c r="M48" s="3080">
        <f ca="1">系统读取表!B5</f>
        <v>63978</v>
      </c>
      <c r="N48" s="3080"/>
      <c r="O48" s="3080"/>
    </row>
    <row r="49" spans="1:35" ht="25.5" customHeight="1">
      <c r="A49" s="176" t="s">
        <v>2189</v>
      </c>
      <c r="B49" s="3125" t="s">
        <v>2190</v>
      </c>
      <c r="C49" s="3125"/>
      <c r="D49" s="177">
        <v>0</v>
      </c>
      <c r="E49" s="23" t="s">
        <v>2191</v>
      </c>
      <c r="F49" s="28" t="s">
        <v>34</v>
      </c>
      <c r="G49" s="3106"/>
      <c r="H49" s="138"/>
      <c r="I49" s="2486"/>
      <c r="J49" s="1811">
        <v>4</v>
      </c>
      <c r="K49" s="3077" t="str">
        <f>IF(项目基本情况!E8="房地产抵押价值","房地产抵押价值","抵押担保权已注销时的房地产抵押价值")</f>
        <v>房地产抵押价值</v>
      </c>
      <c r="L49" s="3077"/>
      <c r="M49" s="3080">
        <f ca="1">系统读取表!B6</f>
        <v>63978</v>
      </c>
      <c r="N49" s="3080"/>
      <c r="O49" s="3080"/>
    </row>
    <row r="50" spans="1:35" ht="25.5" customHeight="1">
      <c r="A50" s="178"/>
      <c r="B50" s="3125" t="s">
        <v>2192</v>
      </c>
      <c r="C50" s="3125"/>
      <c r="D50" s="179"/>
      <c r="E50" s="31"/>
      <c r="F50" s="180"/>
      <c r="G50" s="3107"/>
      <c r="H50" s="138"/>
      <c r="I50" s="2486"/>
      <c r="J50" s="3077" t="s">
        <v>2193</v>
      </c>
      <c r="K50" s="3077"/>
      <c r="L50" s="3077"/>
      <c r="M50" s="3077"/>
      <c r="N50" s="3077"/>
      <c r="O50" s="3077"/>
    </row>
    <row r="51" spans="1:35" ht="12" customHeight="1">
      <c r="A51" s="181"/>
      <c r="B51" s="3125" t="s">
        <v>2194</v>
      </c>
      <c r="C51" s="3125"/>
      <c r="D51" s="182"/>
      <c r="E51" s="30"/>
      <c r="F51" s="180"/>
      <c r="G51" s="3108"/>
      <c r="H51" s="138"/>
      <c r="I51" s="2486"/>
      <c r="J51" s="2487" t="s">
        <v>2195</v>
      </c>
      <c r="K51" s="3077" t="s">
        <v>2196</v>
      </c>
      <c r="L51" s="3077"/>
      <c r="M51" s="2487" t="s">
        <v>2197</v>
      </c>
      <c r="N51" s="2487" t="s">
        <v>2198</v>
      </c>
      <c r="O51" s="2487" t="s">
        <v>2199</v>
      </c>
    </row>
    <row r="52" spans="1:35" ht="24" customHeight="1">
      <c r="A52" s="183" t="s">
        <v>2200</v>
      </c>
      <c r="B52" s="3125" t="s">
        <v>2201</v>
      </c>
      <c r="C52" s="3125"/>
      <c r="D52" s="182">
        <f ca="1">ROUND(D45*'数据-取费表'!B41/(1+'数据-取费表'!C42),0)</f>
        <v>3412</v>
      </c>
      <c r="E52" s="11" t="s">
        <v>2202</v>
      </c>
      <c r="F52" s="184">
        <f>'数据-取费表'!B41</f>
        <v>5.6000000000000001E-2</v>
      </c>
      <c r="G52" s="2488"/>
      <c r="H52" s="138"/>
      <c r="I52" s="2486"/>
      <c r="J52" s="1811">
        <v>1</v>
      </c>
      <c r="K52" s="3100" t="s">
        <v>2203</v>
      </c>
      <c r="L52" s="3100"/>
      <c r="M52" s="1753">
        <f ca="1">D48</f>
        <v>3412</v>
      </c>
      <c r="N52" s="1811" t="str">
        <f>E48</f>
        <v>销售额×税（费）率</v>
      </c>
      <c r="O52" s="1754">
        <f>F48</f>
        <v>5.6000000000000001E-2</v>
      </c>
    </row>
    <row r="53" spans="1:35" ht="12" customHeight="1">
      <c r="A53" s="183" t="s">
        <v>2204</v>
      </c>
      <c r="B53" s="3126" t="s">
        <v>2205</v>
      </c>
      <c r="C53" s="3127"/>
      <c r="D53" s="182">
        <f ca="1">ROUND(D45*'数据-取费表'!B41/(1+'数据-取费表'!C42),0)</f>
        <v>3412</v>
      </c>
      <c r="E53" s="11" t="s">
        <v>2202</v>
      </c>
      <c r="F53" s="184">
        <f>'数据-取费表'!B41</f>
        <v>5.6000000000000001E-2</v>
      </c>
      <c r="G53" s="2488"/>
      <c r="H53" s="138"/>
      <c r="I53" s="2486"/>
      <c r="J53" s="1811">
        <v>2</v>
      </c>
      <c r="K53" s="3100" t="s">
        <v>2206</v>
      </c>
      <c r="L53" s="3100"/>
      <c r="M53" s="1753">
        <f t="shared" ref="M53:O54" ca="1" si="0">D55</f>
        <v>32</v>
      </c>
      <c r="N53" s="1811" t="str">
        <f t="shared" si="0"/>
        <v>销售额×税（费）率</v>
      </c>
      <c r="O53" s="1754">
        <f t="shared" si="0"/>
        <v>5.0000000000000001E-4</v>
      </c>
    </row>
    <row r="54" spans="1:35" ht="12" customHeight="1">
      <c r="A54" s="183" t="s">
        <v>2207</v>
      </c>
      <c r="B54" s="3126" t="s">
        <v>2208</v>
      </c>
      <c r="C54" s="3127"/>
      <c r="D54" s="182">
        <f ca="1">C68</f>
        <v>3412</v>
      </c>
      <c r="E54" s="30" t="s">
        <v>2209</v>
      </c>
      <c r="F54" s="184">
        <f>'数据-取费表'!B41</f>
        <v>5.6000000000000001E-2</v>
      </c>
      <c r="G54" s="2488"/>
      <c r="H54" s="2489"/>
      <c r="I54" s="2486"/>
      <c r="J54" s="1811">
        <v>3</v>
      </c>
      <c r="K54" s="3100" t="s">
        <v>2210</v>
      </c>
      <c r="L54" s="3100"/>
      <c r="M54" s="1753">
        <f t="shared" ca="1" si="0"/>
        <v>0</v>
      </c>
      <c r="N54" s="1811" t="str">
        <f t="shared" si="0"/>
        <v>增值额×税（费）率</v>
      </c>
      <c r="O54" s="1755" t="str">
        <f t="shared" si="0"/>
        <v>——</v>
      </c>
    </row>
    <row r="55" spans="1:35" ht="24" customHeight="1">
      <c r="A55" s="3164" t="s">
        <v>2211</v>
      </c>
      <c r="B55" s="3146"/>
      <c r="C55" s="3146"/>
      <c r="D55" s="185">
        <f ca="1">IF(H55="个人住宅",0,ROUND(D45*I55,0))</f>
        <v>32</v>
      </c>
      <c r="E55" s="11" t="s">
        <v>2212</v>
      </c>
      <c r="F55" s="184">
        <f>IF(H55="正常",I55,"免征")</f>
        <v>5.0000000000000001E-4</v>
      </c>
      <c r="G55" s="2488"/>
      <c r="H55" s="2485" t="s">
        <v>2213</v>
      </c>
      <c r="I55" s="186">
        <f>'数据-取费表'!B49</f>
        <v>5.0000000000000001E-4</v>
      </c>
      <c r="J55" s="1811" t="str">
        <f>IF(H59="非个人房产","",4)</f>
        <v/>
      </c>
      <c r="K55" s="3100" t="str">
        <f>IF(H59="非个人房产","——","个人所得税")</f>
        <v>——</v>
      </c>
      <c r="L55" s="3100"/>
      <c r="M55" s="1756" t="str">
        <f>D59</f>
        <v>——</v>
      </c>
      <c r="N55" s="1809" t="str">
        <f>E59</f>
        <v>——</v>
      </c>
      <c r="O55" s="1757" t="str">
        <f>F59</f>
        <v>——</v>
      </c>
    </row>
    <row r="56" spans="1:35" ht="25.2">
      <c r="A56" s="3164" t="s">
        <v>2214</v>
      </c>
      <c r="B56" s="3146"/>
      <c r="C56" s="3146"/>
      <c r="D56" s="185">
        <f ca="1">IF(H56="个人住宅",D57,D58)</f>
        <v>0</v>
      </c>
      <c r="E56" s="11" t="s">
        <v>2215</v>
      </c>
      <c r="F56" s="184" t="str">
        <f>IF(H56="正常",F58,"免征")</f>
        <v>——</v>
      </c>
      <c r="G56" s="2490" t="s">
        <v>2216</v>
      </c>
      <c r="H56" s="2491" t="s">
        <v>2213</v>
      </c>
      <c r="I56" s="2492"/>
      <c r="J56" s="1811" t="str">
        <f>IF(项目基本情况!K6="上海银行",IF(J55="",4,J55+1),"")</f>
        <v/>
      </c>
      <c r="K56" s="3083" t="str">
        <f>IF(项目基本情况!K6="上海银行","其他处置费用","")</f>
        <v/>
      </c>
      <c r="L56" s="3084"/>
      <c r="M56" s="1753" t="str">
        <f>IF(项目基本情况!K6="上海银行",M69,"")</f>
        <v/>
      </c>
      <c r="N56" s="3086" t="str">
        <f>IF(项目基本情况!K6="上海银行","包含处置中涉及的律师、诉讼、拍卖、评估等费用","")</f>
        <v/>
      </c>
      <c r="O56" s="3087"/>
    </row>
    <row r="57" spans="1:35" ht="13.2">
      <c r="A57" s="183" t="s">
        <v>2189</v>
      </c>
      <c r="B57" s="3131" t="s">
        <v>2217</v>
      </c>
      <c r="C57" s="3132"/>
      <c r="D57" s="187">
        <v>0</v>
      </c>
      <c r="E57" s="23" t="s">
        <v>2191</v>
      </c>
      <c r="F57" s="155"/>
      <c r="G57" s="2488"/>
      <c r="H57" s="2492"/>
      <c r="I57" s="2492"/>
      <c r="J57" s="3100">
        <f>IF(AND(J55="",J56=""),4,IF(项目基本情况!K6="上海银行",结果表!J56+1,结果表!J55+1))</f>
        <v>4</v>
      </c>
      <c r="K57" s="3100" t="s">
        <v>2218</v>
      </c>
      <c r="L57" s="2493" t="s">
        <v>2219</v>
      </c>
      <c r="M57" s="1758"/>
      <c r="N57" s="1759">
        <f ca="1">SUMIF(M52:M56,"&lt;9e307")</f>
        <v>3444</v>
      </c>
      <c r="O57" s="2494"/>
      <c r="P57" s="1752">
        <f ca="1">N57/M49</f>
        <v>5.3831004407765171E-2</v>
      </c>
    </row>
    <row r="58" spans="1:35" ht="25.2">
      <c r="A58" s="183" t="s">
        <v>2200</v>
      </c>
      <c r="B58" s="3131" t="s">
        <v>2220</v>
      </c>
      <c r="C58" s="3144"/>
      <c r="D58" s="185">
        <f ca="1">IF(H58="转让取得",C81,C97)</f>
        <v>0</v>
      </c>
      <c r="E58" s="11" t="s">
        <v>2215</v>
      </c>
      <c r="F58" s="24" t="s">
        <v>34</v>
      </c>
      <c r="G58" s="2488"/>
      <c r="H58" s="2491" t="s">
        <v>2221</v>
      </c>
      <c r="I58" s="2492"/>
      <c r="J58" s="3100"/>
      <c r="K58" s="3100"/>
      <c r="L58" s="2493" t="s">
        <v>2222</v>
      </c>
      <c r="M58" s="1760"/>
      <c r="N58" s="2495" t="str">
        <f ca="1">NUMBERSTRING(INT(N57*10000),2)&amp;"元整"</f>
        <v>叁仟肆佰肆拾肆万元整</v>
      </c>
      <c r="O58" s="2496"/>
    </row>
    <row r="59" spans="1:35" ht="24.6" thickBot="1">
      <c r="A59" s="3104" t="s">
        <v>2223</v>
      </c>
      <c r="B59" s="3105"/>
      <c r="C59" s="3105"/>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102">
        <f>J57+1</f>
        <v>5</v>
      </c>
      <c r="K59" s="3100" t="s">
        <v>2225</v>
      </c>
      <c r="L59" s="1811" t="s">
        <v>2219</v>
      </c>
      <c r="M59" s="1761"/>
      <c r="N59" s="1762">
        <f ca="1">M49-N57</f>
        <v>60534</v>
      </c>
      <c r="O59" s="2498"/>
    </row>
    <row r="60" spans="1:35" ht="12" customHeight="1">
      <c r="A60" s="2499"/>
      <c r="B60" s="2421"/>
      <c r="C60" s="2421"/>
      <c r="D60" s="2421"/>
      <c r="E60" s="2169"/>
      <c r="F60" s="2492"/>
      <c r="G60" s="2492"/>
      <c r="H60" s="2500"/>
      <c r="I60" s="138"/>
      <c r="J60" s="3103"/>
      <c r="K60" s="3100"/>
      <c r="L60" s="2493" t="s">
        <v>2222</v>
      </c>
      <c r="M60" s="1760"/>
      <c r="N60" s="2495" t="str">
        <f ca="1">NUMBERSTRING(INT(N59*10000),2)&amp;"元整"</f>
        <v>陆亿零伍佰叁拾肆万元整</v>
      </c>
      <c r="O60" s="2496"/>
    </row>
    <row r="61" spans="1:35" ht="13.8" thickBot="1">
      <c r="A61" s="3163" t="s">
        <v>2226</v>
      </c>
      <c r="B61" s="3163"/>
      <c r="C61" s="3163"/>
      <c r="D61" s="3163"/>
      <c r="E61" s="3163"/>
      <c r="F61" s="2492"/>
      <c r="G61" s="2492"/>
      <c r="H61" s="2500"/>
      <c r="I61" s="138"/>
      <c r="J61" s="1811">
        <f>J59+1</f>
        <v>6</v>
      </c>
      <c r="K61" s="3100" t="s">
        <v>2227</v>
      </c>
      <c r="L61" s="3100"/>
      <c r="M61" s="1763"/>
      <c r="N61" s="1764">
        <f ca="1">ROUND(N59*10000/系统读取表!B1,0)</f>
        <v>15641</v>
      </c>
      <c r="O61" s="2501"/>
    </row>
    <row r="62" spans="1:35" ht="13.2">
      <c r="A62" s="3120" t="s">
        <v>2228</v>
      </c>
      <c r="B62" s="3121"/>
      <c r="C62" s="1803"/>
      <c r="D62" s="1803" t="s">
        <v>2229</v>
      </c>
      <c r="E62" s="192" t="s">
        <v>2230</v>
      </c>
      <c r="F62" s="2492"/>
      <c r="G62" s="2492"/>
      <c r="H62" s="2500"/>
      <c r="I62" s="138"/>
    </row>
    <row r="63" spans="1:35" ht="13.2">
      <c r="A63" s="203" t="s">
        <v>775</v>
      </c>
      <c r="B63" s="193" t="s">
        <v>2231</v>
      </c>
      <c r="C63" s="194">
        <f ca="1">ROUND((C64+C65)/(1+'数据-取费表'!C42),0)</f>
        <v>60931</v>
      </c>
      <c r="D63" s="195"/>
      <c r="E63" s="196"/>
      <c r="F63" s="2492"/>
      <c r="G63" s="2492"/>
      <c r="H63" s="2500"/>
      <c r="I63" s="138"/>
      <c r="J63" s="3085" t="s">
        <v>2232</v>
      </c>
      <c r="K63" s="2502" t="s">
        <v>2233</v>
      </c>
      <c r="L63" s="1751">
        <f ca="1">IF(M49&gt;10000,M49*0.5%,IF(AND(M49&gt;1000,M49&lt;=10000),M49*1%,IF(AND(M49&gt;100,M49&lt;=1000),M49*3%,IF(AND(M49&gt;10,M49&lt;=100),M49*5%,M49*8%))))</f>
        <v>319.89</v>
      </c>
      <c r="M63" s="24">
        <f ca="1">ROUND(L63,1)</f>
        <v>319.89999999999998</v>
      </c>
      <c r="Z63" s="2426"/>
      <c r="AI63" s="2427"/>
    </row>
    <row r="64" spans="1:35" ht="14.25" customHeight="1">
      <c r="A64" s="197" t="s">
        <v>770</v>
      </c>
      <c r="B64" s="198" t="s">
        <v>2234</v>
      </c>
      <c r="C64" s="199">
        <f ca="1">D45</f>
        <v>63978</v>
      </c>
      <c r="D64" s="200" t="s">
        <v>32</v>
      </c>
      <c r="E64" s="201"/>
      <c r="F64" s="2492"/>
      <c r="G64" s="2492"/>
      <c r="H64" s="2500"/>
      <c r="I64" s="138"/>
      <c r="J64" s="3085"/>
      <c r="K64" s="2502" t="s">
        <v>2235</v>
      </c>
      <c r="L64" s="1751">
        <f ca="1">IF(M49&gt;2000,M49*0.5%,IF(AND(M49&gt;1000,M49&lt;=2000),M49*0.6%,IF(AND(M49&gt;500,M49&lt;=1000),M49*0.7%,IF(AND(M49&gt;200,M49&lt;=500),M49*0.8%,IF(AND(M49&gt;100,M49&lt;=200),M49*0.9%,IF(AND(M49&gt;50,M49&lt;=100),M49*1%,IF(AND(M49&gt;20,M49&lt;=50),M49*1.5%,IF(AND(M49&gt;10,M49&lt;=20),M49*2%,IF(AND(M49&gt;1,M49&lt;=10),M49*2.5%)))))))))</f>
        <v>319.89</v>
      </c>
      <c r="M64" s="24">
        <f t="shared" ref="M64:M65" ca="1" si="1">ROUND(L64,1)</f>
        <v>319.89999999999998</v>
      </c>
      <c r="N64" s="138" t="s">
        <v>2236</v>
      </c>
      <c r="Z64" s="2426"/>
      <c r="AI64" s="2427"/>
    </row>
    <row r="65" spans="1:35" ht="14.25" customHeight="1">
      <c r="A65" s="197" t="s">
        <v>771</v>
      </c>
      <c r="B65" s="198" t="s">
        <v>2237</v>
      </c>
      <c r="C65" s="202"/>
      <c r="D65" s="200"/>
      <c r="E65" s="201"/>
      <c r="F65" s="2492"/>
      <c r="G65" s="2492"/>
      <c r="H65" s="2500"/>
      <c r="I65" s="138"/>
      <c r="J65" s="3085"/>
      <c r="K65" s="2502" t="s">
        <v>2238</v>
      </c>
      <c r="L65" s="1751">
        <f ca="1">IF(M49&gt;1000,M49*0.1%,IF(AND(M49&gt;500,M49&lt;=1000),M49*0.5%,IF(AND(M49&gt;50,M49&lt;=500),M49*1%,IF(AND(M49&gt;1,M49&lt;=50),M49*1.5%))))</f>
        <v>63.978000000000002</v>
      </c>
      <c r="M65" s="24">
        <f t="shared" ca="1" si="1"/>
        <v>64</v>
      </c>
      <c r="N65" s="138" t="s">
        <v>2236</v>
      </c>
      <c r="Z65" s="2426"/>
      <c r="AI65" s="2427"/>
    </row>
    <row r="66" spans="1:35" ht="14.25" customHeight="1">
      <c r="A66" s="203" t="s">
        <v>772</v>
      </c>
      <c r="B66" s="204" t="s">
        <v>2239</v>
      </c>
      <c r="C66" s="205"/>
      <c r="D66" s="206" t="s">
        <v>32</v>
      </c>
      <c r="E66" s="1775" t="s">
        <v>1361</v>
      </c>
      <c r="F66" s="2492"/>
      <c r="G66" s="2492"/>
      <c r="H66" s="2500"/>
      <c r="I66" s="138"/>
      <c r="J66" s="3085"/>
      <c r="K66" s="2502" t="s">
        <v>2240</v>
      </c>
      <c r="L66" s="1751">
        <f ca="1">M49*0.5%</f>
        <v>319.89</v>
      </c>
      <c r="M66" s="24">
        <f ca="1">IF(L66&gt;0.5,0.5,ROUND(L66,0))</f>
        <v>0.5</v>
      </c>
      <c r="N66" s="138" t="s">
        <v>2241</v>
      </c>
      <c r="Z66" s="2426"/>
      <c r="AI66" s="2427"/>
    </row>
    <row r="67" spans="1:35" ht="14.25" customHeight="1">
      <c r="A67" s="203" t="s">
        <v>773</v>
      </c>
      <c r="B67" s="204" t="s">
        <v>2242</v>
      </c>
      <c r="C67" s="207">
        <f ca="1">C63-C66</f>
        <v>60931</v>
      </c>
      <c r="D67" s="200" t="s">
        <v>32</v>
      </c>
      <c r="E67" s="201"/>
      <c r="F67" s="2492"/>
      <c r="G67" s="2492"/>
      <c r="H67" s="2500"/>
      <c r="I67" s="138"/>
      <c r="J67" s="3085"/>
      <c r="K67" s="2502" t="s">
        <v>2243</v>
      </c>
      <c r="L67" s="1751">
        <f ca="1">IF(M49&gt;=10000,(8.25+(M49-10000)*0.01%),IF(AND(M49&gt;=8000,M49&lt;10000),(7.85+(M49-8000)*0.02%),IF(AND(M49&gt;=5000,M49&lt;8000),(6.65+(M49-5000)*0.04%),IF(AND(M49&gt;=2000,M49&lt;5000),(4.25+(PM49-2000)*0.08%),IF(AND(M49&gt;=1000,M49&lt;2000),(2.75+(M49-1000)*0.15%),IF(AND(M49&gt;=100,M49&lt;1000),(0.5+(M49-100)*0.25%),IF(AND(M49&gt;0,M49&lt;100),M49*0.5%)))))))</f>
        <v>13.6478</v>
      </c>
      <c r="M67" s="24">
        <f ca="1">ROUND(L67*0.9,1)</f>
        <v>12.3</v>
      </c>
      <c r="Z67" s="2426"/>
      <c r="AI67" s="2427"/>
    </row>
    <row r="68" spans="1:35" ht="14.25" customHeight="1" thickBot="1">
      <c r="A68" s="208" t="s">
        <v>774</v>
      </c>
      <c r="B68" s="209" t="s">
        <v>2244</v>
      </c>
      <c r="C68" s="210">
        <f ca="1">IF(C67&lt;=0,0,ROUND(C67*D68,0))</f>
        <v>3412</v>
      </c>
      <c r="D68" s="211">
        <f>'数据-取费表'!B41</f>
        <v>5.6000000000000001E-2</v>
      </c>
      <c r="E68" s="212"/>
      <c r="F68" s="2492"/>
      <c r="G68" s="2492"/>
      <c r="H68" s="2500"/>
      <c r="I68" s="138"/>
      <c r="J68" s="3085"/>
      <c r="K68" s="2502" t="s">
        <v>2245</v>
      </c>
      <c r="L68" s="1751">
        <f ca="1">IF(M49&gt;10000,M49*0.5%,IF(AND(M49&gt;5000,M49&lt;=10000),M49*1%,IF(AND(M49&gt;1000,M49&lt;=5000),M49*2%,IF(AND(M49&gt;200,M49&lt;=1000),M49*3%,M49*5%))))</f>
        <v>319.89</v>
      </c>
      <c r="M68" s="24">
        <f ca="1">ROUND(L68,1)</f>
        <v>319.89999999999998</v>
      </c>
      <c r="Z68" s="2426"/>
      <c r="AI68" s="2427"/>
    </row>
    <row r="69" spans="1:35" s="2449" customFormat="1" ht="16.5" customHeight="1">
      <c r="A69" s="2503"/>
      <c r="B69" s="2504"/>
      <c r="C69" s="2505"/>
      <c r="D69" s="2506"/>
      <c r="E69" s="2507"/>
      <c r="F69" s="2169"/>
      <c r="G69" s="2169"/>
      <c r="H69" s="2168"/>
      <c r="I69" s="2421"/>
      <c r="J69" s="3085"/>
      <c r="K69" s="2502" t="s">
        <v>2246</v>
      </c>
      <c r="L69" s="2508"/>
      <c r="M69" s="24">
        <f ca="1">ROUND(SUM(M63:M68),0)</f>
        <v>1037</v>
      </c>
      <c r="N69" s="1752">
        <f ca="1">M69/M49</f>
        <v>1.6208696739504206E-2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4.4" thickBot="1">
      <c r="A70" s="3129" t="s">
        <v>2247</v>
      </c>
      <c r="B70" s="3130"/>
      <c r="C70" s="3130"/>
      <c r="D70" s="3130"/>
      <c r="E70" s="3130"/>
      <c r="F70" s="3130"/>
      <c r="G70" s="3130"/>
      <c r="H70" s="313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3.8">
      <c r="A71" s="3120" t="s">
        <v>2228</v>
      </c>
      <c r="B71" s="3121"/>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3.8">
      <c r="A72" s="203" t="s">
        <v>775</v>
      </c>
      <c r="B72" s="204" t="s">
        <v>2248</v>
      </c>
      <c r="C72" s="207">
        <f ca="1">ROUND(D45/(1+'数据-取费表'!C42),0)</f>
        <v>60931</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3.8">
      <c r="A73" s="203" t="s">
        <v>772</v>
      </c>
      <c r="B73" s="173" t="s">
        <v>2249</v>
      </c>
      <c r="C73" s="207">
        <f ca="1">C74+C78</f>
        <v>366</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28.8">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126" t="s">
        <v>2256</v>
      </c>
      <c r="F76" s="3125"/>
      <c r="G76" s="3125"/>
      <c r="H76" s="312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366</v>
      </c>
      <c r="D78" s="226">
        <f>'数据-取费表'!B43</f>
        <v>6.000000000000001E-3</v>
      </c>
      <c r="E78" s="3117" t="s">
        <v>2261</v>
      </c>
      <c r="F78" s="3118"/>
      <c r="G78" s="3118"/>
      <c r="H78" s="311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3.8">
      <c r="A79" s="2518" t="s">
        <v>779</v>
      </c>
      <c r="B79" s="204" t="s">
        <v>2262</v>
      </c>
      <c r="C79" s="207">
        <f ca="1">C72-C73</f>
        <v>60565</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165.47814207650273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6" thickBot="1">
      <c r="A81" s="2519" t="s">
        <v>781</v>
      </c>
      <c r="B81" s="209" t="s">
        <v>2264</v>
      </c>
      <c r="C81" s="228">
        <f ca="1">ROUND(IF(C79&lt;=0,0,IF(C80&gt;=200%,C79*60%-C73*35%,IF(C80&gt;=100%,C79*50%-C73*15%,IF(C80&gt;=50%,C79*40%-C73*5%,IF(C80&lt;50%,C79*30%,0))))),0)</f>
        <v>36211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4.4" thickBot="1">
      <c r="A83" s="3129" t="s">
        <v>2265</v>
      </c>
      <c r="B83" s="3130"/>
      <c r="C83" s="3130"/>
      <c r="D83" s="3130"/>
      <c r="E83" s="3130"/>
      <c r="F83" s="3130"/>
      <c r="G83" s="3130"/>
      <c r="H83" s="313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3.8">
      <c r="A84" s="3120" t="s">
        <v>2228</v>
      </c>
      <c r="B84" s="3121"/>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3.8">
      <c r="A85" s="203" t="s">
        <v>775</v>
      </c>
      <c r="B85" s="204" t="s">
        <v>2248</v>
      </c>
      <c r="C85" s="207">
        <f ca="1">ROUND(D45/(1+'数据-取费表'!C42),0)</f>
        <v>60931</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3.8">
      <c r="A86" s="203" t="s">
        <v>772</v>
      </c>
      <c r="B86" s="173" t="s">
        <v>2249</v>
      </c>
      <c r="C86" s="207">
        <f ca="1">IF(H88="仅含出让金",C87+C90+C91+C92+C93+C94,C87+C91+C92+C93+C94)</f>
        <v>274530</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3.8">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26.4">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3.8">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3.8">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117" t="s">
        <v>2274</v>
      </c>
      <c r="F91" s="3118"/>
      <c r="G91" s="3118"/>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117" t="s">
        <v>2278</v>
      </c>
      <c r="F92" s="3118"/>
      <c r="G92" s="3118"/>
      <c r="H92" s="311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366</v>
      </c>
      <c r="D93" s="226">
        <f>'数据-取费表'!B43</f>
        <v>6.000000000000001E-3</v>
      </c>
      <c r="E93" s="3117" t="s">
        <v>2261</v>
      </c>
      <c r="F93" s="3118"/>
      <c r="G93" s="3118"/>
      <c r="H93" s="311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165" t="s">
        <v>2282</v>
      </c>
      <c r="F94" s="3166"/>
      <c r="G94" s="3166"/>
      <c r="H94" s="316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3.8">
      <c r="A95" s="2518" t="s">
        <v>779</v>
      </c>
      <c r="B95" s="204" t="s">
        <v>2262</v>
      </c>
      <c r="C95" s="207">
        <f ca="1">ROUND(C85-C86,0)</f>
        <v>-213599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6"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9" t="s">
        <v>2284</v>
      </c>
      <c r="B100" s="3070"/>
      <c r="C100" s="3070"/>
      <c r="D100" s="3101"/>
      <c r="E100" s="3070" t="s">
        <v>2285</v>
      </c>
      <c r="F100" s="3070"/>
      <c r="G100" s="3070"/>
      <c r="H100" s="3101"/>
      <c r="I100" s="138"/>
    </row>
    <row r="101" spans="1:35" ht="18.75" customHeight="1">
      <c r="A101" s="3109" t="s">
        <v>2286</v>
      </c>
      <c r="B101" s="3110"/>
      <c r="C101" s="736" t="str">
        <f>C4</f>
        <v>成本法</v>
      </c>
      <c r="D101" s="737" t="str">
        <f>D4</f>
        <v>收益法</v>
      </c>
      <c r="E101" s="3081" t="s">
        <v>2287</v>
      </c>
      <c r="F101" s="3082"/>
      <c r="G101" s="2523" t="s">
        <v>2288</v>
      </c>
      <c r="H101" s="1048">
        <f ca="1">H118</f>
        <v>63978</v>
      </c>
      <c r="I101" s="138"/>
    </row>
    <row r="102" spans="1:35" ht="18.75" customHeight="1">
      <c r="A102" s="3111" t="s">
        <v>2289</v>
      </c>
      <c r="B102" s="2523" t="s">
        <v>2288</v>
      </c>
      <c r="C102" s="736">
        <f ca="1">C19</f>
        <v>56684</v>
      </c>
      <c r="D102" s="737">
        <f ca="1">D19</f>
        <v>71272</v>
      </c>
      <c r="E102" s="3081"/>
      <c r="F102" s="3082"/>
      <c r="G102" s="2523" t="s">
        <v>2290</v>
      </c>
      <c r="H102" s="371">
        <f ca="1">I118</f>
        <v>16531</v>
      </c>
      <c r="I102" s="138"/>
    </row>
    <row r="103" spans="1:35" ht="42.75" customHeight="1">
      <c r="A103" s="3111"/>
      <c r="B103" s="2523" t="s">
        <v>2290</v>
      </c>
      <c r="C103" s="738">
        <f ca="1">C20</f>
        <v>14646</v>
      </c>
      <c r="D103" s="739">
        <f ca="1">D20</f>
        <v>18415</v>
      </c>
      <c r="E103" s="3075" t="s">
        <v>2291</v>
      </c>
      <c r="F103" s="3076"/>
      <c r="G103" s="2524" t="s">
        <v>2292</v>
      </c>
      <c r="H103" s="1048">
        <f>IF(D36="正常操作",H104+H105+H106,H105+H106)</f>
        <v>0</v>
      </c>
      <c r="I103" s="138"/>
    </row>
    <row r="104" spans="1:35" ht="18.75" customHeight="1">
      <c r="A104" s="3111"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23"/>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12" t="str">
        <f>IF(项目基本情况!E8="已注销","——","3.房地产抵押价值")</f>
        <v>3.房地产抵押价值</v>
      </c>
      <c r="F107" s="3082"/>
      <c r="G107" s="2523" t="s">
        <v>2288</v>
      </c>
      <c r="H107" s="1048">
        <f ca="1">IF(E107="——","——",H101-H103)</f>
        <v>63978</v>
      </c>
      <c r="I107" s="138"/>
    </row>
    <row r="108" spans="1:35" ht="18.75" customHeight="1">
      <c r="A108" s="138"/>
      <c r="B108" s="138"/>
      <c r="C108" s="138"/>
      <c r="D108" s="138"/>
      <c r="E108" s="3112"/>
      <c r="F108" s="3082"/>
      <c r="G108" s="2523" t="s">
        <v>2290</v>
      </c>
      <c r="H108" s="371">
        <f ca="1">ROUND(H107*10000/'数据-汇总表'!E3,0)</f>
        <v>16531</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23" t="s">
        <v>2288</v>
      </c>
      <c r="H109" s="348" t="str">
        <f>IF(E109="——","——",H101-H105-H106)</f>
        <v>——</v>
      </c>
      <c r="I109" s="138"/>
    </row>
    <row r="110" spans="1:35" ht="18.75" customHeight="1">
      <c r="A110" s="138"/>
      <c r="B110" s="138"/>
      <c r="C110" s="138"/>
      <c r="D110" s="138"/>
      <c r="E110" s="3112"/>
      <c r="F110" s="3082"/>
      <c r="G110" s="2523" t="s">
        <v>2290</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23" t="s">
        <v>2288</v>
      </c>
      <c r="H111" s="1048" t="str">
        <f>IF(E111="——","——",N59)</f>
        <v>——</v>
      </c>
      <c r="I111" s="138"/>
    </row>
    <row r="112" spans="1:35" ht="18.75" customHeight="1" thickBot="1">
      <c r="A112" s="138"/>
      <c r="B112" s="138"/>
      <c r="C112" s="138"/>
      <c r="D112" s="138"/>
      <c r="E112" s="3115"/>
      <c r="F112" s="3116"/>
      <c r="G112" s="2528" t="s">
        <v>2290</v>
      </c>
      <c r="H112" s="790" t="str">
        <f>IF(E111="——","——",N61)</f>
        <v>——</v>
      </c>
      <c r="I112" s="138"/>
    </row>
    <row r="113" spans="1:11" ht="18.75" customHeight="1">
      <c r="A113" s="138"/>
      <c r="B113" s="138"/>
      <c r="C113" s="138"/>
      <c r="D113" s="138"/>
      <c r="E113" s="3124" t="s">
        <v>2296</v>
      </c>
      <c r="F113" s="3124"/>
      <c r="G113" s="3124"/>
      <c r="H113" s="3124"/>
      <c r="I113" s="138"/>
    </row>
    <row r="114" spans="1:11" ht="3.75" customHeight="1">
      <c r="A114" s="2421"/>
      <c r="B114" s="2421"/>
      <c r="C114" s="2421"/>
      <c r="D114" s="2421"/>
      <c r="E114" s="2499"/>
      <c r="F114" s="2499"/>
      <c r="G114" s="2499"/>
      <c r="H114" s="2499"/>
      <c r="I114" s="2421"/>
    </row>
    <row r="115" spans="1:11" ht="18.75" customHeight="1">
      <c r="A115" s="3137" t="s">
        <v>2298</v>
      </c>
      <c r="B115" s="3138"/>
      <c r="C115" s="3138"/>
      <c r="D115" s="3138"/>
      <c r="E115" s="3138"/>
      <c r="F115" s="3138"/>
      <c r="G115" s="3138"/>
      <c r="H115" s="3138"/>
      <c r="I115" s="3139"/>
    </row>
    <row r="116" spans="1:11" ht="27" customHeight="1">
      <c r="A116" s="3048" t="s">
        <v>2299</v>
      </c>
      <c r="B116" s="3091" t="s">
        <v>2300</v>
      </c>
      <c r="C116" s="3091" t="s">
        <v>2301</v>
      </c>
      <c r="D116" s="3097" t="s">
        <v>2302</v>
      </c>
      <c r="E116" s="3098"/>
      <c r="F116" s="3133" t="s">
        <v>2303</v>
      </c>
      <c r="G116" s="3133"/>
      <c r="H116" s="3048" t="s">
        <v>2304</v>
      </c>
      <c r="I116" s="3048"/>
    </row>
    <row r="117" spans="1:11" ht="18.75" customHeight="1">
      <c r="A117" s="3048"/>
      <c r="B117" s="3092"/>
      <c r="C117" s="3092"/>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48" t="s">
        <v>2308</v>
      </c>
      <c r="B119" s="3048"/>
      <c r="C119" s="3048"/>
      <c r="D119" s="3093" t="str">
        <f ca="1">NUMBERSTRING(INT(D118*10000),2)&amp;"元整"</f>
        <v>壹亿肆仟叁佰叁拾壹万元整</v>
      </c>
      <c r="E119" s="3094"/>
      <c r="F119" s="3093" t="str">
        <f ca="1">NUMBERSTRING(INT(F118*10000),2)&amp;"元整"</f>
        <v>肆亿玖仟陆佰肆拾柒万元整</v>
      </c>
      <c r="G119" s="3094"/>
      <c r="H119" s="3093" t="str">
        <f ca="1">NUMBERSTRING(INT(H118*10000),2)&amp;"元整"</f>
        <v>陆亿叁仟玖佰柒拾捌万元整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6" t="str">
        <f>IF(D120=0,"故，本次评估不存在"&amp;A120,"故，本次评估"&amp;A120&amp;"为人民币"&amp;D120&amp;"万元整。")</f>
        <v>故，本次评估不存在估价师知悉的法定优先受偿款</v>
      </c>
    </row>
    <row r="121" spans="1:11" ht="18.75" customHeight="1">
      <c r="A121" s="3134" t="s">
        <v>2308</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63978</v>
      </c>
      <c r="E122" s="3089"/>
      <c r="F122" s="3089"/>
      <c r="G122" s="3089"/>
      <c r="H122" s="3089"/>
      <c r="I122" s="3090"/>
    </row>
    <row r="123" spans="1:11" ht="18.75" customHeight="1">
      <c r="A123" s="3048" t="s">
        <v>2308</v>
      </c>
      <c r="B123" s="3048"/>
      <c r="C123" s="3048"/>
      <c r="D123" s="3093" t="str">
        <f ca="1">NUMBERSTRING(INT(D122*10000),2)&amp;"元整"</f>
        <v>陆亿叁仟玖佰柒拾捌万元整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2308</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2308</v>
      </c>
      <c r="B127" s="3048"/>
      <c r="C127" s="3048"/>
      <c r="D127" s="3093" t="e">
        <f>NUMBERSTRING(INT(D126*10000),2)&amp;"元整"</f>
        <v>#VALUE!</v>
      </c>
      <c r="E127" s="3095"/>
      <c r="F127" s="3095"/>
      <c r="G127" s="3095"/>
      <c r="H127" s="3095"/>
      <c r="I127" s="3094"/>
    </row>
    <row r="128" spans="1:11" ht="21.75" customHeight="1">
      <c r="A128" s="3096" t="s">
        <v>2309</v>
      </c>
      <c r="B128" s="3096"/>
      <c r="C128" s="3096"/>
      <c r="D128" s="3096"/>
      <c r="E128" s="3096"/>
      <c r="F128" s="3096"/>
      <c r="G128" s="3096"/>
      <c r="H128" s="3096"/>
      <c r="I128" s="3096"/>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I57" sqref="I5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6.2">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6.4">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6.2">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8" t="s">
        <v>2400</v>
      </c>
    </row>
    <row r="43" spans="1:7" ht="13.5" customHeight="1">
      <c r="A43" s="954" t="s">
        <v>792</v>
      </c>
      <c r="B43" s="259" t="s">
        <v>2401</v>
      </c>
      <c r="C43" s="282">
        <f ca="1">ROUND(IF('数据-取费表'!B22&lt;=1,C39*F22*'数据-取费表'!B21/2,C39*(POWER((1+F22),'数据-取费表'!B21/2)-1)),0)</f>
        <v>40</v>
      </c>
      <c r="D43" s="282"/>
      <c r="E43" s="282"/>
      <c r="F43" s="283"/>
      <c r="G43" s="3169"/>
    </row>
    <row r="44" spans="1:7" ht="13.5" customHeight="1">
      <c r="A44" s="954" t="s">
        <v>793</v>
      </c>
      <c r="B44" s="259" t="s">
        <v>2402</v>
      </c>
      <c r="C44" s="282">
        <f ca="1">ROUND(IF('数据-取费表'!B22&lt;=1,C40*F22*'数据-取费表'!B21/2,C40*(POWER((1+F22),'数据-取费表'!B21/2)-1)),4)</f>
        <v>1.8E-3</v>
      </c>
      <c r="D44" s="282"/>
      <c r="E44" s="282"/>
      <c r="F44" s="283"/>
      <c r="G44" s="3170"/>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8"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82" t="str">
        <f>项目基本情况!B1</f>
        <v>房地产抵押价值预评估</v>
      </c>
      <c r="C37" s="2982"/>
      <c r="D37" s="2982"/>
      <c r="E37" s="2982"/>
      <c r="F37" s="2982"/>
      <c r="G37" s="2982"/>
      <c r="H37" s="2982"/>
      <c r="I37" s="2982"/>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6.2">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6.4">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6.2">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8" t="s">
        <v>2447</v>
      </c>
    </row>
    <row r="43" spans="1:7" ht="13.5" customHeight="1">
      <c r="A43" s="954" t="s">
        <v>792</v>
      </c>
      <c r="B43" s="259" t="s">
        <v>2401</v>
      </c>
      <c r="C43" s="282">
        <f ca="1">ROUND(IF('数据-取费表'!B22&lt;=1,C39*F22*'数据-取费表'!B20/2,C39*(POWER((1+F22),'数据-取费表'!B20/2)-1)),0)</f>
        <v>399416</v>
      </c>
      <c r="D43" s="282"/>
      <c r="E43" s="282"/>
      <c r="F43" s="283"/>
      <c r="G43" s="3169"/>
    </row>
    <row r="44" spans="1:7" ht="13.5" customHeight="1">
      <c r="A44" s="954" t="s">
        <v>793</v>
      </c>
      <c r="B44" s="259" t="s">
        <v>2402</v>
      </c>
      <c r="C44" s="282">
        <f ca="1">ROUND(IF('数据-取费表'!B22&lt;=1,C40*F22*'数据-取费表'!B20/2,C40*(POWER((1+F22),'数据-取费表'!B20/2)-1)),4)</f>
        <v>1.8E-3</v>
      </c>
      <c r="D44" s="282"/>
      <c r="E44" s="282"/>
      <c r="F44" s="283"/>
      <c r="G44" s="3170"/>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8"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5.2">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9" zoomScale="70" zoomScaleNormal="70" workbookViewId="0">
      <selection activeCell="L60" sqref="L6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172" t="s">
        <v>2639</v>
      </c>
      <c r="AC4" s="3171" t="s">
        <v>2640</v>
      </c>
    </row>
    <row r="5" spans="1:30">
      <c r="A5" s="404"/>
      <c r="B5" s="405"/>
      <c r="C5" s="3182" t="s">
        <v>2533</v>
      </c>
      <c r="D5" s="3183"/>
      <c r="E5" s="3180" t="str">
        <f>Sheet1!A3</f>
        <v>观山湖区宾阳大道与体育路交叉口西南、西北两侧</v>
      </c>
      <c r="F5" s="3181"/>
      <c r="G5" s="3182" t="str">
        <f>Sheet1!A4</f>
        <v>观山湖区宾阳大道与体育路交叉口西南、西北两侧</v>
      </c>
      <c r="H5" s="3183"/>
      <c r="I5" s="3182" t="str">
        <f>Sheet1!A6</f>
        <v>观山西路南侧,云潭南路西侧</v>
      </c>
      <c r="J5" s="3183"/>
      <c r="K5" s="610"/>
      <c r="L5" s="1133"/>
      <c r="M5" s="1134"/>
      <c r="N5" s="1134"/>
      <c r="O5" s="1134"/>
      <c r="P5" s="3195"/>
      <c r="Q5" s="3196"/>
      <c r="R5" s="3178"/>
      <c r="S5" s="3179"/>
      <c r="T5" s="3178"/>
      <c r="U5" s="3179"/>
      <c r="V5" s="3201"/>
      <c r="W5" s="3201"/>
      <c r="X5" s="1815"/>
      <c r="Y5" s="3178"/>
      <c r="Z5" s="3179"/>
      <c r="AA5" s="3172"/>
      <c r="AB5" s="3172"/>
      <c r="AC5" s="3172"/>
    </row>
    <row r="6" spans="1:30" ht="15" thickBot="1">
      <c r="A6" s="406"/>
      <c r="B6" s="407"/>
      <c r="C6" s="3184" t="s">
        <v>2537</v>
      </c>
      <c r="D6" s="3185"/>
      <c r="E6" s="3186" t="s">
        <v>2537</v>
      </c>
      <c r="F6" s="3187"/>
      <c r="G6" s="3184" t="s">
        <v>2537</v>
      </c>
      <c r="H6" s="3185"/>
      <c r="I6" s="3184" t="s">
        <v>2537</v>
      </c>
      <c r="J6" s="3185"/>
      <c r="K6" s="610" t="s">
        <v>2538</v>
      </c>
      <c r="L6" s="1133"/>
      <c r="M6" s="1134"/>
      <c r="N6" s="1134"/>
      <c r="O6" s="1134"/>
      <c r="P6" s="3197"/>
      <c r="Q6" s="3198"/>
      <c r="R6" s="3178"/>
      <c r="S6" s="3179"/>
      <c r="T6" s="3199"/>
      <c r="U6" s="3200"/>
      <c r="V6" s="3201"/>
      <c r="W6" s="3201"/>
      <c r="X6" s="1815"/>
      <c r="Y6" s="3199"/>
      <c r="Z6" s="3200"/>
      <c r="AA6" s="3173"/>
      <c r="AB6" s="3173"/>
      <c r="AC6" s="3173"/>
    </row>
    <row r="7" spans="1:30" s="117" customFormat="1" ht="1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174" t="s">
        <v>2540</v>
      </c>
      <c r="Q7" s="3202"/>
      <c r="R7" s="770" t="s">
        <v>17</v>
      </c>
      <c r="S7" s="771">
        <f t="shared" ref="S7:S15" si="0">F7</f>
        <v>95</v>
      </c>
      <c r="T7" s="770" t="s">
        <v>17</v>
      </c>
      <c r="U7" s="771">
        <f t="shared" ref="U7:U15" si="1">H7</f>
        <v>95</v>
      </c>
      <c r="V7" s="770" t="s">
        <v>17</v>
      </c>
      <c r="W7" s="771">
        <f t="shared" ref="W7:W15" si="2">J7</f>
        <v>93</v>
      </c>
      <c r="X7" s="772"/>
      <c r="Y7" s="3174" t="s">
        <v>2540</v>
      </c>
      <c r="Z7" s="3175"/>
      <c r="AA7" s="773">
        <f>D7/F7</f>
        <v>1.0526315789473684</v>
      </c>
      <c r="AB7" s="773">
        <f>D7/H7</f>
        <v>1.0526315789473684</v>
      </c>
      <c r="AC7" s="773">
        <f>D7/J7</f>
        <v>1.075268817204301</v>
      </c>
    </row>
    <row r="8" spans="1:30" s="117" customFormat="1" ht="1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174" t="s">
        <v>2543</v>
      </c>
      <c r="Q8" s="3175"/>
      <c r="R8" s="770" t="s">
        <v>17</v>
      </c>
      <c r="S8" s="771">
        <f t="shared" si="0"/>
        <v>100</v>
      </c>
      <c r="T8" s="770" t="s">
        <v>17</v>
      </c>
      <c r="U8" s="771">
        <f t="shared" si="1"/>
        <v>100</v>
      </c>
      <c r="V8" s="770" t="s">
        <v>17</v>
      </c>
      <c r="W8" s="771">
        <f t="shared" si="2"/>
        <v>100</v>
      </c>
      <c r="X8" s="772"/>
      <c r="Y8" s="3174" t="s">
        <v>2543</v>
      </c>
      <c r="Z8" s="3175"/>
      <c r="AA8" s="773">
        <f t="shared" ref="AA8:AA45" si="3">D8/F8</f>
        <v>1</v>
      </c>
      <c r="AB8" s="773">
        <f t="shared" ref="AB8:AB45" si="4">D8/H8</f>
        <v>1</v>
      </c>
      <c r="AC8" s="773">
        <f t="shared" ref="AC8:AC45" si="5">D8/J8</f>
        <v>1</v>
      </c>
    </row>
    <row r="9" spans="1:30" s="117" customFormat="1" ht="14.4">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773">
        <f t="shared" si="5"/>
        <v>1</v>
      </c>
    </row>
    <row r="10" spans="1:30" s="427" customFormat="1" ht="28.8">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8"/>
      <c r="Q10" s="1797" t="str">
        <f t="shared" si="6"/>
        <v>土地使用年限（年）</v>
      </c>
      <c r="R10" s="770" t="s">
        <v>17</v>
      </c>
      <c r="S10" s="771">
        <f t="shared" si="0"/>
        <v>117</v>
      </c>
      <c r="T10" s="770" t="s">
        <v>17</v>
      </c>
      <c r="U10" s="771">
        <f t="shared" si="1"/>
        <v>117</v>
      </c>
      <c r="V10" s="770" t="s">
        <v>17</v>
      </c>
      <c r="W10" s="771">
        <f t="shared" si="2"/>
        <v>117</v>
      </c>
      <c r="X10" s="772"/>
      <c r="Y10" s="3048"/>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88"/>
      <c r="Q11" s="1797" t="str">
        <f t="shared" si="6"/>
        <v>容积率</v>
      </c>
      <c r="R11" s="770" t="s">
        <v>17</v>
      </c>
      <c r="S11" s="771">
        <f t="shared" si="0"/>
        <v>100</v>
      </c>
      <c r="T11" s="770" t="s">
        <v>17</v>
      </c>
      <c r="U11" s="771">
        <f t="shared" si="1"/>
        <v>100</v>
      </c>
      <c r="V11" s="770" t="s">
        <v>17</v>
      </c>
      <c r="W11" s="771">
        <f t="shared" si="2"/>
        <v>94</v>
      </c>
      <c r="X11" s="772"/>
      <c r="Y11" s="3048"/>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7"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6"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6.6"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2551</v>
      </c>
      <c r="Q15" s="1812" t="str">
        <f t="shared" si="6"/>
        <v>居住社区成熟度</v>
      </c>
      <c r="R15" s="774" t="s">
        <v>17</v>
      </c>
      <c r="S15" s="775">
        <f t="shared" si="0"/>
        <v>100</v>
      </c>
      <c r="T15" s="774" t="s">
        <v>17</v>
      </c>
      <c r="U15" s="775">
        <f t="shared" si="1"/>
        <v>100</v>
      </c>
      <c r="V15" s="774" t="s">
        <v>17</v>
      </c>
      <c r="W15" s="775">
        <f t="shared" si="2"/>
        <v>100</v>
      </c>
      <c r="X15" s="1815"/>
      <c r="Y15" s="3203"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15.2">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2" t="str">
        <f>B17</f>
        <v>商业繁华度</v>
      </c>
      <c r="R17" s="774" t="s">
        <v>17</v>
      </c>
      <c r="S17" s="775">
        <f>F17</f>
        <v>100</v>
      </c>
      <c r="T17" s="774" t="s">
        <v>17</v>
      </c>
      <c r="U17" s="775">
        <f>H17</f>
        <v>100</v>
      </c>
      <c r="V17" s="774" t="s">
        <v>17</v>
      </c>
      <c r="W17" s="775">
        <f>J17</f>
        <v>100</v>
      </c>
      <c r="X17" s="1815"/>
      <c r="Y17" s="3204"/>
      <c r="Z17" s="1816" t="str">
        <f>Q17</f>
        <v>商业繁华度</v>
      </c>
      <c r="AA17" s="1813">
        <f t="shared" si="3"/>
        <v>1</v>
      </c>
      <c r="AB17" s="1813">
        <f t="shared" si="4"/>
        <v>1</v>
      </c>
      <c r="AC17" s="1813">
        <f t="shared" si="5"/>
        <v>1</v>
      </c>
    </row>
    <row r="18" spans="1:29" ht="15">
      <c r="A18" s="428"/>
      <c r="B18" s="456"/>
      <c r="C18" s="2969" t="s">
        <v>3159</v>
      </c>
      <c r="D18" s="450"/>
      <c r="E18" s="2970" t="s">
        <v>3159</v>
      </c>
      <c r="F18" s="450"/>
      <c r="G18" s="2970" t="s">
        <v>3159</v>
      </c>
      <c r="H18" s="448"/>
      <c r="I18" s="2971" t="s">
        <v>3159</v>
      </c>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15.2">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2" t="str">
        <f>B19</f>
        <v>办公集聚程度</v>
      </c>
      <c r="R19" s="774" t="s">
        <v>17</v>
      </c>
      <c r="S19" s="775">
        <f>F19</f>
        <v>100</v>
      </c>
      <c r="T19" s="774" t="s">
        <v>17</v>
      </c>
      <c r="U19" s="775">
        <f>H19</f>
        <v>100</v>
      </c>
      <c r="V19" s="774" t="s">
        <v>17</v>
      </c>
      <c r="W19" s="775">
        <f>J19</f>
        <v>100</v>
      </c>
      <c r="X19" s="1815"/>
      <c r="Y19" s="3204"/>
      <c r="Z19" s="1816" t="str">
        <f>Q19</f>
        <v>办公集聚程度</v>
      </c>
      <c r="AA19" s="1813">
        <f t="shared" si="3"/>
        <v>1</v>
      </c>
      <c r="AB19" s="1813">
        <f t="shared" si="4"/>
        <v>1</v>
      </c>
      <c r="AC19" s="1813">
        <f t="shared" si="5"/>
        <v>1</v>
      </c>
    </row>
    <row r="20" spans="1:29" ht="15">
      <c r="A20" s="428"/>
      <c r="B20" s="456"/>
      <c r="C20" s="2972" t="s">
        <v>3159</v>
      </c>
      <c r="D20" s="448"/>
      <c r="E20" s="2973" t="s">
        <v>3159</v>
      </c>
      <c r="F20" s="448"/>
      <c r="G20" s="2973" t="s">
        <v>3160</v>
      </c>
      <c r="H20" s="448"/>
      <c r="I20" s="2974" t="s">
        <v>3159</v>
      </c>
      <c r="J20" s="448"/>
      <c r="K20" s="672"/>
      <c r="L20" s="1143"/>
      <c r="M20" s="1134"/>
      <c r="N20" s="1134"/>
      <c r="O20" s="1142"/>
      <c r="P20" s="3204"/>
      <c r="Q20" s="1812"/>
      <c r="R20" s="774"/>
      <c r="S20" s="775"/>
      <c r="T20" s="774"/>
      <c r="U20" s="775"/>
      <c r="V20" s="774"/>
      <c r="W20" s="775"/>
      <c r="X20" s="1815"/>
      <c r="Y20" s="3204"/>
      <c r="Z20" s="1816"/>
      <c r="AA20" s="1813">
        <v>1</v>
      </c>
      <c r="AB20" s="1813">
        <v>1</v>
      </c>
      <c r="AC20" s="1813">
        <v>1</v>
      </c>
    </row>
    <row r="21" spans="1:29" ht="129.6">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2" t="str">
        <f>B21</f>
        <v>交通便捷度</v>
      </c>
      <c r="R21" s="774" t="s">
        <v>17</v>
      </c>
      <c r="S21" s="775">
        <f>F21</f>
        <v>100</v>
      </c>
      <c r="T21" s="774" t="s">
        <v>17</v>
      </c>
      <c r="U21" s="775">
        <f>H21</f>
        <v>100</v>
      </c>
      <c r="V21" s="774" t="s">
        <v>17</v>
      </c>
      <c r="W21" s="775">
        <f>J21</f>
        <v>100</v>
      </c>
      <c r="X21" s="1815"/>
      <c r="Y21" s="3204"/>
      <c r="Z21" s="1816" t="str">
        <f>Q21</f>
        <v>交通便捷度</v>
      </c>
      <c r="AA21" s="1813">
        <f t="shared" si="3"/>
        <v>1</v>
      </c>
      <c r="AB21" s="1813">
        <f t="shared" si="4"/>
        <v>1</v>
      </c>
      <c r="AC21" s="1813">
        <f t="shared" si="5"/>
        <v>1</v>
      </c>
    </row>
    <row r="22" spans="1:29" ht="15">
      <c r="A22" s="428"/>
      <c r="B22" s="1387"/>
      <c r="C22" s="2972" t="s">
        <v>3159</v>
      </c>
      <c r="D22" s="450"/>
      <c r="E22" s="2973" t="s">
        <v>3159</v>
      </c>
      <c r="F22" s="448"/>
      <c r="G22" s="2973" t="s">
        <v>3159</v>
      </c>
      <c r="H22" s="448"/>
      <c r="I22" s="2974" t="s">
        <v>3159</v>
      </c>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ht="28.8">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2" t="str">
        <f t="shared" ref="Q23:Q37" si="8">B23</f>
        <v>区域土地利用方向</v>
      </c>
      <c r="R23" s="774" t="s">
        <v>17</v>
      </c>
      <c r="S23" s="775">
        <f>F23</f>
        <v>100</v>
      </c>
      <c r="T23" s="774" t="s">
        <v>17</v>
      </c>
      <c r="U23" s="775">
        <f>H23</f>
        <v>100</v>
      </c>
      <c r="V23" s="774" t="s">
        <v>17</v>
      </c>
      <c r="W23" s="775">
        <f>J23</f>
        <v>100</v>
      </c>
      <c r="X23" s="1815"/>
      <c r="Y23" s="3204"/>
      <c r="Z23" s="1816" t="str">
        <f>Q23</f>
        <v>区域土地利用方向</v>
      </c>
      <c r="AA23" s="1813">
        <f t="shared" si="3"/>
        <v>1</v>
      </c>
      <c r="AB23" s="1813">
        <f t="shared" si="4"/>
        <v>1</v>
      </c>
      <c r="AC23" s="1813">
        <f t="shared" si="5"/>
        <v>1</v>
      </c>
    </row>
    <row r="24" spans="1:29" ht="15">
      <c r="A24" s="404"/>
      <c r="B24" s="456"/>
      <c r="C24" s="2975" t="s">
        <v>3159</v>
      </c>
      <c r="D24" s="448"/>
      <c r="E24" s="2973" t="s">
        <v>3159</v>
      </c>
      <c r="F24" s="448"/>
      <c r="G24" s="2974" t="s">
        <v>3159</v>
      </c>
      <c r="H24" s="448"/>
      <c r="I24" s="2974" t="s">
        <v>3161</v>
      </c>
      <c r="J24" s="448"/>
      <c r="K24" s="812"/>
      <c r="L24" s="1143"/>
      <c r="M24" s="1134"/>
      <c r="N24" s="1134"/>
      <c r="O24" s="1142"/>
      <c r="P24" s="3204"/>
      <c r="Q24" s="1812"/>
      <c r="R24" s="774"/>
      <c r="S24" s="775"/>
      <c r="T24" s="774"/>
      <c r="U24" s="775"/>
      <c r="V24" s="774"/>
      <c r="W24" s="775"/>
      <c r="X24" s="1815"/>
      <c r="Y24" s="3204"/>
      <c r="Z24" s="1816"/>
      <c r="AA24" s="1813"/>
      <c r="AB24" s="1813"/>
      <c r="AC24" s="1813"/>
    </row>
    <row r="25" spans="1:29" ht="129.6">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2" t="str">
        <f t="shared" si="8"/>
        <v>自然及人文环境状况</v>
      </c>
      <c r="R25" s="774" t="s">
        <v>17</v>
      </c>
      <c r="S25" s="775">
        <f>F25</f>
        <v>100</v>
      </c>
      <c r="T25" s="774" t="s">
        <v>17</v>
      </c>
      <c r="U25" s="775">
        <f>H25</f>
        <v>100</v>
      </c>
      <c r="V25" s="774" t="s">
        <v>17</v>
      </c>
      <c r="W25" s="775">
        <f>J25</f>
        <v>100</v>
      </c>
      <c r="X25" s="1815"/>
      <c r="Y25" s="3204"/>
      <c r="Z25" s="1816" t="str">
        <f>Q25</f>
        <v>自然及人文环境状况</v>
      </c>
      <c r="AA25" s="1813">
        <f t="shared" si="3"/>
        <v>1</v>
      </c>
      <c r="AB25" s="1813">
        <f t="shared" si="4"/>
        <v>1</v>
      </c>
      <c r="AC25" s="1813">
        <f t="shared" si="5"/>
        <v>1</v>
      </c>
    </row>
    <row r="26" spans="1:29" ht="15">
      <c r="A26" s="404"/>
      <c r="B26" s="456"/>
      <c r="C26" s="2972" t="s">
        <v>3159</v>
      </c>
      <c r="D26" s="448"/>
      <c r="E26" s="2976" t="s">
        <v>3159</v>
      </c>
      <c r="F26" s="448"/>
      <c r="G26" s="2976" t="s">
        <v>3160</v>
      </c>
      <c r="H26" s="448"/>
      <c r="I26" s="2972" t="s">
        <v>3159</v>
      </c>
      <c r="J26" s="448"/>
      <c r="K26" s="672"/>
      <c r="L26" s="1143"/>
      <c r="M26" s="1134"/>
      <c r="N26" s="1134"/>
      <c r="O26" s="1142"/>
      <c r="P26" s="3204"/>
      <c r="Q26" s="1812"/>
      <c r="R26" s="774"/>
      <c r="S26" s="775"/>
      <c r="T26" s="774"/>
      <c r="U26" s="775"/>
      <c r="V26" s="774"/>
      <c r="W26" s="775"/>
      <c r="X26" s="1815"/>
      <c r="Y26" s="3204"/>
      <c r="Z26" s="1816"/>
      <c r="AA26" s="1813">
        <v>1</v>
      </c>
      <c r="AB26" s="1813">
        <v>1</v>
      </c>
      <c r="AC26" s="1813">
        <v>1</v>
      </c>
    </row>
    <row r="27" spans="1:29" s="117" customFormat="1" ht="110.4">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7" t="str">
        <f t="shared" si="8"/>
        <v>公共配套设施</v>
      </c>
      <c r="R27" s="770" t="s">
        <v>17</v>
      </c>
      <c r="S27" s="771">
        <f>F27</f>
        <v>100</v>
      </c>
      <c r="T27" s="770" t="s">
        <v>17</v>
      </c>
      <c r="U27" s="771">
        <f>H27</f>
        <v>100</v>
      </c>
      <c r="V27" s="770" t="s">
        <v>17</v>
      </c>
      <c r="W27" s="771">
        <f>J27</f>
        <v>100</v>
      </c>
      <c r="X27" s="772"/>
      <c r="Y27" s="3204"/>
      <c r="Z27" s="55" t="str">
        <f>Q27</f>
        <v>公共配套设施</v>
      </c>
      <c r="AA27" s="1813">
        <f>D27/F27</f>
        <v>1</v>
      </c>
      <c r="AB27" s="1813">
        <f>D27/H27</f>
        <v>1</v>
      </c>
      <c r="AC27" s="1813">
        <f>D27/J27</f>
        <v>1</v>
      </c>
    </row>
    <row r="28" spans="1:29" s="117" customFormat="1" ht="15">
      <c r="A28" s="649"/>
      <c r="B28" s="456"/>
      <c r="C28" s="2977" t="s">
        <v>3159</v>
      </c>
      <c r="D28" s="448"/>
      <c r="E28" s="2976" t="s">
        <v>3159</v>
      </c>
      <c r="F28" s="448"/>
      <c r="G28" s="2976" t="s">
        <v>3159</v>
      </c>
      <c r="H28" s="448"/>
      <c r="I28" s="2972" t="s">
        <v>3159</v>
      </c>
      <c r="J28" s="448"/>
      <c r="K28" s="672"/>
      <c r="L28" s="1135"/>
      <c r="M28" s="1136"/>
      <c r="N28" s="1136"/>
      <c r="O28" s="1137"/>
      <c r="P28" s="3204"/>
      <c r="Q28" s="1797"/>
      <c r="R28" s="770"/>
      <c r="S28" s="771"/>
      <c r="T28" s="770"/>
      <c r="U28" s="771"/>
      <c r="V28" s="770"/>
      <c r="W28" s="771"/>
      <c r="X28" s="772"/>
      <c r="Y28" s="3204"/>
      <c r="Z28" s="55"/>
      <c r="AA28" s="1813">
        <v>1</v>
      </c>
      <c r="AB28" s="1813">
        <v>1</v>
      </c>
      <c r="AC28" s="1813">
        <v>1</v>
      </c>
    </row>
    <row r="29" spans="1:29" s="117" customFormat="1" ht="41.4">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7"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3">
        <f>D29/F29</f>
        <v>1</v>
      </c>
      <c r="AB29" s="1813">
        <f>D29/H29</f>
        <v>1</v>
      </c>
      <c r="AC29" s="1813">
        <f>D29/J29</f>
        <v>1</v>
      </c>
    </row>
    <row r="30" spans="1:29" s="117" customFormat="1" ht="15">
      <c r="A30" s="649"/>
      <c r="B30" s="456"/>
      <c r="C30" s="2977" t="s">
        <v>3162</v>
      </c>
      <c r="D30" s="448"/>
      <c r="E30" s="2978" t="s">
        <v>3162</v>
      </c>
      <c r="F30" s="448"/>
      <c r="G30" s="2978" t="s">
        <v>3162</v>
      </c>
      <c r="H30" s="448"/>
      <c r="I30" s="2978" t="s">
        <v>3162</v>
      </c>
      <c r="J30" s="448"/>
      <c r="K30" s="672"/>
      <c r="L30" s="1135"/>
      <c r="M30" s="1136"/>
      <c r="N30" s="1136"/>
      <c r="O30" s="1137"/>
      <c r="P30" s="3204"/>
      <c r="Q30" s="1797"/>
      <c r="R30" s="770"/>
      <c r="S30" s="771"/>
      <c r="T30" s="770"/>
      <c r="U30" s="771"/>
      <c r="V30" s="770"/>
      <c r="W30" s="771"/>
      <c r="X30" s="772"/>
      <c r="Y30" s="3204"/>
      <c r="Z30" s="55"/>
      <c r="AA30" s="1813">
        <v>1</v>
      </c>
      <c r="AB30" s="1813">
        <v>1</v>
      </c>
      <c r="AC30" s="1813">
        <v>1</v>
      </c>
    </row>
    <row r="31" spans="1:29" ht="15">
      <c r="A31" s="428"/>
      <c r="B31" s="456" t="s">
        <v>2647</v>
      </c>
      <c r="C31" s="616" t="s">
        <v>3164</v>
      </c>
      <c r="D31" s="435">
        <v>100</v>
      </c>
      <c r="E31" s="634" t="s">
        <v>3164</v>
      </c>
      <c r="F31" s="435">
        <f>SUMIF(104:104,E31,105:105)-SUMIF(104:104,C31,105:105)+100</f>
        <v>100</v>
      </c>
      <c r="G31" s="634" t="s">
        <v>3164</v>
      </c>
      <c r="H31" s="435">
        <f>SUMIF(104:104,G31,105:105)-SUMIF(104:104,C31,105:105)+100</f>
        <v>100</v>
      </c>
      <c r="I31" s="634" t="s">
        <v>3164</v>
      </c>
      <c r="J31" s="435">
        <f>SUMIF(104:104,I31,105:105)-SUMIF(104:104,C31,105:105)+100</f>
        <v>100</v>
      </c>
      <c r="K31" s="673"/>
      <c r="L31" s="1143"/>
      <c r="M31" s="1134"/>
      <c r="N31" s="1134"/>
      <c r="O31" s="1142"/>
      <c r="P31" s="320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4"/>
      <c r="Z31" s="1816" t="str">
        <f t="shared" ref="Z31:Z45" si="13">Q31</f>
        <v>临街状况</v>
      </c>
      <c r="AA31" s="1813">
        <f t="shared" si="3"/>
        <v>1</v>
      </c>
      <c r="AB31" s="1813">
        <f t="shared" si="4"/>
        <v>1</v>
      </c>
      <c r="AC31" s="1813">
        <f t="shared" si="5"/>
        <v>1</v>
      </c>
    </row>
    <row r="32" spans="1:29" ht="28.8">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2" t="str">
        <f t="shared" si="8"/>
        <v>毗邻道路的类型与等级</v>
      </c>
      <c r="R32" s="774" t="s">
        <v>17</v>
      </c>
      <c r="S32" s="775">
        <f t="shared" si="10"/>
        <v>100</v>
      </c>
      <c r="T32" s="774" t="s">
        <v>17</v>
      </c>
      <c r="U32" s="775">
        <f t="shared" si="11"/>
        <v>100</v>
      </c>
      <c r="V32" s="774" t="s">
        <v>17</v>
      </c>
      <c r="W32" s="775">
        <f t="shared" si="12"/>
        <v>100</v>
      </c>
      <c r="X32" s="1815"/>
      <c r="Y32" s="3204"/>
      <c r="Z32" s="1816" t="str">
        <f t="shared" si="13"/>
        <v>毗邻道路的类型与等级</v>
      </c>
      <c r="AA32" s="1813">
        <f t="shared" si="3"/>
        <v>1</v>
      </c>
      <c r="AB32" s="1813">
        <f t="shared" si="4"/>
        <v>1</v>
      </c>
      <c r="AC32" s="1813">
        <f t="shared" si="5"/>
        <v>1</v>
      </c>
    </row>
    <row r="33" spans="1:29" ht="15">
      <c r="A33" s="428"/>
      <c r="B33" s="456"/>
      <c r="C33" s="2972" t="s">
        <v>3163</v>
      </c>
      <c r="D33" s="448"/>
      <c r="E33" s="2976" t="s">
        <v>3163</v>
      </c>
      <c r="F33" s="448"/>
      <c r="G33" s="2976" t="s">
        <v>3163</v>
      </c>
      <c r="H33" s="448"/>
      <c r="I33" s="2972" t="s">
        <v>3163</v>
      </c>
      <c r="J33" s="448"/>
      <c r="K33" s="613"/>
      <c r="L33" s="1143"/>
      <c r="M33" s="1134"/>
      <c r="N33" s="1134"/>
      <c r="O33" s="1142"/>
      <c r="P33" s="3204"/>
      <c r="Q33" s="1812"/>
      <c r="R33" s="774"/>
      <c r="S33" s="775"/>
      <c r="T33" s="774"/>
      <c r="U33" s="775"/>
      <c r="V33" s="774"/>
      <c r="W33" s="775"/>
      <c r="X33" s="1815"/>
      <c r="Y33" s="3204"/>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2" t="str">
        <f t="shared" si="8"/>
        <v>土地级别</v>
      </c>
      <c r="R34" s="774" t="s">
        <v>17</v>
      </c>
      <c r="S34" s="775">
        <f t="shared" si="10"/>
        <v>100</v>
      </c>
      <c r="T34" s="774" t="s">
        <v>17</v>
      </c>
      <c r="U34" s="775">
        <f t="shared" si="11"/>
        <v>100</v>
      </c>
      <c r="V34" s="774" t="s">
        <v>17</v>
      </c>
      <c r="W34" s="775">
        <f t="shared" si="12"/>
        <v>100</v>
      </c>
      <c r="X34" s="1815"/>
      <c r="Y34" s="320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2">
        <f t="shared" si="8"/>
        <v>111</v>
      </c>
      <c r="R35" s="774" t="s">
        <v>17</v>
      </c>
      <c r="S35" s="775">
        <f t="shared" si="10"/>
        <v>100</v>
      </c>
      <c r="T35" s="774" t="s">
        <v>17</v>
      </c>
      <c r="U35" s="775">
        <f t="shared" si="11"/>
        <v>100</v>
      </c>
      <c r="V35" s="774" t="s">
        <v>17</v>
      </c>
      <c r="W35" s="775">
        <f t="shared" si="12"/>
        <v>100</v>
      </c>
      <c r="X35" s="1815"/>
      <c r="Y35" s="320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5" t="s">
        <v>2556</v>
      </c>
      <c r="Q36" s="1812">
        <f t="shared" si="8"/>
        <v>111</v>
      </c>
      <c r="R36" s="774" t="s">
        <v>17</v>
      </c>
      <c r="S36" s="775">
        <f t="shared" si="10"/>
        <v>100</v>
      </c>
      <c r="T36" s="774" t="s">
        <v>17</v>
      </c>
      <c r="U36" s="775">
        <f t="shared" si="11"/>
        <v>100</v>
      </c>
      <c r="V36" s="774" t="s">
        <v>17</v>
      </c>
      <c r="W36" s="775">
        <f t="shared" si="12"/>
        <v>100</v>
      </c>
      <c r="X36" s="1815"/>
      <c r="Y36" s="3206" t="s">
        <v>2556</v>
      </c>
      <c r="Z36" s="1816">
        <f t="shared" si="13"/>
        <v>111</v>
      </c>
      <c r="AA36" s="1813">
        <f t="shared" si="3"/>
        <v>1</v>
      </c>
      <c r="AB36" s="1813">
        <f t="shared" si="4"/>
        <v>1</v>
      </c>
      <c r="AC36" s="1813">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6"/>
      <c r="Q37" s="1812">
        <f t="shared" si="8"/>
        <v>111</v>
      </c>
      <c r="R37" s="777" t="s">
        <v>17</v>
      </c>
      <c r="S37" s="778">
        <f t="shared" si="10"/>
        <v>100</v>
      </c>
      <c r="T37" s="777" t="s">
        <v>17</v>
      </c>
      <c r="U37" s="778">
        <f t="shared" si="11"/>
        <v>100</v>
      </c>
      <c r="V37" s="777" t="s">
        <v>17</v>
      </c>
      <c r="W37" s="778">
        <f t="shared" si="12"/>
        <v>100</v>
      </c>
      <c r="X37" s="779"/>
      <c r="Y37" s="3206"/>
      <c r="Z37" s="780">
        <f t="shared" si="13"/>
        <v>111</v>
      </c>
      <c r="AA37" s="1813">
        <f t="shared" si="3"/>
        <v>1</v>
      </c>
      <c r="AB37" s="1813">
        <f t="shared" si="4"/>
        <v>1</v>
      </c>
      <c r="AC37" s="1813">
        <f t="shared" si="5"/>
        <v>1</v>
      </c>
    </row>
    <row r="38" spans="1:29" ht="15.6">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206"/>
      <c r="Q38" s="1812" t="str">
        <f>B38</f>
        <v>宗地面积</v>
      </c>
      <c r="R38" s="774" t="s">
        <v>17</v>
      </c>
      <c r="S38" s="775">
        <f t="shared" si="10"/>
        <v>100</v>
      </c>
      <c r="T38" s="774" t="s">
        <v>17</v>
      </c>
      <c r="U38" s="775">
        <f t="shared" si="11"/>
        <v>100</v>
      </c>
      <c r="V38" s="774" t="s">
        <v>17</v>
      </c>
      <c r="W38" s="775">
        <f t="shared" si="12"/>
        <v>100</v>
      </c>
      <c r="X38" s="1815"/>
      <c r="Y38" s="3206"/>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06"/>
      <c r="Q39" s="1812" t="str">
        <f t="shared" ref="Q39:Q45" si="14">B39</f>
        <v>宗地形状</v>
      </c>
      <c r="R39" s="774" t="s">
        <v>17</v>
      </c>
      <c r="S39" s="775">
        <f t="shared" si="10"/>
        <v>100</v>
      </c>
      <c r="T39" s="774" t="s">
        <v>17</v>
      </c>
      <c r="U39" s="775">
        <f t="shared" si="11"/>
        <v>100</v>
      </c>
      <c r="V39" s="774" t="s">
        <v>17</v>
      </c>
      <c r="W39" s="775">
        <f t="shared" si="12"/>
        <v>100</v>
      </c>
      <c r="X39" s="1815"/>
      <c r="Y39" s="3206"/>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06"/>
      <c r="Q40" s="1812" t="str">
        <f t="shared" si="14"/>
        <v>临街宽度及深度</v>
      </c>
      <c r="R40" s="774" t="s">
        <v>17</v>
      </c>
      <c r="S40" s="775">
        <f t="shared" si="10"/>
        <v>100</v>
      </c>
      <c r="T40" s="774" t="s">
        <v>17</v>
      </c>
      <c r="U40" s="775">
        <f t="shared" si="11"/>
        <v>100</v>
      </c>
      <c r="V40" s="774" t="s">
        <v>17</v>
      </c>
      <c r="W40" s="775">
        <f t="shared" si="12"/>
        <v>100</v>
      </c>
      <c r="X40" s="1815"/>
      <c r="Y40" s="3206"/>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206"/>
      <c r="Q41" s="1812" t="str">
        <f t="shared" si="14"/>
        <v>宗地开发程度</v>
      </c>
      <c r="R41" s="770" t="s">
        <v>17</v>
      </c>
      <c r="S41" s="771">
        <f t="shared" si="10"/>
        <v>94</v>
      </c>
      <c r="T41" s="770" t="s">
        <v>17</v>
      </c>
      <c r="U41" s="771">
        <f t="shared" si="11"/>
        <v>94</v>
      </c>
      <c r="V41" s="770" t="s">
        <v>17</v>
      </c>
      <c r="W41" s="771">
        <f t="shared" si="12"/>
        <v>100</v>
      </c>
      <c r="X41" s="772"/>
      <c r="Y41" s="3206"/>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06" t="s">
        <v>2556</v>
      </c>
      <c r="Q42" s="1812" t="str">
        <f t="shared" si="14"/>
        <v>工程地质条件</v>
      </c>
      <c r="R42" s="774" t="s">
        <v>17</v>
      </c>
      <c r="S42" s="775">
        <f t="shared" si="10"/>
        <v>100</v>
      </c>
      <c r="T42" s="774" t="s">
        <v>17</v>
      </c>
      <c r="U42" s="775">
        <f t="shared" si="11"/>
        <v>100</v>
      </c>
      <c r="V42" s="774" t="s">
        <v>17</v>
      </c>
      <c r="W42" s="775">
        <f t="shared" si="12"/>
        <v>100</v>
      </c>
      <c r="X42" s="1815"/>
      <c r="Y42" s="3206"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6"/>
      <c r="Q43" s="1812">
        <f t="shared" si="14"/>
        <v>111</v>
      </c>
      <c r="R43" s="774" t="s">
        <v>17</v>
      </c>
      <c r="S43" s="775">
        <f t="shared" si="10"/>
        <v>100</v>
      </c>
      <c r="T43" s="774" t="s">
        <v>17</v>
      </c>
      <c r="U43" s="775">
        <f t="shared" si="11"/>
        <v>100</v>
      </c>
      <c r="V43" s="774" t="s">
        <v>17</v>
      </c>
      <c r="W43" s="775">
        <f t="shared" si="12"/>
        <v>100</v>
      </c>
      <c r="X43" s="1815"/>
      <c r="Y43" s="3206"/>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6"/>
      <c r="Q44" s="1812">
        <f t="shared" si="14"/>
        <v>111</v>
      </c>
      <c r="R44" s="774" t="s">
        <v>17</v>
      </c>
      <c r="S44" s="775">
        <f t="shared" si="10"/>
        <v>100</v>
      </c>
      <c r="T44" s="774" t="s">
        <v>17</v>
      </c>
      <c r="U44" s="775">
        <f t="shared" si="11"/>
        <v>100</v>
      </c>
      <c r="V44" s="774" t="s">
        <v>17</v>
      </c>
      <c r="W44" s="775">
        <f t="shared" si="12"/>
        <v>100</v>
      </c>
      <c r="X44" s="1815"/>
      <c r="Y44" s="3206"/>
      <c r="Z44" s="1816">
        <f t="shared" si="13"/>
        <v>111</v>
      </c>
      <c r="AA44" s="1813">
        <f t="shared" si="3"/>
        <v>1</v>
      </c>
      <c r="AB44" s="1813">
        <f t="shared" si="4"/>
        <v>1</v>
      </c>
      <c r="AC44" s="1813">
        <f t="shared" si="5"/>
        <v>1</v>
      </c>
    </row>
    <row r="45" spans="1:29" s="471" customFormat="1" ht="15.6"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6"/>
      <c r="Q45" s="1812">
        <f t="shared" si="14"/>
        <v>111</v>
      </c>
      <c r="R45" s="777" t="s">
        <v>17</v>
      </c>
      <c r="S45" s="778">
        <f t="shared" si="10"/>
        <v>100</v>
      </c>
      <c r="T45" s="777" t="s">
        <v>17</v>
      </c>
      <c r="U45" s="778">
        <f t="shared" si="11"/>
        <v>100</v>
      </c>
      <c r="V45" s="777" t="s">
        <v>17</v>
      </c>
      <c r="W45" s="778">
        <f t="shared" si="12"/>
        <v>100</v>
      </c>
      <c r="X45" s="779"/>
      <c r="Y45" s="3206"/>
      <c r="Z45" s="780">
        <f t="shared" si="13"/>
        <v>111</v>
      </c>
      <c r="AA45" s="1813">
        <f t="shared" si="3"/>
        <v>1</v>
      </c>
      <c r="AB45" s="1813">
        <f t="shared" si="4"/>
        <v>1</v>
      </c>
      <c r="AC45" s="1813">
        <f t="shared" si="5"/>
        <v>1</v>
      </c>
    </row>
    <row r="46" spans="1:29" ht="14.4">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88" t="str">
        <f>A46</f>
        <v>成交单价</v>
      </c>
      <c r="Q46" s="3188"/>
      <c r="R46" s="3201">
        <f>E46</f>
        <v>1977</v>
      </c>
      <c r="S46" s="3201"/>
      <c r="T46" s="3201">
        <f>G46</f>
        <v>2134</v>
      </c>
      <c r="U46" s="3201"/>
      <c r="V46" s="3201">
        <f>I46</f>
        <v>2305</v>
      </c>
      <c r="W46" s="3201"/>
      <c r="X46" s="759"/>
      <c r="Y46" s="781"/>
      <c r="Z46" s="759"/>
      <c r="AA46" s="759"/>
      <c r="AB46" s="759"/>
      <c r="AC46" s="759"/>
    </row>
    <row r="47" spans="1:29" ht="15" thickBot="1">
      <c r="A47" s="486" t="s">
        <v>2660</v>
      </c>
      <c r="B47" s="683"/>
      <c r="C47" s="490">
        <f>R48</f>
        <v>2063</v>
      </c>
      <c r="D47" s="489"/>
      <c r="E47" s="490">
        <f>R47</f>
        <v>1892</v>
      </c>
      <c r="F47" s="491"/>
      <c r="G47" s="488">
        <f>T47</f>
        <v>2042</v>
      </c>
      <c r="H47" s="489"/>
      <c r="I47" s="490">
        <f>V47</f>
        <v>2254</v>
      </c>
      <c r="J47" s="489"/>
      <c r="K47" s="784"/>
      <c r="L47" s="1146"/>
      <c r="M47" s="1147"/>
      <c r="N47" s="1147"/>
      <c r="O47" s="1147"/>
      <c r="P47" s="3188" t="str">
        <f>A47</f>
        <v>比较价值（元/平方米）</v>
      </c>
      <c r="Q47" s="3188"/>
      <c r="R47" s="3207">
        <f>ROUND(PRODUCT(R46,AA7:AA45),0)</f>
        <v>1892</v>
      </c>
      <c r="S47" s="3207"/>
      <c r="T47" s="3207">
        <f>ROUND(PRODUCT(T46,AB7:AB45),0)</f>
        <v>2042</v>
      </c>
      <c r="U47" s="3207"/>
      <c r="V47" s="3207">
        <f>ROUND(PRODUCT(V46,AC7:AC45),0)</f>
        <v>2254</v>
      </c>
      <c r="W47" s="3207"/>
      <c r="X47" s="759"/>
      <c r="Y47" s="759"/>
      <c r="Z47" s="759"/>
      <c r="AA47" s="759"/>
      <c r="AB47" s="759"/>
      <c r="AC47" s="759"/>
    </row>
    <row r="48" spans="1:29" ht="15" thickBot="1">
      <c r="A48" s="492" t="s">
        <v>2748</v>
      </c>
      <c r="B48" s="493"/>
      <c r="C48" s="494">
        <f>R48</f>
        <v>2063</v>
      </c>
      <c r="D48" s="494"/>
      <c r="E48" s="494"/>
      <c r="F48" s="494"/>
      <c r="G48" s="494"/>
      <c r="H48" s="494"/>
      <c r="I48" s="494"/>
      <c r="J48" s="494"/>
      <c r="K48" s="785"/>
      <c r="L48" s="1146"/>
      <c r="M48" s="1147"/>
      <c r="N48" s="1147"/>
      <c r="O48" s="1147"/>
      <c r="P48" s="3208" t="str">
        <f>A48</f>
        <v>估价对象XX用房的比较价值（楼面单价，元/平方米）</v>
      </c>
      <c r="Q48" s="3209"/>
      <c r="R48" s="3210">
        <f>ROUND(AVERAGE(R47:V47),0)</f>
        <v>2063</v>
      </c>
      <c r="S48" s="3210"/>
      <c r="T48" s="3210"/>
      <c r="U48" s="3210"/>
      <c r="V48" s="3210"/>
      <c r="W48" s="321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89" t="s">
        <v>2755</v>
      </c>
      <c r="H55" s="3211"/>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212"/>
      <c r="H56" s="318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13"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13"/>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13"/>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13"/>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4.4"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2.2" thickBot="1">
      <c r="A69" s="763" t="s">
        <v>2665</v>
      </c>
      <c r="B69" s="759"/>
      <c r="C69" s="764"/>
      <c r="D69" s="764"/>
      <c r="E69" s="764"/>
      <c r="F69" s="765"/>
      <c r="G69" s="765"/>
      <c r="H69" s="764"/>
      <c r="I69" s="764"/>
      <c r="J69" s="1162"/>
      <c r="K69" s="1163"/>
      <c r="L69" s="1164"/>
      <c r="M69" s="1162"/>
      <c r="N69" s="1162"/>
      <c r="O69" s="1162"/>
      <c r="P69" s="503"/>
      <c r="Q69" s="504"/>
    </row>
    <row r="70" spans="1:17" s="508" customFormat="1" ht="14.4">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 thickBot="1">
      <c r="A72" s="515" t="s">
        <v>2576</v>
      </c>
      <c r="B72" s="516"/>
      <c r="C72" s="517"/>
      <c r="D72" s="518"/>
      <c r="E72" s="518"/>
      <c r="F72" s="518"/>
      <c r="G72" s="518"/>
      <c r="H72" s="518"/>
      <c r="I72" s="518"/>
      <c r="J72" s="518"/>
      <c r="K72" s="518"/>
      <c r="L72" s="518"/>
      <c r="M72" s="519"/>
      <c r="N72" s="518"/>
      <c r="O72" s="1165"/>
      <c r="P72" s="504"/>
      <c r="Q72" s="504"/>
    </row>
    <row r="73" spans="1:17" s="117" customFormat="1" ht="14.4">
      <c r="A73" s="521" t="s">
        <v>2541</v>
      </c>
      <c r="B73" s="510"/>
      <c r="C73" s="522" t="s">
        <v>2643</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2579</v>
      </c>
      <c r="B75" s="528" t="s">
        <v>2545</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2548</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c r="A80" s="534"/>
      <c r="B80" s="548"/>
      <c r="C80" s="549">
        <v>0</v>
      </c>
      <c r="D80" s="549">
        <v>1</v>
      </c>
      <c r="E80" s="549">
        <v>2</v>
      </c>
      <c r="F80" s="549">
        <v>3</v>
      </c>
      <c r="G80" s="549">
        <v>4</v>
      </c>
      <c r="H80" s="549">
        <v>5</v>
      </c>
      <c r="I80" s="549">
        <v>6</v>
      </c>
      <c r="J80" s="549">
        <v>7</v>
      </c>
      <c r="K80" s="550"/>
      <c r="L80" s="551"/>
      <c r="M80" s="552"/>
      <c r="N80" s="1155"/>
      <c r="O80" s="1155"/>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2682</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2741</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50000</v>
      </c>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4.4"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1" sqref="F3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6" t="s">
        <v>1393</v>
      </c>
      <c r="C6" s="1299">
        <f ca="1">ROUND(F6*F8*F7*(1-F9)/10000,0)</f>
        <v>5602</v>
      </c>
      <c r="D6" s="164" t="s">
        <v>3025</v>
      </c>
      <c r="E6" s="347" t="s">
        <v>1395</v>
      </c>
      <c r="F6" s="348">
        <f ca="1">INDIRECT("'数据-取费表'!u"&amp;$G$1)</f>
        <v>3.9656436792559644</v>
      </c>
      <c r="G6" s="1853"/>
      <c r="H6" s="1294" t="s">
        <v>1035</v>
      </c>
      <c r="I6" s="3216" t="s">
        <v>1393</v>
      </c>
      <c r="J6" s="346">
        <f ca="1">ROUND(M6*M8*M7*(1-M9)/10000,0)</f>
        <v>0</v>
      </c>
      <c r="K6" s="164" t="s">
        <v>3024</v>
      </c>
      <c r="L6" s="347" t="s">
        <v>1395</v>
      </c>
      <c r="M6" s="348">
        <f ca="1">INDIRECT("'数据-取费表'!z"&amp;$G$1)</f>
        <v>0</v>
      </c>
    </row>
    <row r="7" spans="1:37" ht="18" customHeight="1">
      <c r="A7" s="1298"/>
      <c r="B7" s="3217"/>
      <c r="C7" s="1300"/>
      <c r="D7" s="352"/>
      <c r="E7" s="1301" t="s">
        <v>1396</v>
      </c>
      <c r="F7" s="348">
        <f ca="1">IF(INDIRECT("'数据-取费表'!ah"&amp;$G$1)="",INDIRECT("'数据-取费表'!k"&amp;$G$1),INDIRECT("'数据-取费表'!ah"&amp;$G$1))</f>
        <v>38702.28</v>
      </c>
      <c r="G7" s="1853"/>
      <c r="H7" s="349"/>
      <c r="I7" s="3217"/>
      <c r="J7" s="351"/>
      <c r="K7" s="352"/>
      <c r="L7" s="347" t="s">
        <v>1396</v>
      </c>
      <c r="M7" s="348">
        <f ca="1">F7</f>
        <v>38702.28</v>
      </c>
    </row>
    <row r="8" spans="1:37" ht="18" customHeight="1">
      <c r="A8" s="349"/>
      <c r="B8" s="3217"/>
      <c r="C8" s="351"/>
      <c r="D8" s="352"/>
      <c r="E8" s="347" t="s">
        <v>1397</v>
      </c>
      <c r="F8" s="348">
        <f ca="1">INDIRECT("'数据-取费表'!ai"&amp;$G$1)</f>
        <v>365</v>
      </c>
      <c r="G8" s="1853"/>
      <c r="H8" s="349"/>
      <c r="I8" s="3217"/>
      <c r="J8" s="351"/>
      <c r="K8" s="352"/>
      <c r="L8" s="347" t="s">
        <v>1397</v>
      </c>
      <c r="M8" s="348">
        <f ca="1">INDIRECT("'数据-取费表'!ai"&amp;$G$1)</f>
        <v>365</v>
      </c>
    </row>
    <row r="9" spans="1:37" ht="18" customHeight="1">
      <c r="A9" s="349"/>
      <c r="B9" s="3218"/>
      <c r="C9" s="351"/>
      <c r="D9" s="352"/>
      <c r="E9" s="347" t="s">
        <v>1398</v>
      </c>
      <c r="F9" s="357">
        <f ca="1">INDIRECT("'数据-取费表'!w"&amp;$G$1)</f>
        <v>0</v>
      </c>
      <c r="G9" s="1853"/>
      <c r="H9" s="349"/>
      <c r="I9" s="3218"/>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0.92999999999999994</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8"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8"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40.200000000000003"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8"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8"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8"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8"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36.6"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4" t="s">
        <v>1538</v>
      </c>
      <c r="L53" s="3215"/>
      <c r="O53" s="1886" t="s">
        <v>1046</v>
      </c>
      <c r="P53" s="1887" t="s">
        <v>1539</v>
      </c>
      <c r="Q53" s="1888">
        <f ca="1">Q47+Q48</f>
        <v>71272</v>
      </c>
      <c r="R53" s="1888" t="s">
        <v>1047</v>
      </c>
    </row>
    <row r="54" spans="1:18" s="1844" customFormat="1" ht="24.6"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8"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37.200000000000003"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6"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6"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6"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2"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8"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8"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8"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8"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8"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2"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24.6"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2"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8"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8" thickBot="1">
      <c r="A70" s="1176"/>
      <c r="B70" s="1177"/>
      <c r="C70" s="355"/>
      <c r="D70" s="1188"/>
      <c r="E70" s="1172" t="s">
        <v>1467</v>
      </c>
      <c r="F70" s="1278"/>
      <c r="O70" s="1896" t="s">
        <v>1049</v>
      </c>
      <c r="P70" s="1936" t="s">
        <v>1575</v>
      </c>
      <c r="Q70" s="1888">
        <f ca="1">C13</f>
        <v>43962</v>
      </c>
      <c r="R70" s="1888" t="s">
        <v>1519</v>
      </c>
    </row>
    <row r="71" spans="1:18" s="1844" customFormat="1" ht="13.8"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8" thickBot="1">
      <c r="B72" s="796"/>
      <c r="C72" s="796"/>
      <c r="O72" s="1896" t="s">
        <v>1044</v>
      </c>
      <c r="P72" s="1887" t="s">
        <v>1554</v>
      </c>
      <c r="Q72" s="1899">
        <f>L52</f>
        <v>0</v>
      </c>
      <c r="R72" s="1888"/>
    </row>
    <row r="73" spans="1:18" ht="16.2" thickBot="1">
      <c r="A73" s="1844"/>
      <c r="B73" s="796"/>
      <c r="C73" s="796"/>
      <c r="D73" s="1844"/>
      <c r="E73" s="1844"/>
      <c r="F73" s="1844"/>
      <c r="O73" s="1896" t="s">
        <v>1045</v>
      </c>
      <c r="P73" s="1887" t="s">
        <v>1557</v>
      </c>
      <c r="Q73" s="1888" t="e">
        <f ca="1">L58</f>
        <v>#DIV/0!</v>
      </c>
      <c r="R73" s="1888" t="s">
        <v>1558</v>
      </c>
    </row>
    <row r="74" spans="1:18" ht="13.8"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8"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6" t="s">
        <v>1393</v>
      </c>
      <c r="C6" s="1299">
        <f ca="1">ROUND(F6*F8*F7*(1-F9),0)</f>
        <v>0</v>
      </c>
      <c r="D6" s="164" t="s">
        <v>3022</v>
      </c>
      <c r="E6" s="347" t="s">
        <v>1395</v>
      </c>
      <c r="F6" s="348">
        <f ca="1">INDIRECT("'数据-取费表'!u"&amp;$G$1)</f>
        <v>0</v>
      </c>
      <c r="G6" s="1853"/>
      <c r="H6" s="1294" t="s">
        <v>1035</v>
      </c>
      <c r="I6" s="3216" t="s">
        <v>1393</v>
      </c>
      <c r="J6" s="346">
        <f ca="1">ROUND(M6*M8*M7*(1-M9),0)</f>
        <v>0</v>
      </c>
      <c r="K6" s="1836" t="s">
        <v>3023</v>
      </c>
      <c r="L6" s="347" t="s">
        <v>1395</v>
      </c>
      <c r="M6" s="348">
        <f ca="1">INDIRECT("'数据-取费表'!z"&amp;$G$1)</f>
        <v>0</v>
      </c>
    </row>
    <row r="7" spans="1:37" ht="18" customHeight="1">
      <c r="A7" s="1298"/>
      <c r="B7" s="3217"/>
      <c r="C7" s="1300"/>
      <c r="D7" s="352"/>
      <c r="E7" s="1301" t="s">
        <v>1396</v>
      </c>
      <c r="F7" s="348">
        <f ca="1">IF(INDIRECT("'数据-取费表'!ah"&amp;$G$1)="",INDIRECT("'数据-取费表'!k"&amp;$G$1),INDIRECT("'数据-取费表'!ah"&amp;$G$1))</f>
        <v>0</v>
      </c>
      <c r="G7" s="1853"/>
      <c r="H7" s="349"/>
      <c r="I7" s="3217"/>
      <c r="J7" s="351"/>
      <c r="K7" s="352"/>
      <c r="L7" s="347" t="s">
        <v>1396</v>
      </c>
      <c r="M7" s="348">
        <f ca="1">F7</f>
        <v>0</v>
      </c>
    </row>
    <row r="8" spans="1:37" ht="18" customHeight="1">
      <c r="A8" s="349"/>
      <c r="B8" s="3217"/>
      <c r="C8" s="351"/>
      <c r="D8" s="352"/>
      <c r="E8" s="347" t="s">
        <v>1397</v>
      </c>
      <c r="F8" s="348">
        <f ca="1">INDIRECT("'数据-取费表'!ai"&amp;$G$1)</f>
        <v>0</v>
      </c>
      <c r="G8" s="1853"/>
      <c r="H8" s="349"/>
      <c r="I8" s="3217"/>
      <c r="J8" s="351"/>
      <c r="K8" s="352"/>
      <c r="L8" s="347" t="s">
        <v>1397</v>
      </c>
      <c r="M8" s="348">
        <f ca="1">INDIRECT("'数据-取费表'!ai"&amp;$G$1)</f>
        <v>0</v>
      </c>
    </row>
    <row r="9" spans="1:37" ht="18" customHeight="1">
      <c r="A9" s="349"/>
      <c r="B9" s="3218"/>
      <c r="C9" s="351"/>
      <c r="D9" s="352"/>
      <c r="E9" s="347" t="s">
        <v>1398</v>
      </c>
      <c r="F9" s="357">
        <f ca="1">INDIRECT("'数据-取费表'!w"&amp;$G$1)</f>
        <v>0</v>
      </c>
      <c r="G9" s="1853"/>
      <c r="H9" s="349"/>
      <c r="I9" s="3218"/>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8"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8"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40.200000000000003"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8"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8"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8"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8"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4" t="s">
        <v>1538</v>
      </c>
      <c r="L53" s="3215"/>
      <c r="O53" s="1886" t="s">
        <v>1046</v>
      </c>
      <c r="P53" s="1887" t="s">
        <v>1539</v>
      </c>
      <c r="Q53" s="1888" t="e">
        <f ca="1">Q47+Q48</f>
        <v>#DIV/0!</v>
      </c>
      <c r="R53" s="1888" t="s">
        <v>1047</v>
      </c>
    </row>
    <row r="54" spans="1:18" s="1844" customFormat="1" ht="13.8"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8"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6"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6"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6"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2"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8"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8"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8"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8"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8"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2"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24.6"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2"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8" thickBot="1">
      <c r="A69" s="1173"/>
      <c r="B69" s="1174"/>
      <c r="C69" s="351"/>
      <c r="D69" s="1192" t="s">
        <v>1463</v>
      </c>
      <c r="E69" s="1172" t="s">
        <v>1464</v>
      </c>
      <c r="F69" s="379">
        <f ca="1">F41</f>
        <v>0</v>
      </c>
      <c r="O69" s="1896" t="s">
        <v>1048</v>
      </c>
      <c r="P69" s="1936" t="s">
        <v>1574</v>
      </c>
      <c r="Q69" s="1888">
        <f ca="1">C39</f>
        <v>0</v>
      </c>
      <c r="R69" s="1888" t="s">
        <v>1519</v>
      </c>
    </row>
    <row r="70" spans="1:18" s="1844" customFormat="1" ht="13.8" thickBot="1">
      <c r="A70" s="1176"/>
      <c r="B70" s="1177"/>
      <c r="C70" s="355"/>
      <c r="D70" s="1188"/>
      <c r="E70" s="1172" t="s">
        <v>1467</v>
      </c>
      <c r="F70" s="1278">
        <f ca="1">F42</f>
        <v>0</v>
      </c>
      <c r="O70" s="1896" t="s">
        <v>1049</v>
      </c>
      <c r="P70" s="1936" t="s">
        <v>1575</v>
      </c>
      <c r="Q70" s="1888">
        <f ca="1">C13</f>
        <v>0</v>
      </c>
      <c r="R70" s="1888" t="s">
        <v>1519</v>
      </c>
    </row>
    <row r="71" spans="1:18" s="1844" customFormat="1" ht="13.8"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8" thickBot="1">
      <c r="B72" s="796"/>
      <c r="C72" s="796"/>
      <c r="O72" s="1896" t="s">
        <v>1044</v>
      </c>
      <c r="P72" s="1887" t="s">
        <v>1554</v>
      </c>
      <c r="Q72" s="1899">
        <f>L52</f>
        <v>0</v>
      </c>
      <c r="R72" s="1888"/>
    </row>
    <row r="73" spans="1:18" ht="16.2" thickBot="1">
      <c r="A73" s="1844"/>
      <c r="B73" s="796"/>
      <c r="C73" s="796"/>
      <c r="D73" s="1844"/>
      <c r="E73" s="1844"/>
      <c r="F73" s="1844"/>
      <c r="O73" s="1896" t="s">
        <v>1045</v>
      </c>
      <c r="P73" s="1887" t="s">
        <v>1557</v>
      </c>
      <c r="Q73" s="1888" t="e">
        <f ca="1">L58</f>
        <v>#DIV/0!</v>
      </c>
      <c r="R73" s="1888" t="s">
        <v>1558</v>
      </c>
    </row>
    <row r="74" spans="1:18" ht="13.8"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8"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6" t="s">
        <v>2517</v>
      </c>
      <c r="B1" s="2567"/>
      <c r="C1" s="2567"/>
      <c r="D1" s="2567"/>
      <c r="E1" s="2568"/>
    </row>
    <row r="2" spans="1:6" ht="15.6">
      <c r="A2" s="2569" t="s">
        <v>2318</v>
      </c>
      <c r="B2" s="2570">
        <f ca="1">SUMIF(B6:B13,"&lt;&gt;#ref!",B6:B13)</f>
        <v>71272</v>
      </c>
      <c r="C2" s="2571" t="s">
        <v>2510</v>
      </c>
      <c r="D2" s="2572" t="s">
        <v>2511</v>
      </c>
      <c r="E2" s="2573">
        <f>SUM(E6:E13)</f>
        <v>38702.28</v>
      </c>
    </row>
    <row r="3" spans="1:6" ht="15.6">
      <c r="A3" s="2569" t="s">
        <v>1385</v>
      </c>
      <c r="B3" s="2570">
        <f ca="1">ROUND(B2*10000/E2,0)</f>
        <v>18415</v>
      </c>
      <c r="C3" s="2571" t="s">
        <v>2518</v>
      </c>
      <c r="D3" s="2574"/>
      <c r="E3" s="2575"/>
    </row>
    <row r="4" spans="1:6" ht="15.6">
      <c r="A4" s="2576"/>
      <c r="B4" s="2574"/>
      <c r="C4" s="2574"/>
      <c r="D4" s="2574"/>
      <c r="E4" s="2575"/>
    </row>
    <row r="5" spans="1:6" ht="14.4">
      <c r="A5" s="2577" t="s">
        <v>2512</v>
      </c>
      <c r="B5" s="3219" t="s">
        <v>2513</v>
      </c>
      <c r="C5" s="3219"/>
      <c r="D5" s="2578"/>
      <c r="E5" s="2579" t="s">
        <v>2514</v>
      </c>
      <c r="F5" s="2580" t="s">
        <v>2515</v>
      </c>
    </row>
    <row r="6" spans="1:6" ht="14.4">
      <c r="A6" s="2581" t="str">
        <f>'数据-取费表'!AN6</f>
        <v>收益法</v>
      </c>
      <c r="B6" s="2580">
        <f ca="1">IF(F6="是",'数据-取费表'!AO6,0)</f>
        <v>71272</v>
      </c>
      <c r="C6" s="2571" t="s">
        <v>2510</v>
      </c>
      <c r="D6" s="2574"/>
      <c r="E6" s="2582">
        <f>IF(OR(A6=0,F6="否"),0,'数据-取费表'!K6+'数据-取费表'!S6)</f>
        <v>38702.28</v>
      </c>
      <c r="F6" s="2583" t="s">
        <v>2516</v>
      </c>
    </row>
    <row r="7" spans="1:6" ht="14.4">
      <c r="A7" s="2581">
        <f>'数据-取费表'!AN7</f>
        <v>0</v>
      </c>
      <c r="B7" s="2580" t="e">
        <f ca="1">IF(F7="是",'数据-取费表'!AO7,0)</f>
        <v>#REF!</v>
      </c>
      <c r="C7" s="2571" t="s">
        <v>2510</v>
      </c>
      <c r="D7" s="2574"/>
      <c r="E7" s="2582">
        <f>IF(OR(A7=0,F7="否"),0,'数据-取费表'!K7+'数据-取费表'!S7)</f>
        <v>0</v>
      </c>
      <c r="F7" s="2583" t="s">
        <v>2516</v>
      </c>
    </row>
    <row r="8" spans="1:6" ht="14.4">
      <c r="A8" s="2581">
        <f>'数据-取费表'!AN8</f>
        <v>0</v>
      </c>
      <c r="B8" s="2580" t="e">
        <f ca="1">IF(F8="是",'数据-取费表'!AO8,0)</f>
        <v>#REF!</v>
      </c>
      <c r="C8" s="2571" t="s">
        <v>2510</v>
      </c>
      <c r="D8" s="2574"/>
      <c r="E8" s="2582">
        <f>IF(OR(A8=0,F8="否"),0,'数据-取费表'!K8+'数据-取费表'!S8)</f>
        <v>0</v>
      </c>
      <c r="F8" s="2583" t="s">
        <v>2516</v>
      </c>
    </row>
    <row r="9" spans="1:6" ht="14.4">
      <c r="A9" s="2581">
        <f>'数据-取费表'!AN9</f>
        <v>0</v>
      </c>
      <c r="B9" s="2580" t="e">
        <f ca="1">IF(F9="是",'数据-取费表'!AO9,0)</f>
        <v>#REF!</v>
      </c>
      <c r="C9" s="2571" t="s">
        <v>2510</v>
      </c>
      <c r="D9" s="2574"/>
      <c r="E9" s="2582">
        <f>IF(OR(A9=0,F9="否"),0,'数据-取费表'!K9+'数据-取费表'!S9)</f>
        <v>0</v>
      </c>
      <c r="F9" s="2583" t="s">
        <v>2516</v>
      </c>
    </row>
    <row r="10" spans="1:6" ht="14.4">
      <c r="A10" s="2581">
        <f>'数据-取费表'!AN10</f>
        <v>0</v>
      </c>
      <c r="B10" s="2580" t="e">
        <f ca="1">IF(F10="是",'数据-取费表'!AO10,0)</f>
        <v>#REF!</v>
      </c>
      <c r="C10" s="2571" t="s">
        <v>2510</v>
      </c>
      <c r="D10" s="2574"/>
      <c r="E10" s="2582">
        <f>IF(OR(A10=0,F10="否"),0,'数据-取费表'!K10+'数据-取费表'!S10)</f>
        <v>0</v>
      </c>
      <c r="F10" s="2583" t="s">
        <v>2516</v>
      </c>
    </row>
    <row r="11" spans="1:6" ht="14.4">
      <c r="A11" s="2581">
        <f>'数据-取费表'!AN11</f>
        <v>0</v>
      </c>
      <c r="B11" s="2580" t="e">
        <f ca="1">IF(F11="是",'数据-取费表'!AO11,0)</f>
        <v>#REF!</v>
      </c>
      <c r="C11" s="2571" t="s">
        <v>2510</v>
      </c>
      <c r="D11" s="2574"/>
      <c r="E11" s="2582">
        <f>IF(OR(A11=0,F11="否"),0,'数据-取费表'!K11+'数据-取费表'!S11)</f>
        <v>0</v>
      </c>
      <c r="F11" s="2583" t="s">
        <v>2516</v>
      </c>
    </row>
    <row r="12" spans="1:6" ht="14.4">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4" workbookViewId="0">
      <selection activeCell="J32" sqref="J32"/>
    </sheetView>
  </sheetViews>
  <sheetFormatPr defaultRowHeight="14.4"/>
  <cols>
    <col min="1" max="1" width="10.44140625" customWidth="1"/>
    <col min="2" max="2" width="12.88671875" customWidth="1"/>
    <col min="3" max="3" width="8.77734375" customWidth="1"/>
  </cols>
  <sheetData>
    <row r="1" spans="1:9" ht="15.6">
      <c r="A1" s="3220" t="s">
        <v>1076</v>
      </c>
      <c r="B1" s="3221"/>
      <c r="C1" s="3222"/>
      <c r="D1" s="3223">
        <f>SUM(I10,I15,I20,I21,I23)</f>
        <v>12449</v>
      </c>
      <c r="E1" s="3223"/>
      <c r="F1" s="3223"/>
      <c r="G1" s="3223"/>
      <c r="H1" s="3223"/>
      <c r="I1" s="3224"/>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f>100+169+36+1</f>
        <v>306</v>
      </c>
      <c r="E3" s="1304">
        <v>880</v>
      </c>
      <c r="F3" s="1307">
        <v>1</v>
      </c>
      <c r="G3" s="1307">
        <v>0.8</v>
      </c>
      <c r="H3" s="1308">
        <v>365</v>
      </c>
      <c r="I3" s="1309">
        <f>ROUND(D3*E3*F3*G3*H3/10000,0)</f>
        <v>7863</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7863</v>
      </c>
    </row>
    <row r="11" spans="1:9" ht="15.6">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v>3600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3600</v>
      </c>
    </row>
    <row r="16" spans="1:9" ht="24">
      <c r="A16" s="3225" t="s">
        <v>1102</v>
      </c>
      <c r="B16" s="3226" t="s">
        <v>1103</v>
      </c>
      <c r="C16" s="3226"/>
      <c r="D16" s="1306" t="s">
        <v>1079</v>
      </c>
      <c r="E16" s="1317" t="s">
        <v>1104</v>
      </c>
      <c r="F16" s="1307" t="s">
        <v>1105</v>
      </c>
      <c r="G16" s="1308" t="s">
        <v>1083</v>
      </c>
      <c r="H16" s="1314" t="s">
        <v>1098</v>
      </c>
      <c r="I16" s="1305" t="s">
        <v>1084</v>
      </c>
    </row>
    <row r="17" spans="1:9" ht="15.6">
      <c r="A17" s="3225"/>
      <c r="B17" s="3226" t="s">
        <v>1106</v>
      </c>
      <c r="C17" s="3226"/>
      <c r="D17" s="1306"/>
      <c r="E17" s="1306"/>
      <c r="F17" s="1307"/>
      <c r="G17" s="1308"/>
      <c r="H17" s="1318"/>
      <c r="I17" s="1319">
        <v>200</v>
      </c>
    </row>
    <row r="18" spans="1:9" ht="15.6">
      <c r="A18" s="3225"/>
      <c r="B18" s="3226" t="s">
        <v>1107</v>
      </c>
      <c r="C18" s="3226"/>
      <c r="D18" s="1306"/>
      <c r="E18" s="1306"/>
      <c r="F18" s="1307"/>
      <c r="G18" s="1308"/>
      <c r="H18" s="1318"/>
      <c r="I18" s="1319">
        <f>ROUND(D18*E18*F18*G18/10000,0)</f>
        <v>0</v>
      </c>
    </row>
    <row r="19" spans="1:9" ht="15.6">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200</v>
      </c>
    </row>
    <row r="21" spans="1:9">
      <c r="A21" s="3225" t="s">
        <v>1109</v>
      </c>
      <c r="B21" s="3229"/>
      <c r="C21" s="3229"/>
      <c r="D21" s="3229"/>
      <c r="E21" s="3229"/>
      <c r="F21" s="3229"/>
      <c r="G21" s="3229"/>
      <c r="H21" s="1767">
        <v>0.1</v>
      </c>
      <c r="I21" s="1313">
        <f>ROUND(I10*H21,0)</f>
        <v>786</v>
      </c>
    </row>
    <row r="22" spans="1:9" ht="15.6">
      <c r="A22" s="3230" t="s">
        <v>1110</v>
      </c>
      <c r="B22" s="3231"/>
      <c r="C22" s="3232"/>
      <c r="D22" s="1320" t="s">
        <v>1111</v>
      </c>
      <c r="E22" s="1320" t="s">
        <v>1112</v>
      </c>
      <c r="F22" s="1321" t="s">
        <v>1113</v>
      </c>
      <c r="G22" s="1321" t="s">
        <v>1114</v>
      </c>
      <c r="H22" s="1314" t="s">
        <v>1115</v>
      </c>
      <c r="I22" s="1305" t="s">
        <v>1116</v>
      </c>
    </row>
    <row r="23" spans="1:9" ht="15" thickBot="1">
      <c r="A23" s="3233"/>
      <c r="B23" s="3234"/>
      <c r="C23" s="3235"/>
      <c r="D23" s="1322"/>
      <c r="E23" s="1322"/>
      <c r="F23" s="1322"/>
      <c r="G23" s="1323"/>
      <c r="H23" s="1324"/>
      <c r="I23" s="1325">
        <f>ROUND(E23*D23*F23*(1-G23)/10000,0)</f>
        <v>0</v>
      </c>
    </row>
    <row r="26" spans="1:9">
      <c r="A26" s="1326" t="s">
        <v>1117</v>
      </c>
      <c r="B26" s="1326"/>
      <c r="C26" s="1326"/>
      <c r="D26" s="1326"/>
      <c r="E26" s="3236">
        <f>C27-C30-C31-C32</f>
        <v>5602</v>
      </c>
      <c r="F26" s="3236"/>
      <c r="G26" s="3236"/>
      <c r="H26" s="1740" t="s">
        <v>1340</v>
      </c>
    </row>
    <row r="27" spans="1:9">
      <c r="A27" s="1327">
        <v>1</v>
      </c>
      <c r="B27" s="1328" t="s">
        <v>1118</v>
      </c>
      <c r="C27" s="1328">
        <f>C28+C29</f>
        <v>12449</v>
      </c>
      <c r="D27" s="1328"/>
      <c r="E27" s="3237"/>
      <c r="F27" s="3237"/>
      <c r="G27" s="3237"/>
    </row>
    <row r="28" spans="1:9">
      <c r="A28" s="1329" t="s">
        <v>1119</v>
      </c>
      <c r="B28" s="1328" t="s">
        <v>1120</v>
      </c>
      <c r="C28" s="1328">
        <f>I10</f>
        <v>7863</v>
      </c>
      <c r="D28" s="1328"/>
      <c r="E28" s="3237"/>
      <c r="F28" s="3237"/>
      <c r="G28" s="3237"/>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8"/>
      <c r="F32" s="3228"/>
      <c r="G32" s="3228"/>
    </row>
    <row r="33" spans="1:7" hidden="1">
      <c r="A33" s="3238" t="s">
        <v>1129</v>
      </c>
      <c r="B33" s="3239"/>
      <c r="C33" s="3239"/>
      <c r="D33" s="3240"/>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8" t="s">
        <v>1134</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4.4">
      <c r="A4" s="401" t="s">
        <v>2526</v>
      </c>
      <c r="B4" s="402"/>
      <c r="C4" s="3189" t="s">
        <v>2527</v>
      </c>
      <c r="D4" s="3190"/>
      <c r="E4" s="3191" t="s">
        <v>2528</v>
      </c>
      <c r="F4" s="3192"/>
      <c r="G4" s="3189" t="s">
        <v>2529</v>
      </c>
      <c r="H4" s="3190"/>
      <c r="I4" s="3189" t="s">
        <v>2530</v>
      </c>
      <c r="J4" s="3190"/>
      <c r="K4" s="2601" t="s">
        <v>2531</v>
      </c>
      <c r="L4" s="1133"/>
      <c r="M4" s="1134"/>
      <c r="N4" s="1134"/>
      <c r="O4" s="1134"/>
      <c r="P4" s="3193" t="s">
        <v>2532</v>
      </c>
      <c r="Q4" s="3194"/>
      <c r="R4" s="3176" t="s">
        <v>2528</v>
      </c>
      <c r="S4" s="3177"/>
      <c r="T4" s="3176" t="s">
        <v>2529</v>
      </c>
      <c r="U4" s="3177"/>
      <c r="V4" s="3201" t="s">
        <v>2530</v>
      </c>
      <c r="W4" s="3201"/>
      <c r="X4" s="1815"/>
      <c r="Y4" s="3176" t="s">
        <v>2532</v>
      </c>
      <c r="Z4" s="3177"/>
      <c r="AA4" s="3171" t="s">
        <v>2528</v>
      </c>
      <c r="AB4" s="3171" t="s">
        <v>2529</v>
      </c>
      <c r="AC4" s="3171" t="s">
        <v>2530</v>
      </c>
    </row>
    <row r="5" spans="1:29">
      <c r="A5" s="404"/>
      <c r="B5" s="405"/>
      <c r="C5" s="3182" t="s">
        <v>2533</v>
      </c>
      <c r="D5" s="3183"/>
      <c r="E5" s="3180" t="s">
        <v>2534</v>
      </c>
      <c r="F5" s="3181"/>
      <c r="G5" s="3182" t="s">
        <v>2535</v>
      </c>
      <c r="H5" s="3183"/>
      <c r="I5" s="3182" t="s">
        <v>2536</v>
      </c>
      <c r="J5" s="3183"/>
      <c r="K5" s="2602"/>
      <c r="L5" s="1133"/>
      <c r="M5" s="1134"/>
      <c r="N5" s="1134"/>
      <c r="O5" s="1134"/>
      <c r="P5" s="3195"/>
      <c r="Q5" s="3196"/>
      <c r="R5" s="3178"/>
      <c r="S5" s="3179"/>
      <c r="T5" s="3178"/>
      <c r="U5" s="3179"/>
      <c r="V5" s="3201"/>
      <c r="W5" s="3201"/>
      <c r="X5" s="1815"/>
      <c r="Y5" s="3178"/>
      <c r="Z5" s="3179"/>
      <c r="AA5" s="3172"/>
      <c r="AB5" s="3172"/>
      <c r="AC5" s="3172"/>
    </row>
    <row r="6" spans="1:29" ht="15" thickBot="1">
      <c r="A6" s="406"/>
      <c r="B6" s="407"/>
      <c r="C6" s="3184" t="s">
        <v>2537</v>
      </c>
      <c r="D6" s="3185"/>
      <c r="E6" s="3186" t="s">
        <v>2537</v>
      </c>
      <c r="F6" s="3187"/>
      <c r="G6" s="3184" t="s">
        <v>2537</v>
      </c>
      <c r="H6" s="3185"/>
      <c r="I6" s="3184" t="s">
        <v>2537</v>
      </c>
      <c r="J6" s="3185"/>
      <c r="K6" s="2602" t="s">
        <v>2538</v>
      </c>
      <c r="L6" s="1133"/>
      <c r="M6" s="1134"/>
      <c r="N6" s="1134"/>
      <c r="O6" s="1134"/>
      <c r="P6" s="3197"/>
      <c r="Q6" s="3198"/>
      <c r="R6" s="3178"/>
      <c r="S6" s="3179"/>
      <c r="T6" s="3199"/>
      <c r="U6" s="3200"/>
      <c r="V6" s="3201"/>
      <c r="W6" s="3201"/>
      <c r="X6" s="1815"/>
      <c r="Y6" s="3199"/>
      <c r="Z6" s="3200"/>
      <c r="AA6" s="3173"/>
      <c r="AB6" s="3173"/>
      <c r="AC6" s="3173"/>
    </row>
    <row r="7" spans="1:29" s="117" customFormat="1" ht="1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4" t="s">
        <v>2540</v>
      </c>
      <c r="Q7" s="3202"/>
      <c r="R7" s="770" t="s">
        <v>23</v>
      </c>
      <c r="S7" s="771">
        <f t="shared" ref="S7:S15" si="0">F7</f>
        <v>0</v>
      </c>
      <c r="T7" s="770" t="s">
        <v>23</v>
      </c>
      <c r="U7" s="771">
        <f t="shared" ref="U7:U15" si="1">H7</f>
        <v>0</v>
      </c>
      <c r="V7" s="770" t="s">
        <v>23</v>
      </c>
      <c r="W7" s="771">
        <f t="shared" ref="W7:W15" si="2">J7</f>
        <v>0</v>
      </c>
      <c r="X7" s="772"/>
      <c r="Y7" s="3174" t="s">
        <v>2540</v>
      </c>
      <c r="Z7" s="3175"/>
      <c r="AA7" s="773" t="e">
        <f>D7/F7</f>
        <v>#DIV/0!</v>
      </c>
      <c r="AB7" s="773" t="e">
        <f>D7/H7</f>
        <v>#DIV/0!</v>
      </c>
      <c r="AC7" s="773" t="e">
        <f>D7/J7</f>
        <v>#DIV/0!</v>
      </c>
    </row>
    <row r="8" spans="1:29" s="117" customFormat="1" ht="1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4" t="s">
        <v>2543</v>
      </c>
      <c r="Q8" s="3175"/>
      <c r="R8" s="770" t="s">
        <v>23</v>
      </c>
      <c r="S8" s="771">
        <f t="shared" si="0"/>
        <v>0</v>
      </c>
      <c r="T8" s="770" t="s">
        <v>23</v>
      </c>
      <c r="U8" s="771">
        <f t="shared" si="1"/>
        <v>0</v>
      </c>
      <c r="V8" s="770" t="s">
        <v>23</v>
      </c>
      <c r="W8" s="771">
        <f t="shared" si="2"/>
        <v>0</v>
      </c>
      <c r="X8" s="772"/>
      <c r="Y8" s="3174" t="s">
        <v>2543</v>
      </c>
      <c r="Z8" s="3175"/>
      <c r="AA8" s="773" t="e">
        <f t="shared" ref="AA8:AA19" si="3">D8/F8</f>
        <v>#DIV/0!</v>
      </c>
      <c r="AB8" s="773" t="e">
        <f t="shared" ref="AB8:AB19" si="4">D8/H8</f>
        <v>#DIV/0!</v>
      </c>
      <c r="AC8" s="773" t="e">
        <f t="shared" ref="AC8:AC19" si="5">D8/J8</f>
        <v>#DIV/0!</v>
      </c>
    </row>
    <row r="9" spans="1:29" s="117" customFormat="1" ht="14.4">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12"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2"/>
      <c r="Q11" s="1797"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12"/>
      <c r="Q12" s="1797">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12"/>
      <c r="Q13" s="1797">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6"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12"/>
      <c r="Q14" s="1797">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6.6">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7" t="s">
        <v>2551</v>
      </c>
      <c r="Q15" s="1812" t="str">
        <f t="shared" si="6"/>
        <v>居住社区成熟度</v>
      </c>
      <c r="R15" s="774" t="s">
        <v>21</v>
      </c>
      <c r="S15" s="775">
        <f t="shared" si="0"/>
        <v>100</v>
      </c>
      <c r="T15" s="774" t="s">
        <v>21</v>
      </c>
      <c r="U15" s="775">
        <f t="shared" si="1"/>
        <v>100</v>
      </c>
      <c r="V15" s="774" t="s">
        <v>21</v>
      </c>
      <c r="W15" s="775">
        <f t="shared" si="2"/>
        <v>100</v>
      </c>
      <c r="X15" s="1815"/>
      <c r="Y15" s="3203"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8"/>
      <c r="Q16" s="1812"/>
      <c r="R16" s="774"/>
      <c r="S16" s="775"/>
      <c r="T16" s="774"/>
      <c r="U16" s="775"/>
      <c r="V16" s="774"/>
      <c r="W16" s="775"/>
      <c r="X16" s="1815"/>
      <c r="Y16" s="3204"/>
      <c r="Z16" s="1816"/>
      <c r="AA16" s="1813">
        <v>1</v>
      </c>
      <c r="AB16" s="1813">
        <v>1</v>
      </c>
      <c r="AC16" s="1813">
        <v>1</v>
      </c>
    </row>
    <row r="17" spans="1:29" ht="96.6">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8"/>
      <c r="Q17" s="1812" t="str">
        <f>B17</f>
        <v>交通便捷度</v>
      </c>
      <c r="R17" s="774" t="s">
        <v>21</v>
      </c>
      <c r="S17" s="775">
        <f>F17</f>
        <v>100</v>
      </c>
      <c r="T17" s="774" t="s">
        <v>21</v>
      </c>
      <c r="U17" s="775">
        <f>H17</f>
        <v>100</v>
      </c>
      <c r="V17" s="774" t="s">
        <v>21</v>
      </c>
      <c r="W17" s="775">
        <f>J17</f>
        <v>100</v>
      </c>
      <c r="X17" s="1815"/>
      <c r="Y17" s="3204"/>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8"/>
      <c r="Q18" s="1812"/>
      <c r="R18" s="774"/>
      <c r="S18" s="775"/>
      <c r="T18" s="774"/>
      <c r="U18" s="775"/>
      <c r="V18" s="774"/>
      <c r="W18" s="775"/>
      <c r="X18" s="1815"/>
      <c r="Y18" s="3204"/>
      <c r="Z18" s="1816"/>
      <c r="AA18" s="1813">
        <v>1</v>
      </c>
      <c r="AB18" s="1813">
        <v>1</v>
      </c>
      <c r="AC18" s="1813">
        <v>1</v>
      </c>
    </row>
    <row r="19" spans="1:29" ht="96.6">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8"/>
      <c r="Q19" s="1812" t="str">
        <f>B19</f>
        <v>公共配套设施</v>
      </c>
      <c r="R19" s="774" t="s">
        <v>21</v>
      </c>
      <c r="S19" s="775">
        <f>F19</f>
        <v>100</v>
      </c>
      <c r="T19" s="774" t="s">
        <v>21</v>
      </c>
      <c r="U19" s="775">
        <f>H19</f>
        <v>100</v>
      </c>
      <c r="V19" s="774" t="s">
        <v>21</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8"/>
      <c r="Q20" s="1812"/>
      <c r="R20" s="774"/>
      <c r="S20" s="775"/>
      <c r="T20" s="774"/>
      <c r="U20" s="775"/>
      <c r="V20" s="774"/>
      <c r="W20" s="775"/>
      <c r="X20" s="1815"/>
      <c r="Y20" s="3204"/>
      <c r="Z20" s="1816"/>
      <c r="AA20" s="1813">
        <v>1</v>
      </c>
      <c r="AB20" s="1813">
        <v>1</v>
      </c>
      <c r="AC20" s="1813">
        <v>1</v>
      </c>
    </row>
    <row r="21" spans="1:29" ht="27.6">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8"/>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8"/>
      <c r="Q22" s="1812"/>
      <c r="R22" s="774"/>
      <c r="S22" s="775"/>
      <c r="T22" s="774"/>
      <c r="U22" s="775"/>
      <c r="V22" s="774"/>
      <c r="W22" s="775"/>
      <c r="X22" s="1815"/>
      <c r="Y22" s="3204"/>
      <c r="Z22" s="1816"/>
      <c r="AA22" s="1813">
        <v>1</v>
      </c>
      <c r="AB22" s="1813">
        <v>1</v>
      </c>
      <c r="AC22" s="1813">
        <v>1</v>
      </c>
    </row>
    <row r="23" spans="1:29" ht="96.6">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8"/>
      <c r="Q23" s="1812" t="str">
        <f>B23</f>
        <v>自然及人文环境</v>
      </c>
      <c r="R23" s="774" t="s">
        <v>21</v>
      </c>
      <c r="S23" s="775">
        <f>F23</f>
        <v>100</v>
      </c>
      <c r="T23" s="774" t="s">
        <v>21</v>
      </c>
      <c r="U23" s="775">
        <f>H23</f>
        <v>100</v>
      </c>
      <c r="V23" s="774" t="s">
        <v>21</v>
      </c>
      <c r="W23" s="775">
        <f>J23</f>
        <v>100</v>
      </c>
      <c r="X23" s="1815"/>
      <c r="Y23" s="3204"/>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8"/>
      <c r="Q24" s="1812"/>
      <c r="R24" s="774"/>
      <c r="S24" s="775"/>
      <c r="T24" s="774"/>
      <c r="U24" s="775"/>
      <c r="V24" s="774"/>
      <c r="W24" s="775"/>
      <c r="X24" s="1815"/>
      <c r="Y24" s="3204"/>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4"/>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8"/>
      <c r="Q26" s="1812" t="str">
        <f t="shared" si="11"/>
        <v>朝向</v>
      </c>
      <c r="R26" s="774" t="s">
        <v>21</v>
      </c>
      <c r="S26" s="775">
        <f t="shared" si="12"/>
        <v>100</v>
      </c>
      <c r="T26" s="774" t="s">
        <v>21</v>
      </c>
      <c r="U26" s="775">
        <f t="shared" si="13"/>
        <v>100</v>
      </c>
      <c r="V26" s="774" t="s">
        <v>21</v>
      </c>
      <c r="W26" s="775">
        <f t="shared" si="14"/>
        <v>100</v>
      </c>
      <c r="X26" s="1815"/>
      <c r="Y26" s="3204"/>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8"/>
      <c r="Q27" s="1797">
        <f t="shared" si="11"/>
        <v>111</v>
      </c>
      <c r="R27" s="770" t="s">
        <v>21</v>
      </c>
      <c r="S27" s="771">
        <f t="shared" si="12"/>
        <v>100</v>
      </c>
      <c r="T27" s="770" t="s">
        <v>21</v>
      </c>
      <c r="U27" s="771">
        <f t="shared" si="13"/>
        <v>100</v>
      </c>
      <c r="V27" s="770" t="s">
        <v>21</v>
      </c>
      <c r="W27" s="771">
        <f t="shared" si="14"/>
        <v>100</v>
      </c>
      <c r="X27" s="772"/>
      <c r="Y27" s="3204"/>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8"/>
      <c r="Q28" s="1812">
        <f t="shared" si="11"/>
        <v>111</v>
      </c>
      <c r="R28" s="774" t="s">
        <v>21</v>
      </c>
      <c r="S28" s="775">
        <f t="shared" si="12"/>
        <v>100</v>
      </c>
      <c r="T28" s="774" t="s">
        <v>21</v>
      </c>
      <c r="U28" s="775">
        <f t="shared" si="13"/>
        <v>100</v>
      </c>
      <c r="V28" s="774" t="s">
        <v>21</v>
      </c>
      <c r="W28" s="775">
        <f t="shared" si="14"/>
        <v>100</v>
      </c>
      <c r="X28" s="1815"/>
      <c r="Y28" s="3204"/>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8"/>
      <c r="Q29" s="1812">
        <f t="shared" si="11"/>
        <v>111</v>
      </c>
      <c r="R29" s="774" t="s">
        <v>21</v>
      </c>
      <c r="S29" s="775">
        <f t="shared" si="12"/>
        <v>100</v>
      </c>
      <c r="T29" s="774" t="s">
        <v>21</v>
      </c>
      <c r="U29" s="775">
        <f t="shared" si="13"/>
        <v>100</v>
      </c>
      <c r="V29" s="774" t="s">
        <v>21</v>
      </c>
      <c r="W29" s="775">
        <f t="shared" si="14"/>
        <v>100</v>
      </c>
      <c r="X29" s="1815"/>
      <c r="Y29" s="3204"/>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8"/>
      <c r="Q30" s="1812">
        <f t="shared" si="11"/>
        <v>111</v>
      </c>
      <c r="R30" s="774" t="s">
        <v>21</v>
      </c>
      <c r="S30" s="775">
        <f t="shared" si="12"/>
        <v>100</v>
      </c>
      <c r="T30" s="774" t="s">
        <v>21</v>
      </c>
      <c r="U30" s="775">
        <f t="shared" si="13"/>
        <v>100</v>
      </c>
      <c r="V30" s="774" t="s">
        <v>21</v>
      </c>
      <c r="W30" s="775">
        <f t="shared" si="14"/>
        <v>100</v>
      </c>
      <c r="X30" s="1815"/>
      <c r="Y30" s="3204"/>
      <c r="Z30" s="1816">
        <f t="shared" si="18"/>
        <v>111</v>
      </c>
      <c r="AA30" s="1813">
        <f t="shared" si="15"/>
        <v>1</v>
      </c>
      <c r="AB30" s="1813">
        <f t="shared" si="16"/>
        <v>1</v>
      </c>
      <c r="AC30" s="1813">
        <f t="shared" si="17"/>
        <v>1</v>
      </c>
    </row>
    <row r="31" spans="1:29" ht="15.6"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8"/>
      <c r="Q31" s="1812">
        <f t="shared" si="11"/>
        <v>111</v>
      </c>
      <c r="R31" s="774" t="s">
        <v>21</v>
      </c>
      <c r="S31" s="775">
        <f t="shared" si="12"/>
        <v>100</v>
      </c>
      <c r="T31" s="774" t="s">
        <v>21</v>
      </c>
      <c r="U31" s="775">
        <f t="shared" si="13"/>
        <v>100</v>
      </c>
      <c r="V31" s="774" t="s">
        <v>21</v>
      </c>
      <c r="W31" s="775">
        <f t="shared" si="14"/>
        <v>100</v>
      </c>
      <c r="X31" s="1815"/>
      <c r="Y31" s="3204"/>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3" t="s">
        <v>2556</v>
      </c>
      <c r="Q32" s="1812" t="str">
        <f t="shared" si="11"/>
        <v>建筑类型</v>
      </c>
      <c r="R32" s="774" t="s">
        <v>21</v>
      </c>
      <c r="S32" s="775">
        <f t="shared" si="12"/>
        <v>100</v>
      </c>
      <c r="T32" s="774" t="s">
        <v>21</v>
      </c>
      <c r="U32" s="775">
        <f t="shared" si="13"/>
        <v>100</v>
      </c>
      <c r="V32" s="774" t="s">
        <v>21</v>
      </c>
      <c r="W32" s="775">
        <f t="shared" si="14"/>
        <v>100</v>
      </c>
      <c r="X32" s="1815"/>
      <c r="Y32" s="3206"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4"/>
      <c r="Q34" s="1812" t="str">
        <f t="shared" si="11"/>
        <v>建筑结构</v>
      </c>
      <c r="R34" s="774" t="s">
        <v>21</v>
      </c>
      <c r="S34" s="775">
        <f t="shared" si="12"/>
        <v>100</v>
      </c>
      <c r="T34" s="774" t="s">
        <v>21</v>
      </c>
      <c r="U34" s="775">
        <f t="shared" si="13"/>
        <v>100</v>
      </c>
      <c r="V34" s="774" t="s">
        <v>21</v>
      </c>
      <c r="W34" s="775">
        <f t="shared" si="14"/>
        <v>100</v>
      </c>
      <c r="X34" s="1815"/>
      <c r="Y34" s="3206"/>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4"/>
      <c r="Q35" s="1812" t="str">
        <f t="shared" si="11"/>
        <v>建筑品质</v>
      </c>
      <c r="R35" s="774" t="s">
        <v>21</v>
      </c>
      <c r="S35" s="775">
        <f t="shared" si="12"/>
        <v>100</v>
      </c>
      <c r="T35" s="774" t="s">
        <v>21</v>
      </c>
      <c r="U35" s="775">
        <f t="shared" si="13"/>
        <v>100</v>
      </c>
      <c r="V35" s="774" t="s">
        <v>21</v>
      </c>
      <c r="W35" s="775">
        <f t="shared" si="14"/>
        <v>100</v>
      </c>
      <c r="X35" s="1815"/>
      <c r="Y35" s="3206"/>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4"/>
      <c r="Q36" s="1812" t="str">
        <f t="shared" si="11"/>
        <v>公共部分装修</v>
      </c>
      <c r="R36" s="774" t="s">
        <v>21</v>
      </c>
      <c r="S36" s="775">
        <f t="shared" si="12"/>
        <v>100</v>
      </c>
      <c r="T36" s="774" t="s">
        <v>21</v>
      </c>
      <c r="U36" s="775">
        <f t="shared" si="13"/>
        <v>100</v>
      </c>
      <c r="V36" s="774" t="s">
        <v>21</v>
      </c>
      <c r="W36" s="775">
        <f t="shared" si="14"/>
        <v>100</v>
      </c>
      <c r="X36" s="1815"/>
      <c r="Y36" s="3206"/>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7"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4" t="s">
        <v>2556</v>
      </c>
      <c r="Q38" s="1812" t="str">
        <f t="shared" si="11"/>
        <v>物业管理</v>
      </c>
      <c r="R38" s="774" t="s">
        <v>21</v>
      </c>
      <c r="S38" s="775">
        <f t="shared" si="12"/>
        <v>100</v>
      </c>
      <c r="T38" s="774" t="s">
        <v>21</v>
      </c>
      <c r="U38" s="775">
        <f t="shared" si="13"/>
        <v>100</v>
      </c>
      <c r="V38" s="774" t="s">
        <v>21</v>
      </c>
      <c r="W38" s="775">
        <f t="shared" si="14"/>
        <v>100</v>
      </c>
      <c r="X38" s="1815"/>
      <c r="Y38" s="3206"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4"/>
      <c r="Q39" s="1812" t="str">
        <f t="shared" si="11"/>
        <v>市政基础设施</v>
      </c>
      <c r="R39" s="774" t="s">
        <v>21</v>
      </c>
      <c r="S39" s="775">
        <f t="shared" si="12"/>
        <v>100</v>
      </c>
      <c r="T39" s="774" t="s">
        <v>21</v>
      </c>
      <c r="U39" s="775">
        <f t="shared" si="13"/>
        <v>100</v>
      </c>
      <c r="V39" s="774" t="s">
        <v>21</v>
      </c>
      <c r="W39" s="775">
        <f t="shared" si="14"/>
        <v>100</v>
      </c>
      <c r="X39" s="1815"/>
      <c r="Y39" s="3206"/>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4"/>
      <c r="Q40" s="1812" t="str">
        <f t="shared" si="11"/>
        <v>房型</v>
      </c>
      <c r="R40" s="774" t="s">
        <v>21</v>
      </c>
      <c r="S40" s="775">
        <f t="shared" si="12"/>
        <v>100</v>
      </c>
      <c r="T40" s="774" t="s">
        <v>21</v>
      </c>
      <c r="U40" s="775">
        <f t="shared" si="13"/>
        <v>100</v>
      </c>
      <c r="V40" s="774" t="s">
        <v>21</v>
      </c>
      <c r="W40" s="775">
        <f t="shared" si="14"/>
        <v>100</v>
      </c>
      <c r="X40" s="1815"/>
      <c r="Y40" s="3206"/>
      <c r="Z40" s="1816" t="str">
        <f t="shared" si="18"/>
        <v>房型</v>
      </c>
      <c r="AA40" s="1813">
        <f t="shared" si="15"/>
        <v>1</v>
      </c>
      <c r="AB40" s="1813">
        <f t="shared" si="16"/>
        <v>1</v>
      </c>
      <c r="AC40" s="1813">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4"/>
      <c r="Q42" s="1812" t="str">
        <f t="shared" si="11"/>
        <v>内部装修</v>
      </c>
      <c r="R42" s="774" t="s">
        <v>21</v>
      </c>
      <c r="S42" s="775">
        <f t="shared" si="12"/>
        <v>100</v>
      </c>
      <c r="T42" s="774" t="s">
        <v>21</v>
      </c>
      <c r="U42" s="775">
        <f t="shared" si="13"/>
        <v>100</v>
      </c>
      <c r="V42" s="774" t="s">
        <v>21</v>
      </c>
      <c r="W42" s="775">
        <f t="shared" si="14"/>
        <v>100</v>
      </c>
      <c r="X42" s="1815"/>
      <c r="Y42" s="3206"/>
      <c r="Z42" s="1816" t="str">
        <f t="shared" si="18"/>
        <v>内部装修</v>
      </c>
      <c r="AA42" s="1813">
        <f t="shared" si="15"/>
        <v>1</v>
      </c>
      <c r="AB42" s="1813">
        <f t="shared" si="16"/>
        <v>1</v>
      </c>
      <c r="AC42" s="1813">
        <f t="shared" si="17"/>
        <v>1</v>
      </c>
    </row>
    <row r="43" spans="1:29" ht="28.8">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4"/>
      <c r="Q43" s="1812" t="str">
        <f t="shared" si="11"/>
        <v>内部装修维护情况</v>
      </c>
      <c r="R43" s="774" t="s">
        <v>21</v>
      </c>
      <c r="S43" s="775">
        <f t="shared" si="12"/>
        <v>100</v>
      </c>
      <c r="T43" s="774" t="s">
        <v>21</v>
      </c>
      <c r="U43" s="775">
        <f t="shared" si="13"/>
        <v>100</v>
      </c>
      <c r="V43" s="774" t="s">
        <v>21</v>
      </c>
      <c r="W43" s="775">
        <f t="shared" si="14"/>
        <v>100</v>
      </c>
      <c r="X43" s="1815"/>
      <c r="Y43" s="3206"/>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4"/>
      <c r="Q44" s="1797">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4"/>
      <c r="Q45" s="1812">
        <f t="shared" si="11"/>
        <v>111</v>
      </c>
      <c r="R45" s="774" t="s">
        <v>21</v>
      </c>
      <c r="S45" s="775">
        <f t="shared" si="12"/>
        <v>100</v>
      </c>
      <c r="T45" s="774" t="s">
        <v>21</v>
      </c>
      <c r="U45" s="775">
        <f t="shared" si="13"/>
        <v>100</v>
      </c>
      <c r="V45" s="774" t="s">
        <v>21</v>
      </c>
      <c r="W45" s="775">
        <f t="shared" si="14"/>
        <v>100</v>
      </c>
      <c r="X45" s="1815"/>
      <c r="Y45" s="3206"/>
      <c r="Z45" s="1816">
        <f t="shared" si="18"/>
        <v>111</v>
      </c>
      <c r="AA45" s="1813">
        <f t="shared" si="15"/>
        <v>1</v>
      </c>
      <c r="AB45" s="1813">
        <f t="shared" si="16"/>
        <v>1</v>
      </c>
      <c r="AC45" s="1813">
        <f t="shared" si="17"/>
        <v>1</v>
      </c>
    </row>
    <row r="46" spans="1:29" ht="15.6"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5"/>
      <c r="Q46" s="1812">
        <f t="shared" si="11"/>
        <v>111</v>
      </c>
      <c r="R46" s="774" t="s">
        <v>20</v>
      </c>
      <c r="S46" s="775">
        <f t="shared" si="12"/>
        <v>100</v>
      </c>
      <c r="T46" s="774" t="s">
        <v>20</v>
      </c>
      <c r="U46" s="775">
        <f t="shared" si="13"/>
        <v>100</v>
      </c>
      <c r="V46" s="774" t="s">
        <v>20</v>
      </c>
      <c r="W46" s="775">
        <f t="shared" si="14"/>
        <v>100</v>
      </c>
      <c r="X46" s="1815"/>
      <c r="Y46" s="3246"/>
      <c r="Z46" s="1816">
        <f t="shared" si="18"/>
        <v>111</v>
      </c>
      <c r="AA46" s="1813">
        <f t="shared" si="15"/>
        <v>1</v>
      </c>
      <c r="AB46" s="1813">
        <f t="shared" si="16"/>
        <v>1</v>
      </c>
      <c r="AC46" s="1813">
        <f t="shared" si="17"/>
        <v>1</v>
      </c>
    </row>
    <row r="47" spans="1:29" ht="14.4">
      <c r="A47" s="479" t="s">
        <v>2568</v>
      </c>
      <c r="B47" s="480"/>
      <c r="C47" s="1410" t="s">
        <v>19</v>
      </c>
      <c r="D47" s="1411"/>
      <c r="E47" s="1412"/>
      <c r="F47" s="1413"/>
      <c r="G47" s="1414"/>
      <c r="H47" s="1415"/>
      <c r="I47" s="1412"/>
      <c r="J47" s="1415"/>
      <c r="K47" s="2626"/>
      <c r="L47" s="1146"/>
      <c r="M47" s="1147"/>
      <c r="N47" s="1134"/>
      <c r="O47" s="1147"/>
      <c r="P47" s="3188" t="str">
        <f>A47</f>
        <v>成交单价（元/平方米）</v>
      </c>
      <c r="Q47" s="3188"/>
      <c r="R47" s="3242">
        <f>E47</f>
        <v>0</v>
      </c>
      <c r="S47" s="3242"/>
      <c r="T47" s="3242">
        <f>G47</f>
        <v>0</v>
      </c>
      <c r="U47" s="3242"/>
      <c r="V47" s="3242">
        <f>I47</f>
        <v>0</v>
      </c>
      <c r="W47" s="3242"/>
      <c r="X47" s="759"/>
      <c r="Y47" s="781"/>
      <c r="Z47" s="759"/>
      <c r="AA47" s="759"/>
      <c r="AB47" s="759"/>
      <c r="AC47" s="759"/>
    </row>
    <row r="48" spans="1:29" ht="1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88" t="str">
        <f>A48</f>
        <v>比较价值（元/平方米）</v>
      </c>
      <c r="Q48" s="318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 thickBot="1">
      <c r="A49" s="492" t="s">
        <v>2570</v>
      </c>
      <c r="B49" s="493"/>
      <c r="C49" s="1419" t="e">
        <f>R49</f>
        <v>#DIV/0!</v>
      </c>
      <c r="D49" s="1420"/>
      <c r="E49" s="1420"/>
      <c r="F49" s="1420"/>
      <c r="G49" s="1420"/>
      <c r="H49" s="1420"/>
      <c r="I49" s="1420"/>
      <c r="J49" s="1420"/>
      <c r="K49" s="2628"/>
      <c r="L49" s="1146"/>
      <c r="M49" s="1147"/>
      <c r="N49" s="1147"/>
      <c r="O49" s="1147"/>
      <c r="P49" s="3208" t="str">
        <f>A49</f>
        <v>估价对象XX用房的比较价值（楼面单价，元/平方米）</v>
      </c>
      <c r="Q49" s="3209"/>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2.2" thickBot="1">
      <c r="A57" s="763" t="s">
        <v>2574</v>
      </c>
      <c r="B57" s="759"/>
      <c r="C57" s="764"/>
      <c r="D57" s="764"/>
      <c r="E57" s="764"/>
      <c r="F57" s="765"/>
      <c r="G57" s="765"/>
      <c r="H57" s="764"/>
      <c r="I57" s="764"/>
      <c r="J57" s="764"/>
      <c r="K57" s="1163"/>
      <c r="L57" s="1164"/>
      <c r="M57" s="1162"/>
      <c r="N57" s="1162"/>
      <c r="O57" s="1162"/>
      <c r="P57" s="2631"/>
      <c r="Q57" s="504"/>
    </row>
    <row r="58" spans="1:29" s="508" customFormat="1" ht="14.4">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c r="A59" s="509"/>
      <c r="B59" s="2632"/>
      <c r="C59" s="1576">
        <v>100</v>
      </c>
      <c r="D59" s="511"/>
      <c r="E59" s="512"/>
      <c r="F59" s="512"/>
      <c r="G59" s="512"/>
      <c r="H59" s="512"/>
      <c r="I59" s="512"/>
      <c r="J59" s="512"/>
      <c r="K59" s="512"/>
      <c r="L59" s="512"/>
      <c r="M59" s="513"/>
      <c r="N59" s="512"/>
      <c r="O59" s="513"/>
      <c r="P59" s="2633"/>
    </row>
    <row r="60" spans="1:29" s="117" customFormat="1" ht="15" thickBot="1">
      <c r="A60" s="515" t="s">
        <v>2576</v>
      </c>
      <c r="B60" s="516"/>
      <c r="C60" s="517"/>
      <c r="D60" s="518"/>
      <c r="E60" s="518"/>
      <c r="F60" s="518"/>
      <c r="G60" s="518"/>
      <c r="H60" s="518"/>
      <c r="I60" s="518"/>
      <c r="J60" s="518"/>
      <c r="K60" s="518"/>
      <c r="L60" s="518"/>
      <c r="M60" s="519"/>
      <c r="N60" s="518"/>
      <c r="O60" s="519"/>
      <c r="P60" s="2633"/>
      <c r="Q60" s="504"/>
    </row>
    <row r="61" spans="1:29" s="117" customFormat="1" ht="14.4">
      <c r="A61" s="521" t="s">
        <v>2577</v>
      </c>
      <c r="B61" s="510"/>
      <c r="C61" s="522" t="s">
        <v>2578</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2579</v>
      </c>
      <c r="B63" s="528" t="s">
        <v>2545</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60"/>
      <c r="E73" s="560"/>
      <c r="F73" s="560"/>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2601</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 thickTop="1">
      <c r="A88" s="579"/>
      <c r="B88" s="538" t="s">
        <v>2602</v>
      </c>
      <c r="C88" s="554"/>
      <c r="D88" s="554"/>
      <c r="E88" s="554"/>
      <c r="F88" s="2640"/>
      <c r="G88" s="554"/>
      <c r="H88" s="554"/>
      <c r="I88" s="554"/>
      <c r="J88" s="554"/>
      <c r="K88" s="554"/>
      <c r="L88" s="554"/>
      <c r="M88" s="581"/>
      <c r="N88" s="1154"/>
      <c r="O88" s="1154"/>
      <c r="P88" s="263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4.4" thickTop="1">
      <c r="A90" s="553"/>
      <c r="B90" s="538">
        <f>B27</f>
        <v>111</v>
      </c>
      <c r="C90" s="554"/>
      <c r="D90" s="554"/>
      <c r="E90" s="554"/>
      <c r="F90" s="554"/>
      <c r="G90" s="554"/>
      <c r="H90" s="555"/>
      <c r="I90" s="555"/>
      <c r="J90" s="555"/>
      <c r="K90" s="555"/>
      <c r="L90" s="556"/>
      <c r="M90" s="557"/>
      <c r="N90" s="1157"/>
      <c r="O90" s="1157"/>
      <c r="P90" s="2636"/>
      <c r="Q90" s="559"/>
    </row>
    <row r="91" spans="1:17" s="471" customFormat="1" ht="14.4" thickBot="1">
      <c r="A91" s="553"/>
      <c r="B91" s="543"/>
      <c r="C91" s="560"/>
      <c r="D91" s="560"/>
      <c r="E91" s="560"/>
      <c r="F91" s="560"/>
      <c r="G91" s="560"/>
      <c r="H91" s="562"/>
      <c r="I91" s="562"/>
      <c r="J91" s="562"/>
      <c r="K91" s="562"/>
      <c r="L91" s="562"/>
      <c r="M91" s="563"/>
      <c r="N91" s="1157"/>
      <c r="O91" s="1157"/>
      <c r="P91" s="2636"/>
      <c r="Q91" s="559"/>
    </row>
    <row r="92" spans="1:17" ht="14.4" thickTop="1">
      <c r="A92" s="534"/>
      <c r="B92" s="538">
        <f>B28</f>
        <v>111</v>
      </c>
      <c r="C92" s="554"/>
      <c r="D92" s="554"/>
      <c r="E92" s="554"/>
      <c r="F92" s="554"/>
      <c r="G92" s="583"/>
      <c r="H92" s="583"/>
      <c r="I92" s="583"/>
      <c r="J92" s="583"/>
      <c r="K92" s="584"/>
      <c r="L92" s="585"/>
      <c r="M92" s="586"/>
      <c r="N92" s="1155"/>
      <c r="O92" s="1155"/>
      <c r="P92" s="2635"/>
      <c r="Q92" s="504"/>
    </row>
    <row r="93" spans="1:17" ht="14.4" thickBot="1">
      <c r="A93" s="534"/>
      <c r="B93" s="543"/>
      <c r="C93" s="560"/>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60"/>
      <c r="E95" s="560"/>
      <c r="F95" s="560"/>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70"/>
      <c r="D97" s="570"/>
      <c r="E97" s="570"/>
      <c r="F97" s="570"/>
      <c r="G97" s="536"/>
      <c r="H97" s="536"/>
      <c r="I97" s="536"/>
      <c r="J97" s="536"/>
      <c r="K97" s="536"/>
      <c r="L97" s="536"/>
      <c r="M97" s="537"/>
      <c r="N97" s="1156"/>
      <c r="O97" s="1156"/>
      <c r="P97" s="2635"/>
      <c r="Q97" s="504"/>
    </row>
    <row r="98" spans="1:17" ht="14.4" thickTop="1">
      <c r="A98" s="534"/>
      <c r="B98" s="546">
        <f>B31</f>
        <v>111</v>
      </c>
      <c r="C98" s="587"/>
      <c r="D98" s="587"/>
      <c r="E98" s="587"/>
      <c r="F98" s="587"/>
      <c r="G98" s="587"/>
      <c r="H98" s="587"/>
      <c r="I98" s="587"/>
      <c r="J98" s="587"/>
      <c r="K98" s="588"/>
      <c r="L98" s="589"/>
      <c r="M98" s="590"/>
      <c r="N98" s="1155"/>
      <c r="O98" s="1155"/>
      <c r="P98" s="2635"/>
      <c r="Q98" s="504"/>
    </row>
    <row r="99" spans="1:17" ht="14.4" thickBot="1">
      <c r="A99" s="2641"/>
      <c r="B99" s="569"/>
      <c r="C99" s="591"/>
      <c r="D99" s="591"/>
      <c r="E99" s="591"/>
      <c r="F99" s="591"/>
      <c r="G99" s="591"/>
      <c r="H99" s="591"/>
      <c r="I99" s="591"/>
      <c r="J99" s="591"/>
      <c r="K99" s="591"/>
      <c r="L99" s="591"/>
      <c r="M99" s="592"/>
      <c r="N99" s="1156"/>
      <c r="O99" s="1156"/>
      <c r="P99" s="2635"/>
      <c r="Q99" s="504"/>
    </row>
    <row r="100" spans="1:17" ht="14.4">
      <c r="A100" s="527" t="s">
        <v>2554</v>
      </c>
      <c r="B100" s="528" t="s">
        <v>2603</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9.4"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60"/>
      <c r="E129" s="560"/>
      <c r="F129" s="560"/>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6.2"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ht="14.4">
      <c r="B147" s="2642" t="s">
        <v>2631</v>
      </c>
    </row>
    <row r="148" spans="2:11" ht="14.4">
      <c r="B148" s="264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201" t="s">
        <v>2639</v>
      </c>
      <c r="AC4" s="3171" t="s">
        <v>2640</v>
      </c>
    </row>
    <row r="5" spans="1:29">
      <c r="A5" s="404"/>
      <c r="B5" s="405"/>
      <c r="C5" s="3182" t="s">
        <v>2533</v>
      </c>
      <c r="D5" s="3183"/>
      <c r="E5" s="3180" t="s">
        <v>2534</v>
      </c>
      <c r="F5" s="3181"/>
      <c r="G5" s="3182" t="s">
        <v>2535</v>
      </c>
      <c r="H5" s="3183"/>
      <c r="I5" s="3182" t="s">
        <v>2536</v>
      </c>
      <c r="J5" s="3183"/>
      <c r="K5" s="610"/>
      <c r="L5" s="1133"/>
      <c r="M5" s="1134"/>
      <c r="N5" s="1134"/>
      <c r="O5" s="1134"/>
      <c r="P5" s="3195"/>
      <c r="Q5" s="3196"/>
      <c r="R5" s="3178"/>
      <c r="S5" s="3179"/>
      <c r="T5" s="3178"/>
      <c r="U5" s="3179"/>
      <c r="V5" s="3201"/>
      <c r="W5" s="3201"/>
      <c r="X5" s="1815"/>
      <c r="Y5" s="3178"/>
      <c r="Z5" s="3179"/>
      <c r="AA5" s="3172"/>
      <c r="AB5" s="3201"/>
      <c r="AC5" s="3172"/>
    </row>
    <row r="6" spans="1:29" ht="15" thickBot="1">
      <c r="A6" s="406"/>
      <c r="B6" s="407"/>
      <c r="C6" s="3184" t="s">
        <v>2537</v>
      </c>
      <c r="D6" s="3185"/>
      <c r="E6" s="3186" t="s">
        <v>2537</v>
      </c>
      <c r="F6" s="3187"/>
      <c r="G6" s="3184" t="s">
        <v>2537</v>
      </c>
      <c r="H6" s="3185"/>
      <c r="I6" s="3184" t="s">
        <v>2537</v>
      </c>
      <c r="J6" s="3185"/>
      <c r="K6" s="610" t="s">
        <v>2538</v>
      </c>
      <c r="L6" s="1133"/>
      <c r="M6" s="1134"/>
      <c r="N6" s="1134"/>
      <c r="O6" s="1134"/>
      <c r="P6" s="3197"/>
      <c r="Q6" s="3198"/>
      <c r="R6" s="3178"/>
      <c r="S6" s="3179"/>
      <c r="T6" s="3199"/>
      <c r="U6" s="3200"/>
      <c r="V6" s="3201"/>
      <c r="W6" s="3201"/>
      <c r="X6" s="1815"/>
      <c r="Y6" s="3199"/>
      <c r="Z6" s="3200"/>
      <c r="AA6" s="3173"/>
      <c r="AB6" s="3201"/>
      <c r="AC6" s="3173"/>
    </row>
    <row r="7" spans="1:29" s="117" customFormat="1" ht="1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4" t="s">
        <v>2540</v>
      </c>
      <c r="Q7" s="3202"/>
      <c r="R7" s="770" t="s">
        <v>17</v>
      </c>
      <c r="S7" s="771">
        <f t="shared" ref="S7:S15" si="0">F7</f>
        <v>0</v>
      </c>
      <c r="T7" s="770" t="s">
        <v>17</v>
      </c>
      <c r="U7" s="771">
        <f t="shared" ref="U7:U15" si="1">H7</f>
        <v>0</v>
      </c>
      <c r="V7" s="770" t="s">
        <v>17</v>
      </c>
      <c r="W7" s="771">
        <f t="shared" ref="W7:W15" si="2">J7</f>
        <v>0</v>
      </c>
      <c r="X7" s="772"/>
      <c r="Y7" s="3174" t="s">
        <v>2540</v>
      </c>
      <c r="Z7" s="3175"/>
      <c r="AA7" s="773" t="e">
        <f>D7/F7</f>
        <v>#DIV/0!</v>
      </c>
      <c r="AB7" s="773" t="e">
        <f>D7/H7</f>
        <v>#DIV/0!</v>
      </c>
      <c r="AC7" s="773"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4" t="s">
        <v>2543</v>
      </c>
      <c r="Q8" s="3175"/>
      <c r="R8" s="770" t="s">
        <v>17</v>
      </c>
      <c r="S8" s="771">
        <f t="shared" si="0"/>
        <v>0</v>
      </c>
      <c r="T8" s="770" t="s">
        <v>17</v>
      </c>
      <c r="U8" s="771">
        <f t="shared" si="1"/>
        <v>0</v>
      </c>
      <c r="V8" s="770" t="s">
        <v>17</v>
      </c>
      <c r="W8" s="771">
        <f t="shared" si="2"/>
        <v>0</v>
      </c>
      <c r="X8" s="772"/>
      <c r="Y8" s="3174" t="s">
        <v>2543</v>
      </c>
      <c r="Z8" s="3175"/>
      <c r="AA8" s="773" t="e">
        <f t="shared" ref="AA8:AA46" si="3">D8/F8</f>
        <v>#DIV/0!</v>
      </c>
      <c r="AB8" s="773" t="e">
        <f t="shared" ref="AB8:AB46" si="4">D8/H8</f>
        <v>#DIV/0!</v>
      </c>
      <c r="AC8" s="773"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2"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82.8">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7" t="s">
        <v>2551</v>
      </c>
      <c r="Q15" s="1812" t="str">
        <f t="shared" si="6"/>
        <v>商业繁华度</v>
      </c>
      <c r="R15" s="774" t="s">
        <v>17</v>
      </c>
      <c r="S15" s="775">
        <f t="shared" si="0"/>
        <v>100</v>
      </c>
      <c r="T15" s="774" t="s">
        <v>17</v>
      </c>
      <c r="U15" s="775">
        <f t="shared" si="1"/>
        <v>100</v>
      </c>
      <c r="V15" s="774" t="s">
        <v>17</v>
      </c>
      <c r="W15" s="775">
        <f t="shared" si="2"/>
        <v>100</v>
      </c>
      <c r="X15" s="1815"/>
      <c r="Y15" s="3203"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8"/>
      <c r="Q16" s="1812"/>
      <c r="R16" s="774"/>
      <c r="S16" s="775"/>
      <c r="T16" s="774"/>
      <c r="U16" s="775"/>
      <c r="V16" s="774"/>
      <c r="W16" s="775"/>
      <c r="X16" s="1815"/>
      <c r="Y16" s="3204"/>
      <c r="Z16" s="1816"/>
      <c r="AA16" s="1813">
        <v>1</v>
      </c>
      <c r="AB16" s="1813">
        <v>1</v>
      </c>
      <c r="AC16" s="1813">
        <v>1</v>
      </c>
    </row>
    <row r="17" spans="1:29" ht="96.6">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8"/>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8"/>
      <c r="Q18" s="1812"/>
      <c r="R18" s="774"/>
      <c r="S18" s="775"/>
      <c r="T18" s="774"/>
      <c r="U18" s="775"/>
      <c r="V18" s="774"/>
      <c r="W18" s="775"/>
      <c r="X18" s="1815"/>
      <c r="Y18" s="3204"/>
      <c r="Z18" s="1816"/>
      <c r="AA18" s="1813">
        <v>1</v>
      </c>
      <c r="AB18" s="1813">
        <v>1</v>
      </c>
      <c r="AC18" s="1813">
        <v>1</v>
      </c>
    </row>
    <row r="19" spans="1:29" ht="96.6">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8"/>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8"/>
      <c r="Q20" s="1812"/>
      <c r="R20" s="774"/>
      <c r="S20" s="775"/>
      <c r="T20" s="774"/>
      <c r="U20" s="775"/>
      <c r="V20" s="774"/>
      <c r="W20" s="775"/>
      <c r="X20" s="1815"/>
      <c r="Y20" s="3204"/>
      <c r="Z20" s="1816"/>
      <c r="AA20" s="1813">
        <v>1</v>
      </c>
      <c r="AB20" s="1813">
        <v>1</v>
      </c>
      <c r="AC20" s="1813">
        <v>1</v>
      </c>
    </row>
    <row r="21" spans="1:29" ht="27.6">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8"/>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8"/>
      <c r="Q22" s="1812"/>
      <c r="R22" s="774"/>
      <c r="S22" s="775"/>
      <c r="T22" s="774"/>
      <c r="U22" s="775"/>
      <c r="V22" s="774"/>
      <c r="W22" s="775"/>
      <c r="X22" s="1815"/>
      <c r="Y22" s="3204"/>
      <c r="Z22" s="1816"/>
      <c r="AA22" s="1813">
        <v>1</v>
      </c>
      <c r="AB22" s="1813">
        <v>1</v>
      </c>
      <c r="AC22" s="1813">
        <v>1</v>
      </c>
    </row>
    <row r="23" spans="1:29" ht="96.6">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8"/>
      <c r="Q23" s="1812" t="str">
        <f>B23</f>
        <v>自然及人文环境</v>
      </c>
      <c r="R23" s="774" t="s">
        <v>17</v>
      </c>
      <c r="S23" s="775">
        <f>F23</f>
        <v>100</v>
      </c>
      <c r="T23" s="774" t="s">
        <v>17</v>
      </c>
      <c r="U23" s="775">
        <f>H23</f>
        <v>100</v>
      </c>
      <c r="V23" s="774" t="s">
        <v>17</v>
      </c>
      <c r="W23" s="775">
        <f>J23</f>
        <v>100</v>
      </c>
      <c r="X23" s="1815"/>
      <c r="Y23" s="3204"/>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8"/>
      <c r="Q24" s="1812"/>
      <c r="R24" s="774"/>
      <c r="S24" s="775"/>
      <c r="T24" s="774"/>
      <c r="U24" s="775"/>
      <c r="V24" s="774"/>
      <c r="W24" s="775"/>
      <c r="X24" s="1815"/>
      <c r="Y24" s="3204"/>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8"/>
      <c r="Q25" s="1812" t="str">
        <f t="shared" ref="Q25:Q46" si="11">B25</f>
        <v>临街状况</v>
      </c>
      <c r="R25" s="774" t="s">
        <v>17</v>
      </c>
      <c r="S25" s="775">
        <f>F25</f>
        <v>100</v>
      </c>
      <c r="T25" s="774" t="s">
        <v>17</v>
      </c>
      <c r="U25" s="775">
        <f>H25</f>
        <v>100</v>
      </c>
      <c r="V25" s="774" t="s">
        <v>17</v>
      </c>
      <c r="W25" s="775">
        <f>J25</f>
        <v>100</v>
      </c>
      <c r="X25" s="1815"/>
      <c r="Y25" s="3204"/>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8"/>
      <c r="Q26" s="1812" t="str">
        <f t="shared" si="11"/>
        <v>平面位置/可视性</v>
      </c>
      <c r="R26" s="774" t="s">
        <v>17</v>
      </c>
      <c r="S26" s="775">
        <f>F26</f>
        <v>100</v>
      </c>
      <c r="T26" s="774" t="s">
        <v>17</v>
      </c>
      <c r="U26" s="775">
        <f>H26</f>
        <v>100</v>
      </c>
      <c r="V26" s="774" t="s">
        <v>17</v>
      </c>
      <c r="W26" s="775">
        <f>J26</f>
        <v>100</v>
      </c>
      <c r="X26" s="1815"/>
      <c r="Y26" s="3204"/>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8"/>
      <c r="Q27" s="1797" t="str">
        <f t="shared" si="11"/>
        <v>人流量</v>
      </c>
      <c r="R27" s="770" t="s">
        <v>17</v>
      </c>
      <c r="S27" s="771">
        <f>F27</f>
        <v>100</v>
      </c>
      <c r="T27" s="770" t="s">
        <v>17</v>
      </c>
      <c r="U27" s="771">
        <f>H27</f>
        <v>100</v>
      </c>
      <c r="V27" s="770" t="s">
        <v>17</v>
      </c>
      <c r="W27" s="771">
        <f>J27</f>
        <v>100</v>
      </c>
      <c r="X27" s="772"/>
      <c r="Y27" s="3204"/>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8"/>
      <c r="Q29" s="1812">
        <f t="shared" si="11"/>
        <v>111</v>
      </c>
      <c r="R29" s="774" t="s">
        <v>17</v>
      </c>
      <c r="S29" s="775">
        <f t="shared" si="12"/>
        <v>100</v>
      </c>
      <c r="T29" s="774" t="s">
        <v>17</v>
      </c>
      <c r="U29" s="775">
        <f t="shared" si="13"/>
        <v>100</v>
      </c>
      <c r="V29" s="774" t="s">
        <v>17</v>
      </c>
      <c r="W29" s="775">
        <f t="shared" si="14"/>
        <v>100</v>
      </c>
      <c r="X29" s="1815"/>
      <c r="Y29" s="320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8"/>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1813">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8"/>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3" t="s">
        <v>2556</v>
      </c>
      <c r="Q32" s="1812" t="str">
        <f t="shared" si="11"/>
        <v>商业类型</v>
      </c>
      <c r="R32" s="774" t="s">
        <v>17</v>
      </c>
      <c r="S32" s="775">
        <f t="shared" si="12"/>
        <v>100</v>
      </c>
      <c r="T32" s="774" t="s">
        <v>17</v>
      </c>
      <c r="U32" s="775">
        <f t="shared" si="13"/>
        <v>100</v>
      </c>
      <c r="V32" s="774" t="s">
        <v>17</v>
      </c>
      <c r="W32" s="775">
        <f t="shared" si="14"/>
        <v>100</v>
      </c>
      <c r="X32" s="1815"/>
      <c r="Y32" s="3206"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4"/>
      <c r="Q34" s="1812" t="str">
        <f t="shared" si="11"/>
        <v>建筑结构</v>
      </c>
      <c r="R34" s="774" t="s">
        <v>17</v>
      </c>
      <c r="S34" s="775">
        <f t="shared" si="12"/>
        <v>100</v>
      </c>
      <c r="T34" s="774" t="s">
        <v>17</v>
      </c>
      <c r="U34" s="775">
        <f t="shared" si="13"/>
        <v>100</v>
      </c>
      <c r="V34" s="774" t="s">
        <v>17</v>
      </c>
      <c r="W34" s="775">
        <f t="shared" si="14"/>
        <v>100</v>
      </c>
      <c r="X34" s="1815"/>
      <c r="Y34" s="3206"/>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4"/>
      <c r="Q35" s="1812" t="str">
        <f t="shared" si="11"/>
        <v>公共部分装修</v>
      </c>
      <c r="R35" s="774" t="s">
        <v>17</v>
      </c>
      <c r="S35" s="775">
        <f t="shared" si="12"/>
        <v>100</v>
      </c>
      <c r="T35" s="774" t="s">
        <v>17</v>
      </c>
      <c r="U35" s="775">
        <f t="shared" si="13"/>
        <v>100</v>
      </c>
      <c r="V35" s="774" t="s">
        <v>17</v>
      </c>
      <c r="W35" s="775">
        <f t="shared" si="14"/>
        <v>100</v>
      </c>
      <c r="X35" s="1815"/>
      <c r="Y35" s="3206"/>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1812" t="str">
        <f t="shared" si="11"/>
        <v>成新度</v>
      </c>
      <c r="R36" s="774" t="s">
        <v>17</v>
      </c>
      <c r="S36" s="775" t="e">
        <f t="shared" si="12"/>
        <v>#N/A</v>
      </c>
      <c r="T36" s="774" t="s">
        <v>17</v>
      </c>
      <c r="U36" s="775" t="e">
        <f t="shared" si="13"/>
        <v>#N/A</v>
      </c>
      <c r="V36" s="774" t="s">
        <v>17</v>
      </c>
      <c r="W36" s="775" t="e">
        <f t="shared" si="14"/>
        <v>#N/A</v>
      </c>
      <c r="X36" s="1815"/>
      <c r="Y36" s="3206"/>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4"/>
      <c r="Q37" s="1797"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4" t="s">
        <v>2556</v>
      </c>
      <c r="Q38" s="1812" t="str">
        <f t="shared" si="11"/>
        <v>业态</v>
      </c>
      <c r="R38" s="774" t="s">
        <v>17</v>
      </c>
      <c r="S38" s="775">
        <f t="shared" si="12"/>
        <v>100</v>
      </c>
      <c r="T38" s="774" t="s">
        <v>17</v>
      </c>
      <c r="U38" s="775">
        <f t="shared" si="13"/>
        <v>100</v>
      </c>
      <c r="V38" s="774" t="s">
        <v>17</v>
      </c>
      <c r="W38" s="775">
        <f t="shared" si="14"/>
        <v>100</v>
      </c>
      <c r="X38" s="1815"/>
      <c r="Y38" s="3206"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4"/>
      <c r="Q39" s="1812" t="str">
        <f t="shared" si="11"/>
        <v>层高</v>
      </c>
      <c r="R39" s="774" t="s">
        <v>17</v>
      </c>
      <c r="S39" s="775">
        <f t="shared" si="12"/>
        <v>100</v>
      </c>
      <c r="T39" s="774" t="s">
        <v>17</v>
      </c>
      <c r="U39" s="775">
        <f t="shared" si="13"/>
        <v>100</v>
      </c>
      <c r="V39" s="774" t="s">
        <v>17</v>
      </c>
      <c r="W39" s="775">
        <f t="shared" si="14"/>
        <v>100</v>
      </c>
      <c r="X39" s="1815"/>
      <c r="Y39" s="3206"/>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2" t="str">
        <f t="shared" si="11"/>
        <v>单套建筑面积</v>
      </c>
      <c r="R40" s="774" t="s">
        <v>17</v>
      </c>
      <c r="S40" s="775">
        <f t="shared" si="12"/>
        <v>100</v>
      </c>
      <c r="T40" s="774" t="s">
        <v>17</v>
      </c>
      <c r="U40" s="775">
        <f t="shared" si="13"/>
        <v>100</v>
      </c>
      <c r="V40" s="774" t="s">
        <v>17</v>
      </c>
      <c r="W40" s="775">
        <f t="shared" si="14"/>
        <v>100</v>
      </c>
      <c r="X40" s="1815"/>
      <c r="Y40" s="3206"/>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4"/>
      <c r="Q42" s="1812" t="str">
        <f t="shared" si="11"/>
        <v>内部装修</v>
      </c>
      <c r="R42" s="774" t="s">
        <v>17</v>
      </c>
      <c r="S42" s="775">
        <f t="shared" si="12"/>
        <v>100</v>
      </c>
      <c r="T42" s="774" t="s">
        <v>17</v>
      </c>
      <c r="U42" s="775">
        <f t="shared" si="13"/>
        <v>100</v>
      </c>
      <c r="V42" s="774" t="s">
        <v>17</v>
      </c>
      <c r="W42" s="775">
        <f t="shared" si="14"/>
        <v>100</v>
      </c>
      <c r="X42" s="1815"/>
      <c r="Y42" s="3206"/>
      <c r="Z42" s="1816" t="str">
        <f t="shared" si="15"/>
        <v>内部装修</v>
      </c>
      <c r="AA42" s="1813">
        <f t="shared" si="3"/>
        <v>1</v>
      </c>
      <c r="AB42" s="1813">
        <f t="shared" si="4"/>
        <v>1</v>
      </c>
      <c r="AC42" s="1813">
        <f t="shared" si="5"/>
        <v>1</v>
      </c>
    </row>
    <row r="43" spans="1:29" ht="28.8">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4"/>
      <c r="Q43" s="1812" t="str">
        <f t="shared" si="11"/>
        <v>内部装修维护情况</v>
      </c>
      <c r="R43" s="774" t="s">
        <v>17</v>
      </c>
      <c r="S43" s="775">
        <f t="shared" si="12"/>
        <v>100</v>
      </c>
      <c r="T43" s="774" t="s">
        <v>17</v>
      </c>
      <c r="U43" s="775">
        <f t="shared" si="13"/>
        <v>100</v>
      </c>
      <c r="V43" s="774" t="s">
        <v>17</v>
      </c>
      <c r="W43" s="775">
        <f t="shared" si="14"/>
        <v>100</v>
      </c>
      <c r="X43" s="1815"/>
      <c r="Y43" s="320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7">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2">
        <f t="shared" si="11"/>
        <v>111</v>
      </c>
      <c r="R45" s="774" t="s">
        <v>17</v>
      </c>
      <c r="S45" s="775">
        <f t="shared" si="12"/>
        <v>100</v>
      </c>
      <c r="T45" s="774" t="s">
        <v>17</v>
      </c>
      <c r="U45" s="775">
        <f t="shared" si="13"/>
        <v>100</v>
      </c>
      <c r="V45" s="774" t="s">
        <v>17</v>
      </c>
      <c r="W45" s="775">
        <f t="shared" si="14"/>
        <v>100</v>
      </c>
      <c r="X45" s="1815"/>
      <c r="Y45" s="3206"/>
      <c r="Z45" s="1816">
        <f t="shared" si="15"/>
        <v>111</v>
      </c>
      <c r="AA45" s="1813">
        <f t="shared" si="3"/>
        <v>1</v>
      </c>
      <c r="AB45" s="1813">
        <f t="shared" si="4"/>
        <v>1</v>
      </c>
      <c r="AC45" s="1813">
        <f t="shared" si="5"/>
        <v>1</v>
      </c>
    </row>
    <row r="46" spans="1:29" ht="15.6"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2">
        <f t="shared" si="11"/>
        <v>111</v>
      </c>
      <c r="R46" s="774" t="s">
        <v>17</v>
      </c>
      <c r="S46" s="775">
        <f t="shared" si="12"/>
        <v>100</v>
      </c>
      <c r="T46" s="774" t="s">
        <v>17</v>
      </c>
      <c r="U46" s="775">
        <f t="shared" si="13"/>
        <v>100</v>
      </c>
      <c r="V46" s="774" t="s">
        <v>17</v>
      </c>
      <c r="W46" s="775">
        <f t="shared" si="14"/>
        <v>100</v>
      </c>
      <c r="X46" s="1815"/>
      <c r="Y46" s="3246"/>
      <c r="Z46" s="1816">
        <f t="shared" si="15"/>
        <v>111</v>
      </c>
      <c r="AA46" s="1813">
        <f t="shared" si="3"/>
        <v>1</v>
      </c>
      <c r="AB46" s="1813">
        <f t="shared" si="4"/>
        <v>1</v>
      </c>
      <c r="AC46" s="1813">
        <f t="shared" si="5"/>
        <v>1</v>
      </c>
    </row>
    <row r="47" spans="1:29" ht="14.4">
      <c r="A47" s="479" t="s">
        <v>2568</v>
      </c>
      <c r="B47" s="480"/>
      <c r="C47" s="1410" t="s">
        <v>1</v>
      </c>
      <c r="D47" s="1411"/>
      <c r="E47" s="1412"/>
      <c r="F47" s="1413"/>
      <c r="G47" s="1414"/>
      <c r="H47" s="1415"/>
      <c r="I47" s="1412"/>
      <c r="J47" s="1415"/>
      <c r="K47" s="783"/>
      <c r="L47" s="1146"/>
      <c r="M47" s="1147"/>
      <c r="N47" s="1134"/>
      <c r="O47" s="1147"/>
      <c r="P47" s="3188" t="str">
        <f>A47</f>
        <v>成交单价（元/平方米）</v>
      </c>
      <c r="Q47" s="3188"/>
      <c r="R47" s="3201">
        <f>E47</f>
        <v>0</v>
      </c>
      <c r="S47" s="3201"/>
      <c r="T47" s="3201">
        <f>G47</f>
        <v>0</v>
      </c>
      <c r="U47" s="3201"/>
      <c r="V47" s="3201">
        <f>I47</f>
        <v>0</v>
      </c>
      <c r="W47" s="3201"/>
      <c r="X47" s="759"/>
      <c r="Y47" s="781"/>
      <c r="Z47" s="759"/>
      <c r="AA47" s="759"/>
      <c r="AB47" s="759"/>
      <c r="AC47" s="759"/>
    </row>
    <row r="48" spans="1:29" ht="1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 thickBot="1">
      <c r="A49" s="492" t="s">
        <v>2661</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4.4">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c r="A59" s="509"/>
      <c r="B59" s="510"/>
      <c r="C59" s="1576">
        <v>100</v>
      </c>
      <c r="D59" s="512"/>
      <c r="E59" s="512"/>
      <c r="F59" s="512"/>
      <c r="G59" s="512"/>
      <c r="H59" s="512"/>
      <c r="I59" s="512"/>
      <c r="J59" s="512"/>
      <c r="K59" s="512"/>
      <c r="L59" s="512"/>
      <c r="M59" s="513"/>
      <c r="N59" s="512"/>
      <c r="O59" s="513"/>
      <c r="P59" s="2633"/>
    </row>
    <row r="60" spans="1:29" s="117" customFormat="1" ht="15" thickBot="1">
      <c r="A60" s="515" t="s">
        <v>2576</v>
      </c>
      <c r="B60" s="516"/>
      <c r="C60" s="517"/>
      <c r="D60" s="518"/>
      <c r="E60" s="518"/>
      <c r="F60" s="518"/>
      <c r="G60" s="518"/>
      <c r="H60" s="518"/>
      <c r="I60" s="518"/>
      <c r="J60" s="518"/>
      <c r="K60" s="518"/>
      <c r="L60" s="518"/>
      <c r="M60" s="519"/>
      <c r="N60" s="518"/>
      <c r="O60" s="519"/>
      <c r="P60" s="2633"/>
      <c r="Q60" s="504"/>
    </row>
    <row r="61" spans="1:29" s="117" customFormat="1" ht="14.4">
      <c r="A61" s="521" t="s">
        <v>2541</v>
      </c>
      <c r="B61" s="510"/>
      <c r="C61" s="522" t="s">
        <v>2643</v>
      </c>
      <c r="D61" s="523"/>
      <c r="E61" s="523"/>
      <c r="F61" s="523"/>
      <c r="G61" s="523"/>
      <c r="H61" s="523"/>
      <c r="I61" s="523"/>
      <c r="J61" s="523"/>
      <c r="K61" s="523"/>
      <c r="L61" s="524"/>
      <c r="M61" s="525"/>
      <c r="N61" s="1154"/>
      <c r="O61" s="1154"/>
      <c r="P61" s="2634"/>
      <c r="Q61" s="504"/>
    </row>
    <row r="62" spans="1:29" s="117" customFormat="1" ht="14.4" thickBot="1">
      <c r="A62" s="521"/>
      <c r="B62" s="510"/>
      <c r="C62" s="511">
        <v>100</v>
      </c>
      <c r="D62" s="512"/>
      <c r="E62" s="512"/>
      <c r="F62" s="512"/>
      <c r="G62" s="512"/>
      <c r="H62" s="512"/>
      <c r="I62" s="512"/>
      <c r="J62" s="512"/>
      <c r="K62" s="512"/>
      <c r="L62" s="512"/>
      <c r="M62" s="514"/>
      <c r="N62" s="1154"/>
      <c r="O62" s="1154"/>
      <c r="P62" s="2633"/>
      <c r="Q62" s="504"/>
    </row>
    <row r="63" spans="1:29" ht="14.4">
      <c r="A63" s="527" t="s">
        <v>2579</v>
      </c>
      <c r="B63" s="528" t="s">
        <v>2545</v>
      </c>
      <c r="C63" s="529">
        <f>C9</f>
        <v>0</v>
      </c>
      <c r="D63" s="530"/>
      <c r="E63" s="530"/>
      <c r="F63" s="530"/>
      <c r="G63" s="530"/>
      <c r="H63" s="530"/>
      <c r="I63" s="530"/>
      <c r="J63" s="530"/>
      <c r="K63" s="531"/>
      <c r="L63" s="532"/>
      <c r="M63" s="533"/>
      <c r="N63" s="1155"/>
      <c r="O63" s="1155"/>
      <c r="P63" s="2635"/>
      <c r="Q63" s="504"/>
    </row>
    <row r="64" spans="1:29" ht="14.4" thickBot="1">
      <c r="A64" s="534"/>
      <c r="B64" s="535"/>
      <c r="C64" s="536">
        <v>100</v>
      </c>
      <c r="D64" s="536"/>
      <c r="E64" s="536"/>
      <c r="F64" s="536"/>
      <c r="G64" s="536"/>
      <c r="H64" s="536"/>
      <c r="I64" s="536"/>
      <c r="J64" s="536"/>
      <c r="K64" s="536"/>
      <c r="L64" s="536"/>
      <c r="M64" s="537"/>
      <c r="N64" s="1156"/>
      <c r="O64" s="1156"/>
      <c r="P64" s="2635"/>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c r="A68" s="534"/>
      <c r="B68" s="548"/>
      <c r="C68" s="549"/>
      <c r="D68" s="549"/>
      <c r="E68" s="549"/>
      <c r="F68" s="549"/>
      <c r="G68" s="549"/>
      <c r="H68" s="549"/>
      <c r="I68" s="549"/>
      <c r="J68" s="549"/>
      <c r="K68" s="550"/>
      <c r="L68" s="551"/>
      <c r="M68" s="552"/>
      <c r="N68" s="1155"/>
      <c r="O68" s="1155"/>
      <c r="P68" s="263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4.4" thickTop="1">
      <c r="A70" s="553"/>
      <c r="B70" s="538">
        <f>B12</f>
        <v>111</v>
      </c>
      <c r="C70" s="554"/>
      <c r="D70" s="554"/>
      <c r="E70" s="554"/>
      <c r="F70" s="554"/>
      <c r="G70" s="554"/>
      <c r="H70" s="555"/>
      <c r="I70" s="555"/>
      <c r="J70" s="555"/>
      <c r="K70" s="555"/>
      <c r="L70" s="556"/>
      <c r="M70" s="557"/>
      <c r="N70" s="1157"/>
      <c r="O70" s="1157"/>
      <c r="P70" s="2636"/>
      <c r="Q70" s="559"/>
    </row>
    <row r="71" spans="1:17" s="471" customFormat="1" ht="14.4" thickBot="1">
      <c r="A71" s="553"/>
      <c r="B71" s="543"/>
      <c r="C71" s="560"/>
      <c r="D71" s="536"/>
      <c r="E71" s="536"/>
      <c r="F71" s="536"/>
      <c r="G71" s="536"/>
      <c r="H71" s="536"/>
      <c r="I71" s="536"/>
      <c r="J71" s="536"/>
      <c r="K71" s="536"/>
      <c r="L71" s="536"/>
      <c r="M71" s="537"/>
      <c r="N71" s="1156"/>
      <c r="O71" s="1156"/>
      <c r="P71" s="2636"/>
      <c r="Q71" s="559"/>
    </row>
    <row r="72" spans="1:17" s="471" customFormat="1" ht="14.4" thickTop="1">
      <c r="A72" s="553"/>
      <c r="B72" s="538">
        <f>B13</f>
        <v>111</v>
      </c>
      <c r="C72" s="554"/>
      <c r="D72" s="554"/>
      <c r="E72" s="554"/>
      <c r="F72" s="554"/>
      <c r="G72" s="554"/>
      <c r="H72" s="555"/>
      <c r="I72" s="555"/>
      <c r="J72" s="555"/>
      <c r="K72" s="555"/>
      <c r="L72" s="556"/>
      <c r="M72" s="557"/>
      <c r="N72" s="1157"/>
      <c r="O72" s="1157"/>
      <c r="P72" s="2637"/>
      <c r="Q72" s="561"/>
    </row>
    <row r="73" spans="1:17" s="471" customFormat="1" ht="14.4" thickBot="1">
      <c r="A73" s="553"/>
      <c r="B73" s="543"/>
      <c r="C73" s="560"/>
      <c r="D73" s="536"/>
      <c r="E73" s="536"/>
      <c r="F73" s="536"/>
      <c r="G73" s="560"/>
      <c r="H73" s="562"/>
      <c r="I73" s="562"/>
      <c r="J73" s="562"/>
      <c r="K73" s="562"/>
      <c r="L73" s="562"/>
      <c r="M73" s="563"/>
      <c r="N73" s="1157"/>
      <c r="O73" s="1157"/>
      <c r="P73" s="2636"/>
      <c r="Q73" s="559"/>
    </row>
    <row r="74" spans="1:17" s="471" customFormat="1" ht="14.4" thickTop="1">
      <c r="A74" s="553"/>
      <c r="B74" s="546">
        <f>B14</f>
        <v>111</v>
      </c>
      <c r="C74" s="554"/>
      <c r="D74" s="554"/>
      <c r="E74" s="554"/>
      <c r="F74" s="554"/>
      <c r="G74" s="523"/>
      <c r="H74" s="564"/>
      <c r="I74" s="564"/>
      <c r="J74" s="564"/>
      <c r="K74" s="564"/>
      <c r="L74" s="565"/>
      <c r="M74" s="566"/>
      <c r="N74" s="1157"/>
      <c r="O74" s="1157"/>
      <c r="P74" s="2638"/>
      <c r="Q74" s="559"/>
    </row>
    <row r="75" spans="1:17" s="471" customFormat="1" ht="14.4" thickBot="1">
      <c r="A75" s="568"/>
      <c r="B75" s="569"/>
      <c r="C75" s="570"/>
      <c r="D75" s="570"/>
      <c r="E75" s="570"/>
      <c r="F75" s="570"/>
      <c r="G75" s="570"/>
      <c r="H75" s="571"/>
      <c r="I75" s="571"/>
      <c r="J75" s="571"/>
      <c r="K75" s="571"/>
      <c r="L75" s="571"/>
      <c r="M75" s="572"/>
      <c r="N75" s="1157"/>
      <c r="O75" s="1157"/>
      <c r="P75" s="2636"/>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 thickTop="1">
      <c r="A86" s="579"/>
      <c r="B86" s="538" t="s">
        <v>2671</v>
      </c>
      <c r="C86" s="554"/>
      <c r="D86" s="554"/>
      <c r="E86" s="554"/>
      <c r="F86" s="554"/>
      <c r="G86" s="554"/>
      <c r="H86" s="554"/>
      <c r="I86" s="554"/>
      <c r="J86" s="554"/>
      <c r="K86" s="554"/>
      <c r="L86" s="580"/>
      <c r="M86" s="581"/>
      <c r="N86" s="1154"/>
      <c r="O86" s="1154"/>
      <c r="P86" s="263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4.4"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4.4" thickBot="1">
      <c r="A89" s="579"/>
      <c r="B89" s="543"/>
      <c r="C89" s="560"/>
      <c r="D89" s="536"/>
      <c r="E89" s="536"/>
      <c r="F89" s="536"/>
      <c r="G89" s="536"/>
      <c r="H89" s="536"/>
      <c r="I89" s="536"/>
      <c r="J89" s="536"/>
      <c r="K89" s="536"/>
      <c r="L89" s="536"/>
      <c r="M89" s="536"/>
      <c r="N89" s="1156"/>
      <c r="O89" s="1156"/>
      <c r="P89" s="2635"/>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4.4" thickTop="1">
      <c r="A92" s="534"/>
      <c r="B92" s="538" t="str">
        <f>B28</f>
        <v>楼层</v>
      </c>
      <c r="C92" s="554"/>
      <c r="D92" s="554"/>
      <c r="E92" s="554"/>
      <c r="F92" s="554"/>
      <c r="G92" s="554"/>
      <c r="H92" s="554"/>
      <c r="I92" s="554"/>
      <c r="J92" s="554"/>
      <c r="K92" s="554"/>
      <c r="L92" s="580"/>
      <c r="M92" s="581"/>
      <c r="N92" s="1155"/>
      <c r="O92" s="1155"/>
      <c r="P92" s="2635"/>
      <c r="Q92" s="504"/>
    </row>
    <row r="93" spans="1:17" ht="14.4" thickBot="1">
      <c r="A93" s="534"/>
      <c r="B93" s="543"/>
      <c r="C93" s="536"/>
      <c r="D93" s="536"/>
      <c r="E93" s="536"/>
      <c r="F93" s="536"/>
      <c r="G93" s="536"/>
      <c r="H93" s="536"/>
      <c r="I93" s="536"/>
      <c r="J93" s="536"/>
      <c r="K93" s="536"/>
      <c r="L93" s="536"/>
      <c r="M93" s="537"/>
      <c r="N93" s="1156"/>
      <c r="O93" s="1156"/>
      <c r="P93" s="2635"/>
      <c r="Q93" s="504"/>
    </row>
    <row r="94" spans="1:17" ht="14.4" thickTop="1">
      <c r="A94" s="534"/>
      <c r="B94" s="538">
        <f>B29</f>
        <v>111</v>
      </c>
      <c r="C94" s="554"/>
      <c r="D94" s="554"/>
      <c r="E94" s="554"/>
      <c r="F94" s="554"/>
      <c r="G94" s="583"/>
      <c r="H94" s="583"/>
      <c r="I94" s="583"/>
      <c r="J94" s="583"/>
      <c r="K94" s="584"/>
      <c r="L94" s="585"/>
      <c r="M94" s="586"/>
      <c r="N94" s="1155"/>
      <c r="O94" s="1155"/>
      <c r="P94" s="2635"/>
      <c r="Q94" s="504"/>
    </row>
    <row r="95" spans="1:17" ht="14.4" thickBot="1">
      <c r="A95" s="534"/>
      <c r="B95" s="543"/>
      <c r="C95" s="560"/>
      <c r="D95" s="536"/>
      <c r="E95" s="536"/>
      <c r="F95" s="536"/>
      <c r="G95" s="536"/>
      <c r="H95" s="536"/>
      <c r="I95" s="536"/>
      <c r="J95" s="536"/>
      <c r="K95" s="536"/>
      <c r="L95" s="536"/>
      <c r="M95" s="537"/>
      <c r="N95" s="1156"/>
      <c r="O95" s="1156"/>
      <c r="P95" s="2635"/>
      <c r="Q95" s="504"/>
    </row>
    <row r="96" spans="1:17" ht="14.4" thickTop="1">
      <c r="A96" s="534"/>
      <c r="B96" s="538">
        <f>B30</f>
        <v>111</v>
      </c>
      <c r="C96" s="554"/>
      <c r="D96" s="554"/>
      <c r="E96" s="554"/>
      <c r="F96" s="554"/>
      <c r="G96" s="583"/>
      <c r="H96" s="583"/>
      <c r="I96" s="583"/>
      <c r="J96" s="583"/>
      <c r="K96" s="584"/>
      <c r="L96" s="585"/>
      <c r="M96" s="586"/>
      <c r="N96" s="1155"/>
      <c r="O96" s="1155"/>
      <c r="P96" s="2635"/>
      <c r="Q96" s="504"/>
    </row>
    <row r="97" spans="1:17" ht="14.4" thickBot="1">
      <c r="A97" s="534"/>
      <c r="B97" s="543"/>
      <c r="C97" s="560"/>
      <c r="D97" s="536"/>
      <c r="E97" s="536"/>
      <c r="F97" s="536"/>
      <c r="G97" s="536"/>
      <c r="H97" s="536"/>
      <c r="I97" s="536"/>
      <c r="J97" s="536"/>
      <c r="K97" s="536"/>
      <c r="L97" s="536"/>
      <c r="M97" s="537"/>
      <c r="N97" s="1156"/>
      <c r="O97" s="1156"/>
      <c r="P97" s="2635"/>
      <c r="Q97" s="504"/>
    </row>
    <row r="98" spans="1:17" ht="14.4" thickTop="1">
      <c r="A98" s="534"/>
      <c r="B98" s="546">
        <f>B31</f>
        <v>111</v>
      </c>
      <c r="C98" s="554"/>
      <c r="D98" s="554"/>
      <c r="E98" s="554"/>
      <c r="F98" s="554"/>
      <c r="G98" s="587"/>
      <c r="H98" s="587"/>
      <c r="I98" s="587"/>
      <c r="J98" s="587"/>
      <c r="K98" s="588"/>
      <c r="L98" s="589"/>
      <c r="M98" s="590"/>
      <c r="N98" s="1155"/>
      <c r="O98" s="1155"/>
      <c r="P98" s="2635"/>
      <c r="Q98" s="504"/>
    </row>
    <row r="99" spans="1:17" ht="14.4" thickBot="1">
      <c r="A99" s="2641"/>
      <c r="B99" s="569"/>
      <c r="C99" s="570"/>
      <c r="D99" s="570"/>
      <c r="E99" s="570"/>
      <c r="F99" s="570"/>
      <c r="G99" s="591"/>
      <c r="H99" s="591"/>
      <c r="I99" s="591"/>
      <c r="J99" s="591"/>
      <c r="K99" s="591"/>
      <c r="L99" s="591"/>
      <c r="M99" s="592"/>
      <c r="N99" s="1156"/>
      <c r="O99" s="1156"/>
      <c r="P99" s="2635"/>
      <c r="Q99" s="504"/>
    </row>
    <row r="100" spans="1:17" ht="14.4">
      <c r="A100" s="527" t="s">
        <v>2554</v>
      </c>
      <c r="B100" s="528" t="s">
        <v>2672</v>
      </c>
      <c r="C100" s="530"/>
      <c r="D100" s="530"/>
      <c r="E100" s="530"/>
      <c r="F100" s="530"/>
      <c r="G100" s="530"/>
      <c r="H100" s="530"/>
      <c r="I100" s="530"/>
      <c r="J100" s="530"/>
      <c r="K100" s="531"/>
      <c r="L100" s="532"/>
      <c r="M100" s="533"/>
      <c r="N100" s="1155"/>
      <c r="O100" s="1155"/>
      <c r="P100" s="263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4.4"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6"/>
      <c r="Q127" s="559"/>
    </row>
    <row r="128" spans="1:17" ht="14.4" thickTop="1">
      <c r="A128" s="599"/>
      <c r="B128" s="538">
        <f>B45</f>
        <v>111</v>
      </c>
      <c r="C128" s="554"/>
      <c r="D128" s="554"/>
      <c r="E128" s="554"/>
      <c r="F128" s="554"/>
      <c r="G128" s="583"/>
      <c r="H128" s="583"/>
      <c r="I128" s="583"/>
      <c r="J128" s="583"/>
      <c r="K128" s="584"/>
      <c r="L128" s="585"/>
      <c r="M128" s="586"/>
      <c r="N128" s="1155"/>
      <c r="O128" s="1155"/>
      <c r="P128" s="2635"/>
      <c r="Q128" s="504"/>
    </row>
    <row r="129" spans="1:17" ht="14.4" thickBot="1">
      <c r="A129" s="534"/>
      <c r="B129" s="543"/>
      <c r="C129" s="560"/>
      <c r="D129" s="536"/>
      <c r="E129" s="536"/>
      <c r="F129" s="536"/>
      <c r="G129" s="536"/>
      <c r="H129" s="536"/>
      <c r="I129" s="536"/>
      <c r="J129" s="536"/>
      <c r="K129" s="536"/>
      <c r="L129" s="536"/>
      <c r="M129" s="537"/>
      <c r="N129" s="1156"/>
      <c r="O129" s="1156"/>
      <c r="P129" s="2635"/>
      <c r="Q129" s="504"/>
    </row>
    <row r="130" spans="1:17" ht="14.4" thickTop="1">
      <c r="A130" s="599"/>
      <c r="B130" s="546">
        <f>B46</f>
        <v>111</v>
      </c>
      <c r="C130" s="554"/>
      <c r="D130" s="554"/>
      <c r="E130" s="554"/>
      <c r="F130" s="554"/>
      <c r="G130" s="587"/>
      <c r="H130" s="587"/>
      <c r="I130" s="587"/>
      <c r="J130" s="587"/>
      <c r="K130" s="523"/>
      <c r="L130" s="524"/>
      <c r="M130" s="590"/>
      <c r="N130" s="1155"/>
      <c r="O130" s="1155"/>
      <c r="P130" s="2635"/>
      <c r="Q130" s="504"/>
    </row>
    <row r="131" spans="1:17" ht="14.4"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255" t="s">
        <v>2642</v>
      </c>
      <c r="Q4" s="3256"/>
      <c r="R4" s="3250" t="s">
        <v>2638</v>
      </c>
      <c r="S4" s="3251"/>
      <c r="T4" s="3250" t="s">
        <v>2639</v>
      </c>
      <c r="U4" s="3251"/>
      <c r="V4" s="3259" t="s">
        <v>2640</v>
      </c>
      <c r="W4" s="3259"/>
      <c r="X4" s="2675"/>
      <c r="Y4" s="3250" t="s">
        <v>2642</v>
      </c>
      <c r="Z4" s="3251"/>
      <c r="AA4" s="3249" t="s">
        <v>2638</v>
      </c>
      <c r="AB4" s="3249" t="s">
        <v>2639</v>
      </c>
      <c r="AC4" s="3252" t="s">
        <v>2640</v>
      </c>
    </row>
    <row r="5" spans="1:29">
      <c r="A5" s="404"/>
      <c r="B5" s="405"/>
      <c r="C5" s="3182" t="s">
        <v>2533</v>
      </c>
      <c r="D5" s="3183"/>
      <c r="E5" s="3180" t="s">
        <v>2534</v>
      </c>
      <c r="F5" s="3181"/>
      <c r="G5" s="3182" t="s">
        <v>2535</v>
      </c>
      <c r="H5" s="3183"/>
      <c r="I5" s="3182" t="s">
        <v>2536</v>
      </c>
      <c r="J5" s="3183"/>
      <c r="K5" s="610"/>
      <c r="L5" s="1133"/>
      <c r="M5" s="1134"/>
      <c r="N5" s="1134"/>
      <c r="O5" s="1134"/>
      <c r="P5" s="3257"/>
      <c r="Q5" s="3196"/>
      <c r="R5" s="3178"/>
      <c r="S5" s="3179"/>
      <c r="T5" s="3178"/>
      <c r="U5" s="3179"/>
      <c r="V5" s="3201"/>
      <c r="W5" s="3201"/>
      <c r="X5" s="1815"/>
      <c r="Y5" s="3178"/>
      <c r="Z5" s="3179"/>
      <c r="AA5" s="3172"/>
      <c r="AB5" s="3172"/>
      <c r="AC5" s="3253"/>
    </row>
    <row r="6" spans="1:29" ht="15" thickBot="1">
      <c r="A6" s="406"/>
      <c r="B6" s="407"/>
      <c r="C6" s="3184" t="s">
        <v>2537</v>
      </c>
      <c r="D6" s="3185"/>
      <c r="E6" s="3186" t="s">
        <v>2537</v>
      </c>
      <c r="F6" s="3187"/>
      <c r="G6" s="3184" t="s">
        <v>2537</v>
      </c>
      <c r="H6" s="3185"/>
      <c r="I6" s="3184" t="s">
        <v>2537</v>
      </c>
      <c r="J6" s="3185"/>
      <c r="K6" s="610" t="s">
        <v>2538</v>
      </c>
      <c r="L6" s="1133"/>
      <c r="M6" s="1134"/>
      <c r="N6" s="1134"/>
      <c r="O6" s="1134"/>
      <c r="P6" s="3258"/>
      <c r="Q6" s="3198"/>
      <c r="R6" s="3178"/>
      <c r="S6" s="3179"/>
      <c r="T6" s="3199"/>
      <c r="U6" s="3200"/>
      <c r="V6" s="3201"/>
      <c r="W6" s="3201"/>
      <c r="X6" s="1815"/>
      <c r="Y6" s="3199"/>
      <c r="Z6" s="3200"/>
      <c r="AA6" s="3173"/>
      <c r="AB6" s="3173"/>
      <c r="AC6" s="3254"/>
    </row>
    <row r="7" spans="1:29" s="117" customFormat="1" ht="1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0" t="s">
        <v>2540</v>
      </c>
      <c r="Q7" s="3202"/>
      <c r="R7" s="770" t="s">
        <v>17</v>
      </c>
      <c r="S7" s="771">
        <f t="shared" ref="S7:S15" si="0">F7</f>
        <v>0</v>
      </c>
      <c r="T7" s="770" t="s">
        <v>17</v>
      </c>
      <c r="U7" s="771">
        <f t="shared" ref="U7:U15" si="1">H7</f>
        <v>0</v>
      </c>
      <c r="V7" s="770" t="s">
        <v>17</v>
      </c>
      <c r="W7" s="771">
        <f t="shared" ref="W7:W15" si="2">J7</f>
        <v>0</v>
      </c>
      <c r="X7" s="772"/>
      <c r="Y7" s="3174" t="s">
        <v>2540</v>
      </c>
      <c r="Z7" s="3175"/>
      <c r="AA7" s="773" t="e">
        <f>D7/F7</f>
        <v>#DIV/0!</v>
      </c>
      <c r="AB7" s="773" t="e">
        <f>D7/H7</f>
        <v>#DIV/0!</v>
      </c>
      <c r="AC7" s="2676" t="e">
        <f>D7/J7</f>
        <v>#DIV/0!</v>
      </c>
    </row>
    <row r="8" spans="1:29" s="117" customFormat="1" ht="1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0" t="s">
        <v>2543</v>
      </c>
      <c r="Q8" s="3175"/>
      <c r="R8" s="770" t="s">
        <v>17</v>
      </c>
      <c r="S8" s="771">
        <f t="shared" si="0"/>
        <v>0</v>
      </c>
      <c r="T8" s="770" t="s">
        <v>17</v>
      </c>
      <c r="U8" s="771">
        <f t="shared" si="1"/>
        <v>0</v>
      </c>
      <c r="V8" s="770" t="s">
        <v>17</v>
      </c>
      <c r="W8" s="771">
        <f t="shared" si="2"/>
        <v>0</v>
      </c>
      <c r="X8" s="772"/>
      <c r="Y8" s="3174" t="s">
        <v>2543</v>
      </c>
      <c r="Z8" s="3175"/>
      <c r="AA8" s="773" t="e">
        <f t="shared" ref="AA8:AA47" si="3">D8/F8</f>
        <v>#DIV/0!</v>
      </c>
      <c r="AB8" s="773" t="e">
        <f t="shared" ref="AB8:AB47" si="4">D8/H8</f>
        <v>#DIV/0!</v>
      </c>
      <c r="AC8" s="2676" t="e">
        <f t="shared" ref="AC8:AC47" si="5">D8/J8</f>
        <v>#DIV/0!</v>
      </c>
    </row>
    <row r="9" spans="1:29" s="117" customFormat="1" ht="14.4">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2"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2676">
        <f t="shared" si="5"/>
        <v>1</v>
      </c>
    </row>
    <row r="10" spans="1:29" s="427" customFormat="1" ht="28.8">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2"/>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2"/>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12"/>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12"/>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76">
        <f t="shared" si="5"/>
        <v>1</v>
      </c>
    </row>
    <row r="14" spans="1:29" ht="15.6"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12"/>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76">
        <f t="shared" si="5"/>
        <v>1</v>
      </c>
    </row>
    <row r="15" spans="1:29" ht="82.8">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7" t="s">
        <v>2551</v>
      </c>
      <c r="Q15" s="1812" t="str">
        <f t="shared" si="6"/>
        <v>办公集聚程度</v>
      </c>
      <c r="R15" s="774" t="s">
        <v>17</v>
      </c>
      <c r="S15" s="775">
        <f t="shared" si="0"/>
        <v>100</v>
      </c>
      <c r="T15" s="774" t="s">
        <v>17</v>
      </c>
      <c r="U15" s="775">
        <f t="shared" si="1"/>
        <v>100</v>
      </c>
      <c r="V15" s="774" t="s">
        <v>17</v>
      </c>
      <c r="W15" s="775">
        <f t="shared" si="2"/>
        <v>100</v>
      </c>
      <c r="X15" s="1815"/>
      <c r="Y15" s="3203"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8"/>
      <c r="Q16" s="1812"/>
      <c r="R16" s="774"/>
      <c r="S16" s="775"/>
      <c r="T16" s="774"/>
      <c r="U16" s="775"/>
      <c r="V16" s="774"/>
      <c r="W16" s="775"/>
      <c r="X16" s="1815"/>
      <c r="Y16" s="3204"/>
      <c r="Z16" s="1816"/>
      <c r="AA16" s="1813">
        <v>1</v>
      </c>
      <c r="AB16" s="1813">
        <v>1</v>
      </c>
      <c r="AC16" s="2679">
        <v>1</v>
      </c>
    </row>
    <row r="17" spans="1:29" ht="96.6">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8"/>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8"/>
      <c r="Q18" s="1812"/>
      <c r="R18" s="774"/>
      <c r="S18" s="775"/>
      <c r="T18" s="774"/>
      <c r="U18" s="775"/>
      <c r="V18" s="774"/>
      <c r="W18" s="775"/>
      <c r="X18" s="1815"/>
      <c r="Y18" s="3204"/>
      <c r="Z18" s="1816"/>
      <c r="AA18" s="1813">
        <v>1</v>
      </c>
      <c r="AB18" s="1813">
        <v>1</v>
      </c>
      <c r="AC18" s="2679">
        <v>1</v>
      </c>
    </row>
    <row r="19" spans="1:29" ht="96.6">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8"/>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8"/>
      <c r="Q20" s="1812"/>
      <c r="R20" s="774"/>
      <c r="S20" s="775"/>
      <c r="T20" s="774"/>
      <c r="U20" s="775"/>
      <c r="V20" s="774"/>
      <c r="W20" s="775"/>
      <c r="X20" s="1815"/>
      <c r="Y20" s="3204"/>
      <c r="Z20" s="1816"/>
      <c r="AA20" s="1813">
        <v>1</v>
      </c>
      <c r="AB20" s="1813">
        <v>1</v>
      </c>
      <c r="AC20" s="2679">
        <v>1</v>
      </c>
    </row>
    <row r="21" spans="1:29" ht="27.6">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8"/>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8"/>
      <c r="Q22" s="1812"/>
      <c r="R22" s="774"/>
      <c r="S22" s="775"/>
      <c r="T22" s="774"/>
      <c r="U22" s="775"/>
      <c r="V22" s="774"/>
      <c r="W22" s="775"/>
      <c r="X22" s="1815"/>
      <c r="Y22" s="3204"/>
      <c r="Z22" s="1816"/>
      <c r="AA22" s="1813">
        <v>1</v>
      </c>
      <c r="AB22" s="1813">
        <v>1</v>
      </c>
      <c r="AC22" s="2679">
        <v>1</v>
      </c>
    </row>
    <row r="23" spans="1:29" ht="96.6">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8"/>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8"/>
      <c r="Q24" s="1812"/>
      <c r="R24" s="774"/>
      <c r="S24" s="775"/>
      <c r="T24" s="774"/>
      <c r="U24" s="775"/>
      <c r="V24" s="774"/>
      <c r="W24" s="775"/>
      <c r="X24" s="1815"/>
      <c r="Y24" s="3204"/>
      <c r="Z24" s="1816"/>
      <c r="AA24" s="1813">
        <v>1</v>
      </c>
      <c r="AB24" s="1813">
        <v>1</v>
      </c>
      <c r="AC24" s="2679">
        <v>1</v>
      </c>
    </row>
    <row r="25" spans="1:29" ht="28.8">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8"/>
      <c r="Q25" s="1812" t="str">
        <f>B25</f>
        <v>毗邻道路的类型与等级</v>
      </c>
      <c r="R25" s="774" t="s">
        <v>17</v>
      </c>
      <c r="S25" s="775">
        <f>F25</f>
        <v>100</v>
      </c>
      <c r="T25" s="774" t="s">
        <v>17</v>
      </c>
      <c r="U25" s="775">
        <f>H25</f>
        <v>100</v>
      </c>
      <c r="V25" s="774" t="s">
        <v>17</v>
      </c>
      <c r="W25" s="775">
        <f>J25</f>
        <v>100</v>
      </c>
      <c r="X25" s="1815"/>
      <c r="Y25" s="3204"/>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8"/>
      <c r="Q26" s="1812"/>
      <c r="R26" s="774"/>
      <c r="S26" s="775"/>
      <c r="T26" s="774"/>
      <c r="U26" s="775"/>
      <c r="V26" s="774"/>
      <c r="W26" s="775"/>
      <c r="X26" s="1815"/>
      <c r="Y26" s="3204"/>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8"/>
      <c r="Q27" s="1812" t="str">
        <f t="shared" ref="Q27:Q47" si="11">B27</f>
        <v>楼层</v>
      </c>
      <c r="R27" s="774" t="s">
        <v>17</v>
      </c>
      <c r="S27" s="775">
        <f>F27</f>
        <v>100</v>
      </c>
      <c r="T27" s="774" t="s">
        <v>17</v>
      </c>
      <c r="U27" s="775">
        <f>H27</f>
        <v>100</v>
      </c>
      <c r="V27" s="774" t="s">
        <v>17</v>
      </c>
      <c r="W27" s="775">
        <f>J27</f>
        <v>100</v>
      </c>
      <c r="X27" s="1815"/>
      <c r="Y27" s="3204"/>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8"/>
      <c r="Q28" s="1797" t="str">
        <f t="shared" si="11"/>
        <v>朝向</v>
      </c>
      <c r="R28" s="770" t="s">
        <v>17</v>
      </c>
      <c r="S28" s="771">
        <f>F28</f>
        <v>100</v>
      </c>
      <c r="T28" s="770" t="s">
        <v>17</v>
      </c>
      <c r="U28" s="771">
        <f>H28</f>
        <v>100</v>
      </c>
      <c r="V28" s="770" t="s">
        <v>17</v>
      </c>
      <c r="W28" s="771">
        <f>J28</f>
        <v>100</v>
      </c>
      <c r="X28" s="772"/>
      <c r="Y28" s="3204"/>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8"/>
      <c r="Q29" s="1812">
        <f t="shared" si="11"/>
        <v>111</v>
      </c>
      <c r="R29" s="774" t="s">
        <v>17</v>
      </c>
      <c r="S29" s="775">
        <f t="shared" ref="S29:S47" si="12">F29</f>
        <v>100</v>
      </c>
      <c r="T29" s="774" t="s">
        <v>17</v>
      </c>
      <c r="U29" s="775">
        <f t="shared" ref="U29:U47" si="13">H29</f>
        <v>100</v>
      </c>
      <c r="V29" s="774" t="s">
        <v>17</v>
      </c>
      <c r="W29" s="775">
        <f t="shared" ref="W29:W47" si="14">J29</f>
        <v>100</v>
      </c>
      <c r="X29" s="1815"/>
      <c r="Y29" s="3204"/>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8"/>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8"/>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2679">
        <f t="shared" si="5"/>
        <v>1</v>
      </c>
    </row>
    <row r="32" spans="1:29" ht="15.6"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8"/>
      <c r="Q32" s="1812">
        <f t="shared" si="11"/>
        <v>111</v>
      </c>
      <c r="R32" s="774" t="s">
        <v>17</v>
      </c>
      <c r="S32" s="775">
        <f t="shared" si="12"/>
        <v>100</v>
      </c>
      <c r="T32" s="774" t="s">
        <v>17</v>
      </c>
      <c r="U32" s="775">
        <f t="shared" si="13"/>
        <v>100</v>
      </c>
      <c r="V32" s="774" t="s">
        <v>17</v>
      </c>
      <c r="W32" s="775">
        <f t="shared" si="14"/>
        <v>100</v>
      </c>
      <c r="X32" s="1815"/>
      <c r="Y32" s="3204"/>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3" t="s">
        <v>2556</v>
      </c>
      <c r="Q33" s="1812" t="str">
        <f t="shared" si="11"/>
        <v>建筑类型</v>
      </c>
      <c r="R33" s="774" t="s">
        <v>17</v>
      </c>
      <c r="S33" s="775">
        <f t="shared" si="12"/>
        <v>100</v>
      </c>
      <c r="T33" s="774" t="s">
        <v>17</v>
      </c>
      <c r="U33" s="775">
        <f t="shared" si="13"/>
        <v>100</v>
      </c>
      <c r="V33" s="774" t="s">
        <v>17</v>
      </c>
      <c r="W33" s="775">
        <f t="shared" si="14"/>
        <v>100</v>
      </c>
      <c r="X33" s="1815"/>
      <c r="Y33" s="3206"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2" t="str">
        <f t="shared" si="11"/>
        <v>建筑结构</v>
      </c>
      <c r="R35" s="774" t="s">
        <v>17</v>
      </c>
      <c r="S35" s="775">
        <f t="shared" si="12"/>
        <v>100</v>
      </c>
      <c r="T35" s="774" t="s">
        <v>17</v>
      </c>
      <c r="U35" s="775">
        <f t="shared" si="13"/>
        <v>100</v>
      </c>
      <c r="V35" s="774" t="s">
        <v>17</v>
      </c>
      <c r="W35" s="775">
        <f t="shared" si="14"/>
        <v>100</v>
      </c>
      <c r="X35" s="1815"/>
      <c r="Y35" s="3206"/>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2" t="str">
        <f t="shared" si="11"/>
        <v>公共部分装修</v>
      </c>
      <c r="R36" s="774" t="s">
        <v>17</v>
      </c>
      <c r="S36" s="775">
        <f t="shared" si="12"/>
        <v>100</v>
      </c>
      <c r="T36" s="774" t="s">
        <v>17</v>
      </c>
      <c r="U36" s="775">
        <f t="shared" si="13"/>
        <v>100</v>
      </c>
      <c r="V36" s="774" t="s">
        <v>17</v>
      </c>
      <c r="W36" s="775">
        <f t="shared" si="14"/>
        <v>100</v>
      </c>
      <c r="X36" s="1815"/>
      <c r="Y36" s="3206"/>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2" t="str">
        <f t="shared" si="11"/>
        <v>成新度</v>
      </c>
      <c r="R37" s="774" t="s">
        <v>17</v>
      </c>
      <c r="S37" s="775" t="e">
        <f t="shared" si="12"/>
        <v>#N/A</v>
      </c>
      <c r="T37" s="774" t="s">
        <v>17</v>
      </c>
      <c r="U37" s="775" t="e">
        <f t="shared" si="13"/>
        <v>#N/A</v>
      </c>
      <c r="V37" s="774" t="s">
        <v>17</v>
      </c>
      <c r="W37" s="775" t="e">
        <f t="shared" si="14"/>
        <v>#N/A</v>
      </c>
      <c r="X37" s="1815"/>
      <c r="Y37" s="3206"/>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7"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2556</v>
      </c>
      <c r="Q39" s="1812" t="str">
        <f t="shared" si="11"/>
        <v>物业管理</v>
      </c>
      <c r="R39" s="774" t="s">
        <v>17</v>
      </c>
      <c r="S39" s="775">
        <f t="shared" si="12"/>
        <v>100</v>
      </c>
      <c r="T39" s="774" t="s">
        <v>17</v>
      </c>
      <c r="U39" s="775">
        <f t="shared" si="13"/>
        <v>100</v>
      </c>
      <c r="V39" s="774" t="s">
        <v>17</v>
      </c>
      <c r="W39" s="775">
        <f t="shared" si="14"/>
        <v>100</v>
      </c>
      <c r="X39" s="1815"/>
      <c r="Y39" s="3206"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2" t="str">
        <f t="shared" si="11"/>
        <v>市政基础设施</v>
      </c>
      <c r="R40" s="774" t="s">
        <v>17</v>
      </c>
      <c r="S40" s="775">
        <f t="shared" si="12"/>
        <v>100</v>
      </c>
      <c r="T40" s="774" t="s">
        <v>17</v>
      </c>
      <c r="U40" s="775">
        <f t="shared" si="13"/>
        <v>100</v>
      </c>
      <c r="V40" s="774" t="s">
        <v>17</v>
      </c>
      <c r="W40" s="775">
        <f t="shared" si="14"/>
        <v>100</v>
      </c>
      <c r="X40" s="1815"/>
      <c r="Y40" s="3206"/>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2" t="str">
        <f t="shared" si="11"/>
        <v>层高</v>
      </c>
      <c r="R41" s="774" t="s">
        <v>17</v>
      </c>
      <c r="S41" s="775">
        <f t="shared" si="12"/>
        <v>100</v>
      </c>
      <c r="T41" s="774" t="s">
        <v>17</v>
      </c>
      <c r="U41" s="775">
        <f t="shared" si="13"/>
        <v>100</v>
      </c>
      <c r="V41" s="774" t="s">
        <v>17</v>
      </c>
      <c r="W41" s="775">
        <f t="shared" si="14"/>
        <v>100</v>
      </c>
      <c r="X41" s="1815"/>
      <c r="Y41" s="3206"/>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2" t="str">
        <f t="shared" si="11"/>
        <v>内部装修</v>
      </c>
      <c r="R43" s="774" t="s">
        <v>17</v>
      </c>
      <c r="S43" s="775">
        <f t="shared" si="12"/>
        <v>100</v>
      </c>
      <c r="T43" s="774" t="s">
        <v>17</v>
      </c>
      <c r="U43" s="775">
        <f t="shared" si="13"/>
        <v>100</v>
      </c>
      <c r="V43" s="774" t="s">
        <v>17</v>
      </c>
      <c r="W43" s="775">
        <f t="shared" si="14"/>
        <v>100</v>
      </c>
      <c r="X43" s="1815"/>
      <c r="Y43" s="3206"/>
      <c r="Z43" s="1816" t="str">
        <f t="shared" si="15"/>
        <v>内部装修</v>
      </c>
      <c r="AA43" s="1813">
        <f t="shared" si="3"/>
        <v>1</v>
      </c>
      <c r="AB43" s="1813">
        <f t="shared" si="4"/>
        <v>1</v>
      </c>
      <c r="AC43" s="2679">
        <f t="shared" si="5"/>
        <v>1</v>
      </c>
    </row>
    <row r="44" spans="1:29" ht="28.8">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4"/>
      <c r="Q44" s="1812" t="str">
        <f t="shared" si="11"/>
        <v>内部装修维护情况</v>
      </c>
      <c r="R44" s="774" t="s">
        <v>17</v>
      </c>
      <c r="S44" s="775">
        <f t="shared" si="12"/>
        <v>100</v>
      </c>
      <c r="T44" s="774" t="s">
        <v>17</v>
      </c>
      <c r="U44" s="775">
        <f t="shared" si="13"/>
        <v>100</v>
      </c>
      <c r="V44" s="774" t="s">
        <v>17</v>
      </c>
      <c r="W44" s="775">
        <f t="shared" si="14"/>
        <v>100</v>
      </c>
      <c r="X44" s="1815"/>
      <c r="Y44" s="3206"/>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7">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2">
        <f t="shared" si="11"/>
        <v>111</v>
      </c>
      <c r="R46" s="774" t="s">
        <v>17</v>
      </c>
      <c r="S46" s="775">
        <f t="shared" si="12"/>
        <v>100</v>
      </c>
      <c r="T46" s="774" t="s">
        <v>17</v>
      </c>
      <c r="U46" s="775">
        <f t="shared" si="13"/>
        <v>100</v>
      </c>
      <c r="V46" s="774" t="s">
        <v>17</v>
      </c>
      <c r="W46" s="775">
        <f t="shared" si="14"/>
        <v>100</v>
      </c>
      <c r="X46" s="1815"/>
      <c r="Y46" s="3206"/>
      <c r="Z46" s="1816">
        <f t="shared" si="15"/>
        <v>111</v>
      </c>
      <c r="AA46" s="1813">
        <f t="shared" si="3"/>
        <v>1</v>
      </c>
      <c r="AB46" s="1813">
        <f t="shared" si="4"/>
        <v>1</v>
      </c>
      <c r="AC46" s="2679">
        <f t="shared" si="5"/>
        <v>1</v>
      </c>
    </row>
    <row r="47" spans="1:29" ht="15.6"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2">
        <f t="shared" si="11"/>
        <v>111</v>
      </c>
      <c r="R47" s="774" t="s">
        <v>17</v>
      </c>
      <c r="S47" s="775">
        <f t="shared" si="12"/>
        <v>100</v>
      </c>
      <c r="T47" s="774" t="s">
        <v>17</v>
      </c>
      <c r="U47" s="775">
        <f t="shared" si="13"/>
        <v>100</v>
      </c>
      <c r="V47" s="774" t="s">
        <v>17</v>
      </c>
      <c r="W47" s="775">
        <f t="shared" si="14"/>
        <v>100</v>
      </c>
      <c r="X47" s="1815"/>
      <c r="Y47" s="3246"/>
      <c r="Z47" s="1816">
        <f t="shared" si="15"/>
        <v>111</v>
      </c>
      <c r="AA47" s="1813">
        <f t="shared" si="3"/>
        <v>1</v>
      </c>
      <c r="AB47" s="1813">
        <f t="shared" si="4"/>
        <v>1</v>
      </c>
      <c r="AC47" s="2679">
        <f t="shared" si="5"/>
        <v>1</v>
      </c>
    </row>
    <row r="48" spans="1:29" ht="14.4">
      <c r="A48" s="479" t="s">
        <v>2568</v>
      </c>
      <c r="B48" s="480"/>
      <c r="C48" s="1410" t="s">
        <v>1</v>
      </c>
      <c r="D48" s="1411"/>
      <c r="E48" s="1412"/>
      <c r="F48" s="1413"/>
      <c r="G48" s="1414"/>
      <c r="H48" s="1415"/>
      <c r="I48" s="1412"/>
      <c r="J48" s="485"/>
      <c r="K48" s="783"/>
      <c r="L48" s="1146"/>
      <c r="M48" s="1134"/>
      <c r="N48" s="1134"/>
      <c r="O48" s="1134"/>
      <c r="P48" s="3212" t="str">
        <f>A48</f>
        <v>成交单价（元/平方米）</v>
      </c>
      <c r="Q48" s="3188"/>
      <c r="R48" s="3242">
        <f>E48</f>
        <v>0</v>
      </c>
      <c r="S48" s="3242"/>
      <c r="T48" s="3242">
        <f>G48</f>
        <v>0</v>
      </c>
      <c r="U48" s="3242"/>
      <c r="V48" s="3242">
        <f>I48</f>
        <v>0</v>
      </c>
      <c r="W48" s="3242"/>
      <c r="X48" s="446"/>
      <c r="Y48" s="781"/>
      <c r="Z48" s="446"/>
      <c r="AA48" s="446"/>
      <c r="AB48" s="446"/>
      <c r="AC48" s="630"/>
    </row>
    <row r="49" spans="1:29" ht="1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12" t="str">
        <f>A49</f>
        <v>比较价值（元/平方米）</v>
      </c>
      <c r="Q49" s="3188"/>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 thickBot="1">
      <c r="A50" s="492" t="s">
        <v>2661</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2.2" thickBot="1">
      <c r="A58" s="763" t="s">
        <v>2665</v>
      </c>
      <c r="B58" s="759"/>
      <c r="C58" s="764"/>
      <c r="D58" s="764"/>
      <c r="E58" s="764"/>
      <c r="F58" s="765"/>
      <c r="G58" s="765"/>
      <c r="H58" s="764"/>
      <c r="I58" s="764"/>
      <c r="J58" s="764"/>
      <c r="K58" s="766"/>
      <c r="L58" s="1164"/>
      <c r="M58" s="1162"/>
      <c r="N58" s="1162"/>
      <c r="O58" s="1162"/>
      <c r="P58" s="2686"/>
      <c r="Q58" s="504"/>
    </row>
    <row r="59" spans="1:29" s="508" customFormat="1" ht="14.4">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c r="A60" s="509"/>
      <c r="B60" s="510"/>
      <c r="C60" s="1576">
        <v>100</v>
      </c>
      <c r="D60" s="512"/>
      <c r="E60" s="512"/>
      <c r="F60" s="512"/>
      <c r="G60" s="512"/>
      <c r="H60" s="512"/>
      <c r="I60" s="512"/>
      <c r="J60" s="512"/>
      <c r="K60" s="512"/>
      <c r="L60" s="512"/>
      <c r="M60" s="513"/>
      <c r="N60" s="512"/>
      <c r="O60" s="513"/>
      <c r="P60" s="2687"/>
    </row>
    <row r="61" spans="1:29" s="117" customFormat="1" ht="15" thickBot="1">
      <c r="A61" s="515" t="s">
        <v>2576</v>
      </c>
      <c r="B61" s="516"/>
      <c r="C61" s="517"/>
      <c r="D61" s="518"/>
      <c r="E61" s="518"/>
      <c r="F61" s="518"/>
      <c r="G61" s="518"/>
      <c r="H61" s="518"/>
      <c r="I61" s="518"/>
      <c r="J61" s="518"/>
      <c r="K61" s="518"/>
      <c r="L61" s="518"/>
      <c r="M61" s="519"/>
      <c r="N61" s="518"/>
      <c r="O61" s="519"/>
      <c r="P61" s="2687"/>
      <c r="Q61" s="504"/>
    </row>
    <row r="62" spans="1:29" s="117" customFormat="1" ht="14.4">
      <c r="A62" s="521" t="s">
        <v>2541</v>
      </c>
      <c r="B62" s="510"/>
      <c r="C62" s="522" t="s">
        <v>2643</v>
      </c>
      <c r="D62" s="523"/>
      <c r="E62" s="523"/>
      <c r="F62" s="523"/>
      <c r="G62" s="523"/>
      <c r="H62" s="523"/>
      <c r="I62" s="523"/>
      <c r="J62" s="523"/>
      <c r="K62" s="523"/>
      <c r="L62" s="524"/>
      <c r="M62" s="525"/>
      <c r="N62" s="1154"/>
      <c r="O62" s="1154"/>
      <c r="P62" s="2688"/>
      <c r="Q62" s="504"/>
    </row>
    <row r="63" spans="1:29" s="117" customFormat="1" ht="14.4" thickBot="1">
      <c r="A63" s="521"/>
      <c r="B63" s="510"/>
      <c r="C63" s="511">
        <v>100</v>
      </c>
      <c r="D63" s="512"/>
      <c r="E63" s="512"/>
      <c r="F63" s="512"/>
      <c r="G63" s="512"/>
      <c r="H63" s="512"/>
      <c r="I63" s="512"/>
      <c r="J63" s="512"/>
      <c r="K63" s="512"/>
      <c r="L63" s="512"/>
      <c r="M63" s="514"/>
      <c r="N63" s="1154"/>
      <c r="O63" s="1154"/>
      <c r="P63" s="2687"/>
      <c r="Q63" s="504"/>
    </row>
    <row r="64" spans="1:29" ht="14.4">
      <c r="A64" s="527" t="s">
        <v>2579</v>
      </c>
      <c r="B64" s="528" t="s">
        <v>2545</v>
      </c>
      <c r="C64" s="529">
        <f>C9</f>
        <v>0</v>
      </c>
      <c r="D64" s="530"/>
      <c r="E64" s="530"/>
      <c r="F64" s="530"/>
      <c r="G64" s="530"/>
      <c r="H64" s="530"/>
      <c r="I64" s="530"/>
      <c r="J64" s="530"/>
      <c r="K64" s="531"/>
      <c r="L64" s="532"/>
      <c r="M64" s="533"/>
      <c r="N64" s="1155"/>
      <c r="O64" s="1155"/>
      <c r="P64" s="2689"/>
      <c r="Q64" s="504"/>
    </row>
    <row r="65" spans="1:17" ht="14.4" thickBot="1">
      <c r="A65" s="534"/>
      <c r="B65" s="535"/>
      <c r="C65" s="536">
        <v>100</v>
      </c>
      <c r="D65" s="536"/>
      <c r="E65" s="536"/>
      <c r="F65" s="536"/>
      <c r="G65" s="536"/>
      <c r="H65" s="536"/>
      <c r="I65" s="536"/>
      <c r="J65" s="536"/>
      <c r="K65" s="536"/>
      <c r="L65" s="536"/>
      <c r="M65" s="537"/>
      <c r="N65" s="1156"/>
      <c r="O65" s="1156"/>
      <c r="P65" s="2689"/>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c r="A69" s="534"/>
      <c r="B69" s="548"/>
      <c r="C69" s="549"/>
      <c r="D69" s="549"/>
      <c r="E69" s="549"/>
      <c r="F69" s="549"/>
      <c r="G69" s="549"/>
      <c r="H69" s="549"/>
      <c r="I69" s="549"/>
      <c r="J69" s="549"/>
      <c r="K69" s="550"/>
      <c r="L69" s="551"/>
      <c r="M69" s="552"/>
      <c r="N69" s="1155"/>
      <c r="O69" s="1155"/>
      <c r="P69" s="268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4.4" thickTop="1">
      <c r="A71" s="553"/>
      <c r="B71" s="538">
        <f>B12</f>
        <v>111</v>
      </c>
      <c r="C71" s="554"/>
      <c r="D71" s="554"/>
      <c r="E71" s="554"/>
      <c r="F71" s="554"/>
      <c r="G71" s="554"/>
      <c r="H71" s="555"/>
      <c r="I71" s="555"/>
      <c r="J71" s="555"/>
      <c r="K71" s="555"/>
      <c r="L71" s="556"/>
      <c r="M71" s="557"/>
      <c r="N71" s="1157"/>
      <c r="O71" s="1157"/>
      <c r="P71" s="2690"/>
      <c r="Q71" s="559"/>
    </row>
    <row r="72" spans="1:17" s="471" customFormat="1" ht="14.4" thickBot="1">
      <c r="A72" s="553"/>
      <c r="B72" s="543"/>
      <c r="C72" s="560"/>
      <c r="D72" s="536"/>
      <c r="E72" s="536"/>
      <c r="F72" s="536"/>
      <c r="G72" s="536"/>
      <c r="H72" s="536"/>
      <c r="I72" s="536"/>
      <c r="J72" s="536"/>
      <c r="K72" s="536"/>
      <c r="L72" s="536"/>
      <c r="M72" s="537"/>
      <c r="N72" s="1156"/>
      <c r="O72" s="1156"/>
      <c r="P72" s="2690"/>
      <c r="Q72" s="559"/>
    </row>
    <row r="73" spans="1:17" s="471" customFormat="1" ht="14.4" thickTop="1">
      <c r="A73" s="553"/>
      <c r="B73" s="538">
        <f>B13</f>
        <v>111</v>
      </c>
      <c r="C73" s="554"/>
      <c r="D73" s="554"/>
      <c r="E73" s="554"/>
      <c r="F73" s="554"/>
      <c r="G73" s="554"/>
      <c r="H73" s="555"/>
      <c r="I73" s="555"/>
      <c r="J73" s="555"/>
      <c r="K73" s="555"/>
      <c r="L73" s="556"/>
      <c r="M73" s="557"/>
      <c r="N73" s="1157"/>
      <c r="O73" s="1157"/>
      <c r="P73" s="2691"/>
      <c r="Q73" s="561"/>
    </row>
    <row r="74" spans="1:17" s="471" customFormat="1" ht="14.4" thickBot="1">
      <c r="A74" s="553"/>
      <c r="B74" s="543"/>
      <c r="C74" s="560"/>
      <c r="D74" s="560"/>
      <c r="E74" s="560"/>
      <c r="F74" s="560"/>
      <c r="G74" s="560"/>
      <c r="H74" s="562"/>
      <c r="I74" s="562"/>
      <c r="J74" s="562"/>
      <c r="K74" s="562"/>
      <c r="L74" s="562"/>
      <c r="M74" s="563"/>
      <c r="N74" s="1157"/>
      <c r="O74" s="1157"/>
      <c r="P74" s="2690"/>
      <c r="Q74" s="559"/>
    </row>
    <row r="75" spans="1:17" s="471" customFormat="1" ht="14.4" thickTop="1">
      <c r="A75" s="553"/>
      <c r="B75" s="546">
        <f>B14</f>
        <v>111</v>
      </c>
      <c r="C75" s="523"/>
      <c r="D75" s="523"/>
      <c r="E75" s="523"/>
      <c r="F75" s="523"/>
      <c r="G75" s="523"/>
      <c r="H75" s="564"/>
      <c r="I75" s="564"/>
      <c r="J75" s="564"/>
      <c r="K75" s="564"/>
      <c r="L75" s="565"/>
      <c r="M75" s="566"/>
      <c r="N75" s="1157"/>
      <c r="O75" s="1157"/>
      <c r="P75" s="2692"/>
      <c r="Q75" s="559"/>
    </row>
    <row r="76" spans="1:17" s="471" customFormat="1" ht="14.4" thickBot="1">
      <c r="A76" s="568"/>
      <c r="B76" s="569"/>
      <c r="C76" s="570"/>
      <c r="D76" s="570"/>
      <c r="E76" s="570"/>
      <c r="F76" s="570"/>
      <c r="G76" s="570"/>
      <c r="H76" s="571"/>
      <c r="I76" s="571"/>
      <c r="J76" s="571"/>
      <c r="K76" s="571"/>
      <c r="L76" s="571"/>
      <c r="M76" s="572"/>
      <c r="N76" s="1157"/>
      <c r="O76" s="1157"/>
      <c r="P76" s="2690"/>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9.4" thickTop="1">
      <c r="A87" s="579"/>
      <c r="B87" s="538" t="s">
        <v>2690</v>
      </c>
      <c r="C87" s="554"/>
      <c r="D87" s="554"/>
      <c r="E87" s="554"/>
      <c r="F87" s="554"/>
      <c r="G87" s="554"/>
      <c r="H87" s="554"/>
      <c r="I87" s="554"/>
      <c r="J87" s="554"/>
      <c r="K87" s="554"/>
      <c r="L87" s="580"/>
      <c r="M87" s="581"/>
      <c r="N87" s="1154"/>
      <c r="O87" s="1154"/>
      <c r="P87" s="2689"/>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4.4"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4.4" thickTop="1">
      <c r="A93" s="534"/>
      <c r="B93" s="538">
        <f>B29</f>
        <v>111</v>
      </c>
      <c r="C93" s="554"/>
      <c r="D93" s="554"/>
      <c r="E93" s="554"/>
      <c r="F93" s="554"/>
      <c r="G93" s="554"/>
      <c r="H93" s="554"/>
      <c r="I93" s="554"/>
      <c r="J93" s="554"/>
      <c r="K93" s="554"/>
      <c r="L93" s="580"/>
      <c r="M93" s="581"/>
      <c r="N93" s="1155"/>
      <c r="O93" s="1155"/>
      <c r="P93" s="2689"/>
      <c r="Q93" s="504"/>
    </row>
    <row r="94" spans="1:17" ht="14.4" thickBot="1">
      <c r="A94" s="534"/>
      <c r="B94" s="543"/>
      <c r="C94" s="560"/>
      <c r="D94" s="536"/>
      <c r="E94" s="536"/>
      <c r="F94" s="536"/>
      <c r="G94" s="536"/>
      <c r="H94" s="536"/>
      <c r="I94" s="536"/>
      <c r="J94" s="536"/>
      <c r="K94" s="536"/>
      <c r="L94" s="536"/>
      <c r="M94" s="537"/>
      <c r="N94" s="1156"/>
      <c r="O94" s="1156"/>
      <c r="P94" s="2689"/>
      <c r="Q94" s="504"/>
    </row>
    <row r="95" spans="1:17" ht="14.4" thickTop="1">
      <c r="A95" s="534"/>
      <c r="B95" s="538">
        <f>B30</f>
        <v>111</v>
      </c>
      <c r="C95" s="554"/>
      <c r="D95" s="554"/>
      <c r="E95" s="554"/>
      <c r="F95" s="554"/>
      <c r="G95" s="583"/>
      <c r="H95" s="583"/>
      <c r="I95" s="583"/>
      <c r="J95" s="583"/>
      <c r="K95" s="584"/>
      <c r="L95" s="585"/>
      <c r="M95" s="586"/>
      <c r="N95" s="1155"/>
      <c r="O95" s="1155"/>
      <c r="P95" s="2689"/>
      <c r="Q95" s="504"/>
    </row>
    <row r="96" spans="1:17" ht="14.4" thickBot="1">
      <c r="A96" s="534"/>
      <c r="B96" s="543"/>
      <c r="C96" s="560"/>
      <c r="D96" s="560"/>
      <c r="E96" s="560"/>
      <c r="F96" s="560"/>
      <c r="G96" s="536"/>
      <c r="H96" s="536"/>
      <c r="I96" s="536"/>
      <c r="J96" s="536"/>
      <c r="K96" s="536"/>
      <c r="L96" s="536"/>
      <c r="M96" s="537"/>
      <c r="N96" s="1156"/>
      <c r="O96" s="1156"/>
      <c r="P96" s="2689"/>
      <c r="Q96" s="504"/>
    </row>
    <row r="97" spans="1:17" ht="14.4" thickTop="1">
      <c r="A97" s="534"/>
      <c r="B97" s="538">
        <f>B31</f>
        <v>111</v>
      </c>
      <c r="C97" s="554"/>
      <c r="D97" s="554"/>
      <c r="E97" s="554"/>
      <c r="F97" s="554"/>
      <c r="G97" s="583"/>
      <c r="H97" s="583"/>
      <c r="I97" s="583"/>
      <c r="J97" s="583"/>
      <c r="K97" s="584"/>
      <c r="L97" s="585"/>
      <c r="M97" s="586"/>
      <c r="N97" s="1155"/>
      <c r="O97" s="1155"/>
      <c r="P97" s="2689"/>
      <c r="Q97" s="504"/>
    </row>
    <row r="98" spans="1:17" ht="14.4" thickBot="1">
      <c r="A98" s="534"/>
      <c r="B98" s="543"/>
      <c r="C98" s="560"/>
      <c r="D98" s="536"/>
      <c r="E98" s="536"/>
      <c r="F98" s="536"/>
      <c r="G98" s="536"/>
      <c r="H98" s="536"/>
      <c r="I98" s="536"/>
      <c r="J98" s="536"/>
      <c r="K98" s="536"/>
      <c r="L98" s="536"/>
      <c r="M98" s="537"/>
      <c r="N98" s="1156"/>
      <c r="O98" s="1156"/>
      <c r="P98" s="2689"/>
      <c r="Q98" s="504"/>
    </row>
    <row r="99" spans="1:17" ht="14.4" thickTop="1">
      <c r="A99" s="534"/>
      <c r="B99" s="546">
        <f>B32</f>
        <v>111</v>
      </c>
      <c r="C99" s="523"/>
      <c r="D99" s="523"/>
      <c r="E99" s="523"/>
      <c r="F99" s="523"/>
      <c r="G99" s="587"/>
      <c r="H99" s="587"/>
      <c r="I99" s="587"/>
      <c r="J99" s="587"/>
      <c r="K99" s="588"/>
      <c r="L99" s="589"/>
      <c r="M99" s="590"/>
      <c r="N99" s="1155"/>
      <c r="O99" s="1155"/>
      <c r="P99" s="2689"/>
      <c r="Q99" s="504"/>
    </row>
    <row r="100" spans="1:17" ht="14.4" thickBot="1">
      <c r="A100" s="2641"/>
      <c r="B100" s="569"/>
      <c r="C100" s="570"/>
      <c r="D100" s="570"/>
      <c r="E100" s="570"/>
      <c r="F100" s="570"/>
      <c r="G100" s="591"/>
      <c r="H100" s="591"/>
      <c r="I100" s="591"/>
      <c r="J100" s="591"/>
      <c r="K100" s="591"/>
      <c r="L100" s="591"/>
      <c r="M100" s="592"/>
      <c r="N100" s="1156"/>
      <c r="O100" s="1156"/>
      <c r="P100" s="2689"/>
      <c r="Q100" s="504"/>
    </row>
    <row r="101" spans="1:17" ht="14.4">
      <c r="A101" s="527" t="s">
        <v>2554</v>
      </c>
      <c r="B101" s="528" t="s">
        <v>2603</v>
      </c>
      <c r="C101" s="530"/>
      <c r="D101" s="530"/>
      <c r="E101" s="530"/>
      <c r="F101" s="530"/>
      <c r="G101" s="530"/>
      <c r="H101" s="530"/>
      <c r="I101" s="530"/>
      <c r="J101" s="530"/>
      <c r="K101" s="531"/>
      <c r="L101" s="532"/>
      <c r="M101" s="533"/>
      <c r="N101" s="1155"/>
      <c r="O101" s="1155"/>
      <c r="P101" s="268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0"/>
      <c r="Q128" s="559"/>
    </row>
    <row r="129" spans="1:17" ht="14.4" thickTop="1">
      <c r="A129" s="599"/>
      <c r="B129" s="538">
        <f>B46</f>
        <v>111</v>
      </c>
      <c r="C129" s="554"/>
      <c r="D129" s="554"/>
      <c r="E129" s="554"/>
      <c r="F129" s="554"/>
      <c r="G129" s="583"/>
      <c r="H129" s="583"/>
      <c r="I129" s="583"/>
      <c r="J129" s="583"/>
      <c r="K129" s="584"/>
      <c r="L129" s="585"/>
      <c r="M129" s="586"/>
      <c r="N129" s="1155"/>
      <c r="O129" s="1155"/>
      <c r="P129" s="2689"/>
      <c r="Q129" s="504"/>
    </row>
    <row r="130" spans="1:17" ht="14.4" thickBot="1">
      <c r="A130" s="534"/>
      <c r="B130" s="543"/>
      <c r="C130" s="560"/>
      <c r="D130" s="560"/>
      <c r="E130" s="560"/>
      <c r="F130" s="560"/>
      <c r="G130" s="536"/>
      <c r="H130" s="536"/>
      <c r="I130" s="536"/>
      <c r="J130" s="536"/>
      <c r="K130" s="536"/>
      <c r="L130" s="536"/>
      <c r="M130" s="537"/>
      <c r="N130" s="1156"/>
      <c r="O130" s="1156"/>
      <c r="P130" s="2689"/>
      <c r="Q130" s="504"/>
    </row>
    <row r="131" spans="1:17" ht="14.4" thickTop="1">
      <c r="A131" s="599"/>
      <c r="B131" s="546">
        <f>B47</f>
        <v>111</v>
      </c>
      <c r="C131" s="523"/>
      <c r="D131" s="523"/>
      <c r="E131" s="523"/>
      <c r="F131" s="523"/>
      <c r="G131" s="587"/>
      <c r="H131" s="587"/>
      <c r="I131" s="587"/>
      <c r="J131" s="587"/>
      <c r="K131" s="523"/>
      <c r="L131" s="524"/>
      <c r="M131" s="590"/>
      <c r="N131" s="1155"/>
      <c r="O131" s="1155"/>
      <c r="P131" s="2689"/>
      <c r="Q131" s="504"/>
    </row>
    <row r="132" spans="1:17" ht="14.4"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1601</v>
      </c>
    </row>
    <row r="2" spans="1:1">
      <c r="A2" s="1948"/>
    </row>
    <row r="3" spans="1:1" ht="17.399999999999999">
      <c r="A3" s="1949" t="str">
        <f>项目基本情况!B5&amp;"："</f>
        <v>：</v>
      </c>
    </row>
    <row r="4" spans="1:1" ht="17.399999999999999">
      <c r="A4" s="1950" t="str">
        <f>"受贵公司委托，我公司对"&amp;项目基本情况!S1&amp;"进行了预评估。"</f>
        <v>受贵公司委托，我公司对房地产抵押价值进行了预评估。</v>
      </c>
    </row>
    <row r="5" spans="1:1" ht="17.399999999999999">
      <c r="A5" s="1951" t="s">
        <v>1602</v>
      </c>
    </row>
    <row r="6" spans="1:1" ht="17.399999999999999">
      <c r="A6" s="1952" t="s">
        <v>1603</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4.6">
      <c r="A8" s="1953" t="s">
        <v>1604</v>
      </c>
    </row>
    <row r="9" spans="1:1" ht="17.399999999999999">
      <c r="A9" s="1952" t="s">
        <v>1605</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2">
      <c r="A11" s="1953" t="s">
        <v>1606</v>
      </c>
    </row>
    <row r="12" spans="1:1" ht="17.399999999999999">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1608</v>
      </c>
    </row>
    <row r="15" spans="1:1" ht="17.399999999999999">
      <c r="A15" s="1956" t="str">
        <f>TEXT(项目基本情况!D3,"yyyy年m月d日;;")&amp;IF(项目基本情况!D3=项目基本情况!B3,"（评估专业人员实地查勘之日）","")</f>
        <v>2019年5月7日</v>
      </c>
    </row>
    <row r="16" spans="1:1" ht="17.399999999999999">
      <c r="A16" s="1955" t="s">
        <v>1609</v>
      </c>
    </row>
    <row r="17" spans="1:1" ht="69.599999999999994">
      <c r="A17" s="1950" t="s">
        <v>1610</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5" t="s">
        <v>1599</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172" t="s">
        <v>2639</v>
      </c>
      <c r="AC4" s="3171" t="s">
        <v>2640</v>
      </c>
    </row>
    <row r="5" spans="1:29">
      <c r="A5" s="404"/>
      <c r="B5" s="405"/>
      <c r="C5" s="3182" t="s">
        <v>2533</v>
      </c>
      <c r="D5" s="3183"/>
      <c r="E5" s="3180" t="s">
        <v>2534</v>
      </c>
      <c r="F5" s="3181"/>
      <c r="G5" s="3182" t="s">
        <v>2535</v>
      </c>
      <c r="H5" s="3183"/>
      <c r="I5" s="3182" t="s">
        <v>2536</v>
      </c>
      <c r="J5" s="3183"/>
      <c r="K5" s="610"/>
      <c r="L5" s="1133"/>
      <c r="M5" s="1134"/>
      <c r="N5" s="1134"/>
      <c r="O5" s="1134"/>
      <c r="P5" s="3195"/>
      <c r="Q5" s="3196"/>
      <c r="R5" s="3178"/>
      <c r="S5" s="3179"/>
      <c r="T5" s="3178"/>
      <c r="U5" s="3179"/>
      <c r="V5" s="3201"/>
      <c r="W5" s="3201"/>
      <c r="X5" s="1815"/>
      <c r="Y5" s="3178"/>
      <c r="Z5" s="3179"/>
      <c r="AA5" s="3172"/>
      <c r="AB5" s="3172"/>
      <c r="AC5" s="3172"/>
    </row>
    <row r="6" spans="1:29" ht="15" thickBot="1">
      <c r="A6" s="406"/>
      <c r="B6" s="407"/>
      <c r="C6" s="3184" t="s">
        <v>2537</v>
      </c>
      <c r="D6" s="3185"/>
      <c r="E6" s="3186" t="s">
        <v>2537</v>
      </c>
      <c r="F6" s="3187"/>
      <c r="G6" s="3184" t="s">
        <v>2537</v>
      </c>
      <c r="H6" s="3185"/>
      <c r="I6" s="3184" t="s">
        <v>2537</v>
      </c>
      <c r="J6" s="3185"/>
      <c r="K6" s="610" t="s">
        <v>2538</v>
      </c>
      <c r="L6" s="1133"/>
      <c r="M6" s="1134"/>
      <c r="N6" s="1134"/>
      <c r="O6" s="1134"/>
      <c r="P6" s="3197"/>
      <c r="Q6" s="3198"/>
      <c r="R6" s="3178"/>
      <c r="S6" s="3179"/>
      <c r="T6" s="3199"/>
      <c r="U6" s="3200"/>
      <c r="V6" s="3201"/>
      <c r="W6" s="3201"/>
      <c r="X6" s="1815"/>
      <c r="Y6" s="3199"/>
      <c r="Z6" s="3200"/>
      <c r="AA6" s="3173"/>
      <c r="AB6" s="3173"/>
      <c r="AC6" s="3173"/>
    </row>
    <row r="7" spans="1:29" s="117" customFormat="1" ht="1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4" t="s">
        <v>2540</v>
      </c>
      <c r="Q7" s="3202"/>
      <c r="R7" s="770" t="s">
        <v>17</v>
      </c>
      <c r="S7" s="771">
        <f t="shared" ref="S7:S15" si="0">F7</f>
        <v>0</v>
      </c>
      <c r="T7" s="770" t="s">
        <v>17</v>
      </c>
      <c r="U7" s="771">
        <f t="shared" ref="U7:U15" si="1">H7</f>
        <v>0</v>
      </c>
      <c r="V7" s="770" t="s">
        <v>17</v>
      </c>
      <c r="W7" s="771">
        <f t="shared" ref="W7:W15" si="2">J7</f>
        <v>0</v>
      </c>
      <c r="X7" s="772"/>
      <c r="Y7" s="3174" t="s">
        <v>2540</v>
      </c>
      <c r="Z7" s="3175"/>
      <c r="AA7" s="773" t="e">
        <f>D7/F7</f>
        <v>#DIV/0!</v>
      </c>
      <c r="AB7" s="773" t="e">
        <f>D7/H7</f>
        <v>#DIV/0!</v>
      </c>
      <c r="AC7" s="773"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4" t="s">
        <v>2543</v>
      </c>
      <c r="Q8" s="3175"/>
      <c r="R8" s="770" t="s">
        <v>17</v>
      </c>
      <c r="S8" s="771">
        <f t="shared" si="0"/>
        <v>0</v>
      </c>
      <c r="T8" s="770" t="s">
        <v>17</v>
      </c>
      <c r="U8" s="771">
        <f t="shared" si="1"/>
        <v>0</v>
      </c>
      <c r="V8" s="770" t="s">
        <v>17</v>
      </c>
      <c r="W8" s="771">
        <f t="shared" si="2"/>
        <v>0</v>
      </c>
      <c r="X8" s="772"/>
      <c r="Y8" s="3174" t="s">
        <v>2543</v>
      </c>
      <c r="Z8" s="3175"/>
      <c r="AA8" s="773" t="e">
        <f t="shared" ref="AA8:AA40" si="3">D8/F8</f>
        <v>#DIV/0!</v>
      </c>
      <c r="AB8" s="773" t="e">
        <f t="shared" ref="AB8:AB40" si="4">D8/H8</f>
        <v>#DIV/0!</v>
      </c>
      <c r="AC8" s="773"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69">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2551</v>
      </c>
      <c r="Q15" s="1812" t="str">
        <f t="shared" si="6"/>
        <v>产业集聚程度</v>
      </c>
      <c r="R15" s="774" t="s">
        <v>17</v>
      </c>
      <c r="S15" s="775">
        <f t="shared" si="0"/>
        <v>100</v>
      </c>
      <c r="T15" s="774" t="s">
        <v>17</v>
      </c>
      <c r="U15" s="775">
        <f t="shared" si="1"/>
        <v>100</v>
      </c>
      <c r="V15" s="774" t="s">
        <v>17</v>
      </c>
      <c r="W15" s="775">
        <f t="shared" si="2"/>
        <v>100</v>
      </c>
      <c r="X15" s="1815"/>
      <c r="Y15" s="3203"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4"/>
      <c r="Q16" s="1812"/>
      <c r="R16" s="774"/>
      <c r="S16" s="775"/>
      <c r="T16" s="774"/>
      <c r="U16" s="775"/>
      <c r="V16" s="774"/>
      <c r="W16" s="775"/>
      <c r="X16" s="1815"/>
      <c r="Y16" s="3204"/>
      <c r="Z16" s="1816"/>
      <c r="AA16" s="1813">
        <v>1</v>
      </c>
      <c r="AB16" s="1813">
        <v>1</v>
      </c>
      <c r="AC16" s="1813">
        <v>1</v>
      </c>
    </row>
    <row r="17" spans="1:29" ht="96.6">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4"/>
      <c r="Q18" s="1812"/>
      <c r="R18" s="774"/>
      <c r="S18" s="775"/>
      <c r="T18" s="774"/>
      <c r="U18" s="775"/>
      <c r="V18" s="774"/>
      <c r="W18" s="775"/>
      <c r="X18" s="1815"/>
      <c r="Y18" s="3204"/>
      <c r="Z18" s="1816"/>
      <c r="AA18" s="1813">
        <v>1</v>
      </c>
      <c r="AB18" s="1813">
        <v>1</v>
      </c>
      <c r="AC18" s="1813">
        <v>1</v>
      </c>
    </row>
    <row r="19" spans="1:29" ht="41.4">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4"/>
      <c r="Q20" s="1812"/>
      <c r="R20" s="774"/>
      <c r="S20" s="775"/>
      <c r="T20" s="774"/>
      <c r="U20" s="775"/>
      <c r="V20" s="774"/>
      <c r="W20" s="775"/>
      <c r="X20" s="1815"/>
      <c r="Y20" s="3204"/>
      <c r="Z20" s="1816"/>
      <c r="AA20" s="1813">
        <v>1</v>
      </c>
      <c r="AB20" s="1813">
        <v>1</v>
      </c>
      <c r="AC20" s="1813">
        <v>1</v>
      </c>
    </row>
    <row r="21" spans="1:29" ht="41.4">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204"/>
      <c r="Q22" s="1812"/>
      <c r="R22" s="774"/>
      <c r="S22" s="775"/>
      <c r="T22" s="774"/>
      <c r="U22" s="775"/>
      <c r="V22" s="774"/>
      <c r="W22" s="775"/>
      <c r="X22" s="1815"/>
      <c r="Y22" s="3204"/>
      <c r="Z22" s="1816"/>
      <c r="AA22" s="1813">
        <v>1</v>
      </c>
      <c r="AB22" s="1813">
        <v>1</v>
      </c>
      <c r="AC22" s="1813">
        <v>1</v>
      </c>
    </row>
    <row r="23" spans="1:29" ht="82.8">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204"/>
      <c r="Q24" s="1812"/>
      <c r="R24" s="774"/>
      <c r="S24" s="775"/>
      <c r="T24" s="774"/>
      <c r="U24" s="775"/>
      <c r="V24" s="774"/>
      <c r="W24" s="775"/>
      <c r="X24" s="1815"/>
      <c r="Y24" s="320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2">
        <f>B25</f>
        <v>111</v>
      </c>
      <c r="R25" s="774" t="s">
        <v>17</v>
      </c>
      <c r="S25" s="775">
        <f>F25</f>
        <v>100</v>
      </c>
      <c r="T25" s="774" t="s">
        <v>17</v>
      </c>
      <c r="U25" s="775">
        <f>H25</f>
        <v>100</v>
      </c>
      <c r="V25" s="774" t="s">
        <v>17</v>
      </c>
      <c r="W25" s="775">
        <f>J25</f>
        <v>100</v>
      </c>
      <c r="X25" s="1815"/>
      <c r="Y25" s="320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2">
        <f t="shared" ref="Q26:Q40" si="11">B26</f>
        <v>111</v>
      </c>
      <c r="R26" s="774" t="s">
        <v>17</v>
      </c>
      <c r="S26" s="775">
        <f>F26</f>
        <v>100</v>
      </c>
      <c r="T26" s="774" t="s">
        <v>17</v>
      </c>
      <c r="U26" s="775">
        <f>H26</f>
        <v>100</v>
      </c>
      <c r="V26" s="774" t="s">
        <v>17</v>
      </c>
      <c r="W26" s="775">
        <f>J26</f>
        <v>100</v>
      </c>
      <c r="X26" s="1815"/>
      <c r="Y26" s="320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7">
        <f t="shared" si="11"/>
        <v>111</v>
      </c>
      <c r="R27" s="770" t="s">
        <v>17</v>
      </c>
      <c r="S27" s="771">
        <f>F27</f>
        <v>100</v>
      </c>
      <c r="T27" s="770" t="s">
        <v>17</v>
      </c>
      <c r="U27" s="771">
        <f>H27</f>
        <v>100</v>
      </c>
      <c r="V27" s="770" t="s">
        <v>17</v>
      </c>
      <c r="W27" s="771">
        <f>J27</f>
        <v>100</v>
      </c>
      <c r="X27" s="772"/>
      <c r="Y27" s="3204"/>
      <c r="Z27" s="55">
        <f>Q27</f>
        <v>111</v>
      </c>
      <c r="AA27" s="1813">
        <f>D27/F27</f>
        <v>1</v>
      </c>
      <c r="AB27" s="1813">
        <f>D27/H27</f>
        <v>1</v>
      </c>
      <c r="AC27" s="1813">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2">
        <f t="shared" si="11"/>
        <v>111</v>
      </c>
      <c r="R28" s="774" t="s">
        <v>17</v>
      </c>
      <c r="S28" s="775">
        <f t="shared" ref="S28:S40" si="12">F28</f>
        <v>100</v>
      </c>
      <c r="T28" s="774" t="s">
        <v>17</v>
      </c>
      <c r="U28" s="775">
        <f t="shared" ref="U28:U40" si="13">H28</f>
        <v>100</v>
      </c>
      <c r="V28" s="774" t="s">
        <v>17</v>
      </c>
      <c r="W28" s="775">
        <f t="shared" ref="W28:W40" si="14">J28</f>
        <v>100</v>
      </c>
      <c r="X28" s="1815"/>
      <c r="Y28" s="3204"/>
      <c r="Z28" s="1816">
        <f t="shared" ref="Z28:Z40" si="15">Q28</f>
        <v>111</v>
      </c>
      <c r="AA28" s="1813">
        <f t="shared" si="3"/>
        <v>1</v>
      </c>
      <c r="AB28" s="1813">
        <f t="shared" si="4"/>
        <v>1</v>
      </c>
      <c r="AC28" s="1813">
        <f t="shared" si="5"/>
        <v>1</v>
      </c>
    </row>
    <row r="29" spans="1:29" ht="30">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05" t="s">
        <v>2556</v>
      </c>
      <c r="Q29" s="1812" t="str">
        <f t="shared" si="11"/>
        <v>建筑类型</v>
      </c>
      <c r="R29" s="774" t="s">
        <v>17</v>
      </c>
      <c r="S29" s="775">
        <f t="shared" si="12"/>
        <v>100</v>
      </c>
      <c r="T29" s="774" t="s">
        <v>17</v>
      </c>
      <c r="U29" s="775">
        <f t="shared" si="13"/>
        <v>100</v>
      </c>
      <c r="V29" s="774" t="s">
        <v>17</v>
      </c>
      <c r="W29" s="775">
        <f t="shared" si="14"/>
        <v>100</v>
      </c>
      <c r="X29" s="1815"/>
      <c r="Y29" s="3206"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6"/>
      <c r="Q31" s="1812" t="str">
        <f t="shared" si="11"/>
        <v>建筑结构</v>
      </c>
      <c r="R31" s="774" t="s">
        <v>17</v>
      </c>
      <c r="S31" s="775">
        <f t="shared" si="12"/>
        <v>100</v>
      </c>
      <c r="T31" s="774" t="s">
        <v>17</v>
      </c>
      <c r="U31" s="775">
        <f t="shared" si="13"/>
        <v>100</v>
      </c>
      <c r="V31" s="774" t="s">
        <v>17</v>
      </c>
      <c r="W31" s="775">
        <f t="shared" si="14"/>
        <v>100</v>
      </c>
      <c r="X31" s="1815"/>
      <c r="Y31" s="3206"/>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6"/>
      <c r="Q32" s="1812" t="str">
        <f t="shared" si="11"/>
        <v>公共部分装修</v>
      </c>
      <c r="R32" s="774" t="s">
        <v>17</v>
      </c>
      <c r="S32" s="775">
        <f t="shared" si="12"/>
        <v>100</v>
      </c>
      <c r="T32" s="774" t="s">
        <v>17</v>
      </c>
      <c r="U32" s="775">
        <f t="shared" si="13"/>
        <v>100</v>
      </c>
      <c r="V32" s="774" t="s">
        <v>17</v>
      </c>
      <c r="W32" s="775">
        <f t="shared" si="14"/>
        <v>100</v>
      </c>
      <c r="X32" s="1815"/>
      <c r="Y32" s="3206"/>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6"/>
      <c r="Q33" s="1812" t="str">
        <f t="shared" si="11"/>
        <v>成新度</v>
      </c>
      <c r="R33" s="774" t="s">
        <v>17</v>
      </c>
      <c r="S33" s="775" t="e">
        <f t="shared" si="12"/>
        <v>#N/A</v>
      </c>
      <c r="T33" s="774" t="s">
        <v>17</v>
      </c>
      <c r="U33" s="775" t="e">
        <f t="shared" si="13"/>
        <v>#N/A</v>
      </c>
      <c r="V33" s="774" t="s">
        <v>17</v>
      </c>
      <c r="W33" s="775" t="e">
        <f t="shared" si="14"/>
        <v>#N/A</v>
      </c>
      <c r="X33" s="1815"/>
      <c r="Y33" s="3206"/>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6"/>
      <c r="Q34" s="1797"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6" t="s">
        <v>2556</v>
      </c>
      <c r="Q35" s="1812" t="str">
        <f t="shared" si="11"/>
        <v>市政基础设施</v>
      </c>
      <c r="R35" s="774" t="s">
        <v>17</v>
      </c>
      <c r="S35" s="775">
        <f t="shared" si="12"/>
        <v>100</v>
      </c>
      <c r="T35" s="774" t="s">
        <v>17</v>
      </c>
      <c r="U35" s="775">
        <f t="shared" si="13"/>
        <v>100</v>
      </c>
      <c r="V35" s="774" t="s">
        <v>17</v>
      </c>
      <c r="W35" s="775">
        <f t="shared" si="14"/>
        <v>100</v>
      </c>
      <c r="X35" s="1815"/>
      <c r="Y35" s="3206"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6"/>
      <c r="Q36" s="1812" t="str">
        <f t="shared" si="11"/>
        <v>内部装修</v>
      </c>
      <c r="R36" s="774" t="s">
        <v>17</v>
      </c>
      <c r="S36" s="775">
        <f t="shared" si="12"/>
        <v>100</v>
      </c>
      <c r="T36" s="774" t="s">
        <v>17</v>
      </c>
      <c r="U36" s="775">
        <f t="shared" si="13"/>
        <v>100</v>
      </c>
      <c r="V36" s="774" t="s">
        <v>17</v>
      </c>
      <c r="W36" s="775">
        <f t="shared" si="14"/>
        <v>100</v>
      </c>
      <c r="X36" s="1815"/>
      <c r="Y36" s="3206"/>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6"/>
      <c r="Q37" s="1812" t="str">
        <f t="shared" si="11"/>
        <v>内部装修状况</v>
      </c>
      <c r="R37" s="774" t="s">
        <v>17</v>
      </c>
      <c r="S37" s="775">
        <f t="shared" si="12"/>
        <v>100</v>
      </c>
      <c r="T37" s="774" t="s">
        <v>17</v>
      </c>
      <c r="U37" s="775">
        <f t="shared" si="13"/>
        <v>100</v>
      </c>
      <c r="V37" s="774" t="s">
        <v>17</v>
      </c>
      <c r="W37" s="775">
        <f t="shared" si="14"/>
        <v>100</v>
      </c>
      <c r="X37" s="1815"/>
      <c r="Y37" s="320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6"/>
      <c r="Q39" s="1812">
        <f t="shared" si="11"/>
        <v>111</v>
      </c>
      <c r="R39" s="774" t="s">
        <v>17</v>
      </c>
      <c r="S39" s="775">
        <f t="shared" si="12"/>
        <v>100</v>
      </c>
      <c r="T39" s="774" t="s">
        <v>17</v>
      </c>
      <c r="U39" s="775">
        <f t="shared" si="13"/>
        <v>100</v>
      </c>
      <c r="V39" s="774" t="s">
        <v>17</v>
      </c>
      <c r="W39" s="775">
        <f t="shared" si="14"/>
        <v>100</v>
      </c>
      <c r="X39" s="1815"/>
      <c r="Y39" s="3206"/>
      <c r="Z39" s="1816">
        <f t="shared" si="15"/>
        <v>111</v>
      </c>
      <c r="AA39" s="1813">
        <f t="shared" si="3"/>
        <v>1</v>
      </c>
      <c r="AB39" s="1813">
        <f t="shared" si="4"/>
        <v>1</v>
      </c>
      <c r="AC39" s="1813">
        <f t="shared" si="5"/>
        <v>1</v>
      </c>
    </row>
    <row r="40" spans="1:29" ht="15.6"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2">
        <f t="shared" si="11"/>
        <v>111</v>
      </c>
      <c r="R40" s="774" t="s">
        <v>17</v>
      </c>
      <c r="S40" s="775">
        <f t="shared" si="12"/>
        <v>100</v>
      </c>
      <c r="T40" s="774" t="s">
        <v>17</v>
      </c>
      <c r="U40" s="775">
        <f t="shared" si="13"/>
        <v>100</v>
      </c>
      <c r="V40" s="774" t="s">
        <v>17</v>
      </c>
      <c r="W40" s="775">
        <f t="shared" si="14"/>
        <v>100</v>
      </c>
      <c r="X40" s="1815"/>
      <c r="Y40" s="3246"/>
      <c r="Z40" s="1816">
        <f t="shared" si="15"/>
        <v>111</v>
      </c>
      <c r="AA40" s="1813">
        <f t="shared" si="3"/>
        <v>1</v>
      </c>
      <c r="AB40" s="1813">
        <f t="shared" si="4"/>
        <v>1</v>
      </c>
      <c r="AC40" s="1813">
        <f t="shared" si="5"/>
        <v>1</v>
      </c>
    </row>
    <row r="41" spans="1:29" ht="14.4">
      <c r="A41" s="479" t="s">
        <v>2568</v>
      </c>
      <c r="B41" s="480"/>
      <c r="C41" s="1410" t="s">
        <v>1</v>
      </c>
      <c r="D41" s="1411"/>
      <c r="E41" s="1412"/>
      <c r="F41" s="1413"/>
      <c r="G41" s="1414"/>
      <c r="H41" s="1415"/>
      <c r="I41" s="1412"/>
      <c r="J41" s="1415"/>
      <c r="K41" s="783"/>
      <c r="L41" s="1146"/>
      <c r="M41" s="1147"/>
      <c r="N41" s="1134"/>
      <c r="O41" s="1147"/>
      <c r="P41" s="3188" t="str">
        <f>A41</f>
        <v>成交单价（元/平方米）</v>
      </c>
      <c r="Q41" s="3188"/>
      <c r="R41" s="3242">
        <f>E41</f>
        <v>0</v>
      </c>
      <c r="S41" s="3242"/>
      <c r="T41" s="3242">
        <f>G41</f>
        <v>0</v>
      </c>
      <c r="U41" s="3242"/>
      <c r="V41" s="3242">
        <f>I41</f>
        <v>0</v>
      </c>
      <c r="W41" s="3242"/>
      <c r="X41" s="759"/>
      <c r="Y41" s="781"/>
      <c r="Z41" s="759"/>
      <c r="AA41" s="759"/>
      <c r="AB41" s="759"/>
      <c r="AC41" s="759"/>
    </row>
    <row r="42" spans="1:29" ht="1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 thickBot="1">
      <c r="A43" s="492" t="s">
        <v>2661</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41" t="e">
        <f>IF(F1="售价",ROUND(AVERAGE(R42:V42),0),ROUND(AVERAGE(R42:V42),1))</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2665</v>
      </c>
      <c r="B51" s="759"/>
      <c r="C51" s="764"/>
      <c r="D51" s="764"/>
      <c r="E51" s="764"/>
      <c r="F51" s="765"/>
      <c r="G51" s="765"/>
      <c r="H51" s="764"/>
      <c r="I51" s="764"/>
      <c r="J51" s="764"/>
      <c r="K51" s="1163"/>
      <c r="L51" s="1164"/>
      <c r="M51" s="1162"/>
      <c r="N51" s="1162"/>
      <c r="O51" s="1162"/>
      <c r="P51" s="503"/>
      <c r="Q51" s="504"/>
    </row>
    <row r="52" spans="1:17" s="508" customFormat="1" ht="14.4">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2579</v>
      </c>
      <c r="B57" s="528" t="s">
        <v>2545</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1"/>
      <c r="B87" s="569"/>
      <c r="C87" s="570"/>
      <c r="D87" s="570"/>
      <c r="E87" s="570"/>
      <c r="F87" s="570"/>
      <c r="G87" s="591"/>
      <c r="H87" s="591"/>
      <c r="I87" s="591"/>
      <c r="J87" s="591"/>
      <c r="K87" s="591"/>
      <c r="L87" s="591"/>
      <c r="M87" s="592"/>
      <c r="N87" s="1156"/>
      <c r="O87" s="1156"/>
      <c r="P87" s="45"/>
      <c r="Q87" s="504"/>
    </row>
    <row r="88" spans="1:17" ht="14.4">
      <c r="A88" s="527" t="s">
        <v>2554</v>
      </c>
      <c r="B88" s="528" t="s">
        <v>2603</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172" t="s">
        <v>2639</v>
      </c>
      <c r="AC4" s="3171" t="s">
        <v>2640</v>
      </c>
    </row>
    <row r="5" spans="1:29">
      <c r="A5" s="404"/>
      <c r="B5" s="405"/>
      <c r="C5" s="3182" t="s">
        <v>2533</v>
      </c>
      <c r="D5" s="3183"/>
      <c r="E5" s="3180" t="s">
        <v>2534</v>
      </c>
      <c r="F5" s="3181"/>
      <c r="G5" s="3182" t="s">
        <v>2535</v>
      </c>
      <c r="H5" s="3183"/>
      <c r="I5" s="3182" t="s">
        <v>2536</v>
      </c>
      <c r="J5" s="3183"/>
      <c r="K5" s="610"/>
      <c r="L5" s="1133"/>
      <c r="M5" s="1134"/>
      <c r="N5" s="1134"/>
      <c r="O5" s="1134"/>
      <c r="P5" s="3195"/>
      <c r="Q5" s="3196"/>
      <c r="R5" s="3178"/>
      <c r="S5" s="3179"/>
      <c r="T5" s="3178"/>
      <c r="U5" s="3179"/>
      <c r="V5" s="3201"/>
      <c r="W5" s="3201"/>
      <c r="X5" s="1815"/>
      <c r="Y5" s="3178"/>
      <c r="Z5" s="3179"/>
      <c r="AA5" s="3172"/>
      <c r="AB5" s="3172"/>
      <c r="AC5" s="3172"/>
    </row>
    <row r="6" spans="1:29" ht="15" thickBot="1">
      <c r="A6" s="406"/>
      <c r="B6" s="407"/>
      <c r="C6" s="3184" t="s">
        <v>2537</v>
      </c>
      <c r="D6" s="3185"/>
      <c r="E6" s="3186" t="s">
        <v>2537</v>
      </c>
      <c r="F6" s="3187"/>
      <c r="G6" s="3184" t="s">
        <v>2537</v>
      </c>
      <c r="H6" s="3185"/>
      <c r="I6" s="3184" t="s">
        <v>2537</v>
      </c>
      <c r="J6" s="3185"/>
      <c r="K6" s="610" t="s">
        <v>2538</v>
      </c>
      <c r="L6" s="1133"/>
      <c r="M6" s="1134"/>
      <c r="N6" s="1134"/>
      <c r="O6" s="1134"/>
      <c r="P6" s="3197"/>
      <c r="Q6" s="3198"/>
      <c r="R6" s="3178"/>
      <c r="S6" s="3179"/>
      <c r="T6" s="3199"/>
      <c r="U6" s="3200"/>
      <c r="V6" s="3201"/>
      <c r="W6" s="3201"/>
      <c r="X6" s="1815"/>
      <c r="Y6" s="3199"/>
      <c r="Z6" s="3200"/>
      <c r="AA6" s="3173"/>
      <c r="AB6" s="3173"/>
      <c r="AC6" s="3173"/>
    </row>
    <row r="7" spans="1:29" s="117" customFormat="1" ht="1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4" t="s">
        <v>2540</v>
      </c>
      <c r="Q7" s="3202"/>
      <c r="R7" s="770" t="s">
        <v>17</v>
      </c>
      <c r="S7" s="771">
        <f t="shared" ref="S7:S14" si="0">F7</f>
        <v>0</v>
      </c>
      <c r="T7" s="770" t="s">
        <v>17</v>
      </c>
      <c r="U7" s="771">
        <f t="shared" ref="U7:U14" si="1">H7</f>
        <v>0</v>
      </c>
      <c r="V7" s="770" t="s">
        <v>17</v>
      </c>
      <c r="W7" s="771">
        <f t="shared" ref="W7:W14" si="2">J7</f>
        <v>0</v>
      </c>
      <c r="X7" s="772"/>
      <c r="Y7" s="3174" t="s">
        <v>2540</v>
      </c>
      <c r="Z7" s="3175"/>
      <c r="AA7" s="773" t="e">
        <f>D7/F7</f>
        <v>#DIV/0!</v>
      </c>
      <c r="AB7" s="773" t="e">
        <f>D7/H7</f>
        <v>#DIV/0!</v>
      </c>
      <c r="AC7" s="773"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4" t="s">
        <v>2543</v>
      </c>
      <c r="Q8" s="3175"/>
      <c r="R8" s="770" t="s">
        <v>17</v>
      </c>
      <c r="S8" s="771">
        <f t="shared" si="0"/>
        <v>0</v>
      </c>
      <c r="T8" s="770" t="s">
        <v>17</v>
      </c>
      <c r="U8" s="771">
        <f t="shared" si="1"/>
        <v>0</v>
      </c>
      <c r="V8" s="770" t="s">
        <v>17</v>
      </c>
      <c r="W8" s="771">
        <f t="shared" si="2"/>
        <v>0</v>
      </c>
      <c r="X8" s="772"/>
      <c r="Y8" s="3174" t="s">
        <v>2543</v>
      </c>
      <c r="Z8" s="3175"/>
      <c r="AA8" s="773" t="e">
        <f t="shared" ref="AA8:AA36" si="3">D8/F8</f>
        <v>#DIV/0!</v>
      </c>
      <c r="AB8" s="773" t="e">
        <f t="shared" ref="AB8:AB36" si="4">D8/H8</f>
        <v>#DIV/0!</v>
      </c>
      <c r="AC8" s="773"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2546</v>
      </c>
      <c r="Q9" s="1797" t="str">
        <f t="shared" ref="Q9:Q14" si="6">B9</f>
        <v>用途</v>
      </c>
      <c r="R9" s="770" t="s">
        <v>17</v>
      </c>
      <c r="S9" s="771">
        <f t="shared" si="0"/>
        <v>100</v>
      </c>
      <c r="T9" s="770" t="s">
        <v>17</v>
      </c>
      <c r="U9" s="771">
        <f t="shared" si="1"/>
        <v>100</v>
      </c>
      <c r="V9" s="770" t="s">
        <v>17</v>
      </c>
      <c r="W9" s="771">
        <f t="shared" si="2"/>
        <v>100</v>
      </c>
      <c r="X9" s="772"/>
      <c r="Y9" s="3048" t="s">
        <v>2547</v>
      </c>
      <c r="Z9" s="55" t="str">
        <f t="shared" ref="Z9:Z14" si="7">Q9</f>
        <v>用途</v>
      </c>
      <c r="AA9" s="773">
        <f t="shared" si="3"/>
        <v>1</v>
      </c>
      <c r="AB9" s="773">
        <f t="shared" si="4"/>
        <v>1</v>
      </c>
      <c r="AC9" s="773">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7">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10.4">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2551</v>
      </c>
      <c r="Q14" s="1812" t="str">
        <f t="shared" si="6"/>
        <v>交通便捷度</v>
      </c>
      <c r="R14" s="774" t="s">
        <v>17</v>
      </c>
      <c r="S14" s="775">
        <f t="shared" si="0"/>
        <v>100</v>
      </c>
      <c r="T14" s="774" t="s">
        <v>17</v>
      </c>
      <c r="U14" s="775">
        <f t="shared" si="1"/>
        <v>100</v>
      </c>
      <c r="V14" s="774" t="s">
        <v>17</v>
      </c>
      <c r="W14" s="775">
        <f t="shared" si="2"/>
        <v>100</v>
      </c>
      <c r="X14" s="1815"/>
      <c r="Y14" s="3203"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4"/>
      <c r="Q15" s="1812"/>
      <c r="R15" s="774"/>
      <c r="S15" s="775"/>
      <c r="T15" s="774"/>
      <c r="U15" s="775"/>
      <c r="V15" s="774"/>
      <c r="W15" s="775"/>
      <c r="X15" s="1815"/>
      <c r="Y15" s="3204"/>
      <c r="Z15" s="1816"/>
      <c r="AA15" s="1813">
        <v>1</v>
      </c>
      <c r="AB15" s="1813">
        <v>1</v>
      </c>
      <c r="AC15" s="1813">
        <v>1</v>
      </c>
    </row>
    <row r="16" spans="1:29" ht="110.4">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4"/>
      <c r="Q17" s="1812"/>
      <c r="R17" s="774"/>
      <c r="S17" s="775"/>
      <c r="T17" s="774"/>
      <c r="U17" s="775"/>
      <c r="V17" s="774"/>
      <c r="W17" s="775"/>
      <c r="X17" s="1815"/>
      <c r="Y17" s="3204"/>
      <c r="Z17" s="1816"/>
      <c r="AA17" s="1813">
        <v>1</v>
      </c>
      <c r="AB17" s="1813">
        <v>1</v>
      </c>
      <c r="AC17" s="1813">
        <v>1</v>
      </c>
    </row>
    <row r="18" spans="1:29" ht="41.4">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204"/>
      <c r="Q19" s="1812"/>
      <c r="R19" s="774"/>
      <c r="S19" s="775"/>
      <c r="T19" s="774"/>
      <c r="U19" s="775"/>
      <c r="V19" s="774"/>
      <c r="W19" s="775"/>
      <c r="X19" s="1815"/>
      <c r="Y19" s="3204"/>
      <c r="Z19" s="1816"/>
      <c r="AA19" s="1813">
        <v>1</v>
      </c>
      <c r="AB19" s="1813">
        <v>1</v>
      </c>
      <c r="AC19" s="1813">
        <v>1</v>
      </c>
    </row>
    <row r="20" spans="1:29" ht="110.4">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4"/>
      <c r="Q21" s="1812"/>
      <c r="R21" s="774"/>
      <c r="S21" s="775"/>
      <c r="T21" s="774"/>
      <c r="U21" s="775"/>
      <c r="V21" s="774"/>
      <c r="W21" s="775"/>
      <c r="X21" s="1815"/>
      <c r="Y21" s="3204"/>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2">
        <f t="shared" ref="Q24:Q36"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30">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5"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6"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6"/>
      <c r="Q28" s="1812" t="str">
        <f t="shared" si="11"/>
        <v>公共部分装修</v>
      </c>
      <c r="R28" s="774" t="s">
        <v>17</v>
      </c>
      <c r="S28" s="775">
        <f t="shared" si="12"/>
        <v>100</v>
      </c>
      <c r="T28" s="774" t="s">
        <v>17</v>
      </c>
      <c r="U28" s="775">
        <f t="shared" si="13"/>
        <v>100</v>
      </c>
      <c r="V28" s="774" t="s">
        <v>17</v>
      </c>
      <c r="W28" s="775">
        <f t="shared" si="14"/>
        <v>100</v>
      </c>
      <c r="X28" s="1815"/>
      <c r="Y28" s="3206"/>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6"/>
      <c r="Q29" s="1812" t="str">
        <f t="shared" si="11"/>
        <v>成新率</v>
      </c>
      <c r="R29" s="774" t="s">
        <v>17</v>
      </c>
      <c r="S29" s="775" t="e">
        <f t="shared" si="12"/>
        <v>#N/A</v>
      </c>
      <c r="T29" s="774" t="s">
        <v>17</v>
      </c>
      <c r="U29" s="775" t="e">
        <f t="shared" si="13"/>
        <v>#N/A</v>
      </c>
      <c r="V29" s="774" t="s">
        <v>17</v>
      </c>
      <c r="W29" s="775" t="e">
        <f t="shared" si="14"/>
        <v>#N/A</v>
      </c>
      <c r="X29" s="1815"/>
      <c r="Y29" s="3206"/>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6"/>
      <c r="Q30" s="1812" t="str">
        <f t="shared" si="11"/>
        <v>物业等级</v>
      </c>
      <c r="R30" s="774" t="s">
        <v>17</v>
      </c>
      <c r="S30" s="775">
        <f t="shared" si="12"/>
        <v>100</v>
      </c>
      <c r="T30" s="774" t="s">
        <v>17</v>
      </c>
      <c r="U30" s="775">
        <f t="shared" si="13"/>
        <v>100</v>
      </c>
      <c r="V30" s="774" t="s">
        <v>17</v>
      </c>
      <c r="W30" s="775">
        <f t="shared" si="14"/>
        <v>100</v>
      </c>
      <c r="X30" s="1815"/>
      <c r="Y30" s="3206"/>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6"/>
      <c r="Q31" s="1797"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6" t="s">
        <v>2556</v>
      </c>
      <c r="Q32" s="1812" t="str">
        <f t="shared" si="11"/>
        <v>车位类型</v>
      </c>
      <c r="R32" s="774" t="s">
        <v>17</v>
      </c>
      <c r="S32" s="775">
        <f t="shared" si="12"/>
        <v>100</v>
      </c>
      <c r="T32" s="774" t="s">
        <v>17</v>
      </c>
      <c r="U32" s="775">
        <f t="shared" si="13"/>
        <v>100</v>
      </c>
      <c r="V32" s="774" t="s">
        <v>17</v>
      </c>
      <c r="W32" s="775">
        <f t="shared" si="14"/>
        <v>100</v>
      </c>
      <c r="X32" s="1815"/>
      <c r="Y32" s="3206"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6"/>
      <c r="Q33" s="1812" t="str">
        <f t="shared" si="11"/>
        <v>是否直接入户</v>
      </c>
      <c r="R33" s="774" t="s">
        <v>17</v>
      </c>
      <c r="S33" s="775">
        <f t="shared" si="12"/>
        <v>100</v>
      </c>
      <c r="T33" s="774" t="s">
        <v>17</v>
      </c>
      <c r="U33" s="775">
        <f t="shared" si="13"/>
        <v>100</v>
      </c>
      <c r="V33" s="774" t="s">
        <v>17</v>
      </c>
      <c r="W33" s="775">
        <f t="shared" si="14"/>
        <v>100</v>
      </c>
      <c r="X33" s="1815"/>
      <c r="Y33" s="320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6"/>
      <c r="Q34" s="1812">
        <f t="shared" si="11"/>
        <v>111</v>
      </c>
      <c r="R34" s="774" t="s">
        <v>17</v>
      </c>
      <c r="S34" s="775">
        <f t="shared" si="12"/>
        <v>100</v>
      </c>
      <c r="T34" s="774" t="s">
        <v>17</v>
      </c>
      <c r="U34" s="775">
        <f t="shared" si="13"/>
        <v>100</v>
      </c>
      <c r="V34" s="774" t="s">
        <v>17</v>
      </c>
      <c r="W34" s="775">
        <f t="shared" si="14"/>
        <v>100</v>
      </c>
      <c r="X34" s="1815"/>
      <c r="Y34" s="320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6"/>
      <c r="Q36" s="1812">
        <f t="shared" si="11"/>
        <v>111</v>
      </c>
      <c r="R36" s="774" t="s">
        <v>17</v>
      </c>
      <c r="S36" s="775">
        <f t="shared" si="12"/>
        <v>100</v>
      </c>
      <c r="T36" s="774" t="s">
        <v>17</v>
      </c>
      <c r="U36" s="775">
        <f t="shared" si="13"/>
        <v>100</v>
      </c>
      <c r="V36" s="774" t="s">
        <v>17</v>
      </c>
      <c r="W36" s="775">
        <f t="shared" si="14"/>
        <v>100</v>
      </c>
      <c r="X36" s="1815"/>
      <c r="Y36" s="3206"/>
      <c r="Z36" s="1816">
        <f t="shared" si="15"/>
        <v>111</v>
      </c>
      <c r="AA36" s="1813">
        <f t="shared" si="3"/>
        <v>1</v>
      </c>
      <c r="AB36" s="1813">
        <f t="shared" si="4"/>
        <v>1</v>
      </c>
      <c r="AC36" s="1813">
        <f t="shared" si="5"/>
        <v>1</v>
      </c>
    </row>
    <row r="37" spans="1:29" ht="14.4">
      <c r="A37" s="479" t="s">
        <v>2711</v>
      </c>
      <c r="B37" s="2700" t="s">
        <v>2712</v>
      </c>
      <c r="C37" s="1410" t="s">
        <v>1</v>
      </c>
      <c r="D37" s="1411"/>
      <c r="E37" s="1412"/>
      <c r="F37" s="1413"/>
      <c r="G37" s="1414"/>
      <c r="H37" s="1415"/>
      <c r="I37" s="1412"/>
      <c r="J37" s="1415"/>
      <c r="K37" s="619"/>
      <c r="L37" s="1146"/>
      <c r="M37" s="1147"/>
      <c r="N37" s="1134"/>
      <c r="O37" s="1147"/>
      <c r="P37" s="3188" t="str">
        <f>A37</f>
        <v>成交单价</v>
      </c>
      <c r="Q37" s="3188"/>
      <c r="R37" s="3242">
        <f>E37</f>
        <v>0</v>
      </c>
      <c r="S37" s="3242"/>
      <c r="T37" s="3242">
        <f>G37</f>
        <v>0</v>
      </c>
      <c r="U37" s="3242"/>
      <c r="V37" s="3242">
        <f>I37</f>
        <v>0</v>
      </c>
      <c r="W37" s="3242"/>
      <c r="X37" s="759"/>
      <c r="Y37" s="781"/>
      <c r="Z37" s="759"/>
      <c r="AA37" s="759"/>
      <c r="AB37" s="759"/>
      <c r="AC37" s="759"/>
    </row>
    <row r="38" spans="1:29" ht="1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 thickBot="1">
      <c r="A39" s="492" t="s">
        <v>2714</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41" t="e">
        <f>IF(F1="售价",ROUND(AVERAGE(R38:V38),0),ROUND(AVERAGE(R38:V38),1))</f>
        <v>#DIV/0!</v>
      </c>
      <c r="S39" s="3241"/>
      <c r="T39" s="3241"/>
      <c r="U39" s="3241"/>
      <c r="V39" s="3241"/>
      <c r="W39" s="324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172" t="s">
        <v>2639</v>
      </c>
      <c r="AC4" s="3171" t="s">
        <v>2640</v>
      </c>
    </row>
    <row r="5" spans="1:29">
      <c r="A5" s="404"/>
      <c r="B5" s="405"/>
      <c r="C5" s="3182" t="s">
        <v>2533</v>
      </c>
      <c r="D5" s="3183"/>
      <c r="E5" s="3180" t="s">
        <v>2534</v>
      </c>
      <c r="F5" s="3181"/>
      <c r="G5" s="3182" t="s">
        <v>2535</v>
      </c>
      <c r="H5" s="3183"/>
      <c r="I5" s="3182" t="s">
        <v>2536</v>
      </c>
      <c r="J5" s="3183"/>
      <c r="K5" s="610"/>
      <c r="L5" s="1133"/>
      <c r="M5" s="1134"/>
      <c r="N5" s="1134"/>
      <c r="O5" s="1134"/>
      <c r="P5" s="3195"/>
      <c r="Q5" s="3196"/>
      <c r="R5" s="3178"/>
      <c r="S5" s="3179"/>
      <c r="T5" s="3178"/>
      <c r="U5" s="3179"/>
      <c r="V5" s="3201"/>
      <c r="W5" s="3201"/>
      <c r="X5" s="1815"/>
      <c r="Y5" s="3178"/>
      <c r="Z5" s="3179"/>
      <c r="AA5" s="3172"/>
      <c r="AB5" s="3172"/>
      <c r="AC5" s="3172"/>
    </row>
    <row r="6" spans="1:29" ht="15" thickBot="1">
      <c r="A6" s="406"/>
      <c r="B6" s="407"/>
      <c r="C6" s="3184" t="s">
        <v>2537</v>
      </c>
      <c r="D6" s="3185"/>
      <c r="E6" s="3186" t="s">
        <v>2537</v>
      </c>
      <c r="F6" s="3187"/>
      <c r="G6" s="3184" t="s">
        <v>2537</v>
      </c>
      <c r="H6" s="3185"/>
      <c r="I6" s="3184" t="s">
        <v>2537</v>
      </c>
      <c r="J6" s="3185"/>
      <c r="K6" s="610" t="s">
        <v>2538</v>
      </c>
      <c r="L6" s="1133"/>
      <c r="M6" s="1134"/>
      <c r="N6" s="1134"/>
      <c r="O6" s="1134"/>
      <c r="P6" s="3197"/>
      <c r="Q6" s="3198"/>
      <c r="R6" s="3178"/>
      <c r="S6" s="3179"/>
      <c r="T6" s="3199"/>
      <c r="U6" s="3200"/>
      <c r="V6" s="3201"/>
      <c r="W6" s="3201"/>
      <c r="X6" s="1815"/>
      <c r="Y6" s="3199"/>
      <c r="Z6" s="3200"/>
      <c r="AA6" s="3173"/>
      <c r="AB6" s="3173"/>
      <c r="AC6" s="3173"/>
    </row>
    <row r="7" spans="1:29" s="117" customFormat="1" ht="1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4" t="s">
        <v>2540</v>
      </c>
      <c r="Q7" s="3202"/>
      <c r="R7" s="770" t="s">
        <v>17</v>
      </c>
      <c r="S7" s="771">
        <f t="shared" ref="S7:S14" si="0">F7</f>
        <v>0</v>
      </c>
      <c r="T7" s="770" t="s">
        <v>17</v>
      </c>
      <c r="U7" s="771">
        <f t="shared" ref="U7:U14" si="1">H7</f>
        <v>0</v>
      </c>
      <c r="V7" s="770" t="s">
        <v>17</v>
      </c>
      <c r="W7" s="771">
        <f t="shared" ref="W7:W14" si="2">J7</f>
        <v>0</v>
      </c>
      <c r="X7" s="772"/>
      <c r="Y7" s="3174" t="s">
        <v>2540</v>
      </c>
      <c r="Z7" s="3175"/>
      <c r="AA7" s="773" t="e">
        <f>D7/F7</f>
        <v>#DIV/0!</v>
      </c>
      <c r="AB7" s="773" t="e">
        <f>D7/H7</f>
        <v>#DIV/0!</v>
      </c>
      <c r="AC7" s="773"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4" t="s">
        <v>2543</v>
      </c>
      <c r="Q8" s="3175"/>
      <c r="R8" s="770" t="s">
        <v>17</v>
      </c>
      <c r="S8" s="771">
        <f t="shared" si="0"/>
        <v>0</v>
      </c>
      <c r="T8" s="770" t="s">
        <v>17</v>
      </c>
      <c r="U8" s="771">
        <f t="shared" si="1"/>
        <v>0</v>
      </c>
      <c r="V8" s="770" t="s">
        <v>17</v>
      </c>
      <c r="W8" s="771">
        <f t="shared" si="2"/>
        <v>0</v>
      </c>
      <c r="X8" s="772"/>
      <c r="Y8" s="3174" t="s">
        <v>2543</v>
      </c>
      <c r="Z8" s="3175"/>
      <c r="AA8" s="773" t="e">
        <f t="shared" ref="AA8:AA34" si="3">D8/F8</f>
        <v>#DIV/0!</v>
      </c>
      <c r="AB8" s="773" t="e">
        <f t="shared" ref="AB8:AB34" si="4">D8/H8</f>
        <v>#DIV/0!</v>
      </c>
      <c r="AC8" s="773"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2546</v>
      </c>
      <c r="Q9" s="1797" t="str">
        <f t="shared" ref="Q9:Q14" si="6">B9</f>
        <v>用途</v>
      </c>
      <c r="R9" s="770" t="s">
        <v>17</v>
      </c>
      <c r="S9" s="771">
        <f t="shared" si="0"/>
        <v>100</v>
      </c>
      <c r="T9" s="770" t="s">
        <v>17</v>
      </c>
      <c r="U9" s="771">
        <f t="shared" si="1"/>
        <v>100</v>
      </c>
      <c r="V9" s="770" t="s">
        <v>17</v>
      </c>
      <c r="W9" s="771">
        <f t="shared" si="2"/>
        <v>100</v>
      </c>
      <c r="X9" s="772"/>
      <c r="Y9" s="3048" t="s">
        <v>2547</v>
      </c>
      <c r="Z9" s="55" t="str">
        <f t="shared" ref="Z9:Z14" si="7">Q9</f>
        <v>用途</v>
      </c>
      <c r="AA9" s="773">
        <f t="shared" si="3"/>
        <v>1</v>
      </c>
      <c r="AB9" s="773">
        <f t="shared" si="4"/>
        <v>1</v>
      </c>
      <c r="AC9" s="773">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7"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7">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6"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10.4">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2551</v>
      </c>
      <c r="Q14" s="1812" t="str">
        <f t="shared" si="6"/>
        <v>交通便捷度</v>
      </c>
      <c r="R14" s="774" t="s">
        <v>17</v>
      </c>
      <c r="S14" s="775">
        <f t="shared" si="0"/>
        <v>100</v>
      </c>
      <c r="T14" s="774" t="s">
        <v>17</v>
      </c>
      <c r="U14" s="775">
        <f t="shared" si="1"/>
        <v>100</v>
      </c>
      <c r="V14" s="774" t="s">
        <v>17</v>
      </c>
      <c r="W14" s="775">
        <f t="shared" si="2"/>
        <v>100</v>
      </c>
      <c r="X14" s="1815"/>
      <c r="Y14" s="3203"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4"/>
      <c r="Q15" s="1812"/>
      <c r="R15" s="774"/>
      <c r="S15" s="775"/>
      <c r="T15" s="774"/>
      <c r="U15" s="775"/>
      <c r="V15" s="774"/>
      <c r="W15" s="775"/>
      <c r="X15" s="1815"/>
      <c r="Y15" s="3204"/>
      <c r="Z15" s="1816"/>
      <c r="AA15" s="1813">
        <v>1</v>
      </c>
      <c r="AB15" s="1813">
        <v>1</v>
      </c>
      <c r="AC15" s="1813">
        <v>1</v>
      </c>
    </row>
    <row r="16" spans="1:29" ht="110.4">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4"/>
      <c r="Q17" s="1812"/>
      <c r="R17" s="774"/>
      <c r="S17" s="775"/>
      <c r="T17" s="774"/>
      <c r="U17" s="775"/>
      <c r="V17" s="774"/>
      <c r="W17" s="775"/>
      <c r="X17" s="1815"/>
      <c r="Y17" s="3204"/>
      <c r="Z17" s="1816"/>
      <c r="AA17" s="1813">
        <v>1</v>
      </c>
      <c r="AB17" s="1813">
        <v>1</v>
      </c>
      <c r="AC17" s="1813">
        <v>1</v>
      </c>
    </row>
    <row r="18" spans="1:29" ht="41.4">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204"/>
      <c r="Q19" s="1812"/>
      <c r="R19" s="774"/>
      <c r="S19" s="775"/>
      <c r="T19" s="774"/>
      <c r="U19" s="775"/>
      <c r="V19" s="774"/>
      <c r="W19" s="775"/>
      <c r="X19" s="1815"/>
      <c r="Y19" s="3204"/>
      <c r="Z19" s="1816"/>
      <c r="AA19" s="1813">
        <v>1</v>
      </c>
      <c r="AB19" s="1813">
        <v>1</v>
      </c>
      <c r="AC19" s="1813">
        <v>1</v>
      </c>
    </row>
    <row r="20" spans="1:29" ht="110.4">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4"/>
      <c r="Q21" s="1812"/>
      <c r="R21" s="774"/>
      <c r="S21" s="775"/>
      <c r="T21" s="774"/>
      <c r="U21" s="775"/>
      <c r="V21" s="774"/>
      <c r="W21" s="775"/>
      <c r="X21" s="1815"/>
      <c r="Y21" s="3204"/>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2">
        <f t="shared" ref="Q24:Q34"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6"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30">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05"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6"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6"/>
      <c r="Q28" s="1812" t="str">
        <f t="shared" si="11"/>
        <v>物业等级</v>
      </c>
      <c r="R28" s="774" t="s">
        <v>17</v>
      </c>
      <c r="S28" s="775">
        <f t="shared" si="12"/>
        <v>100</v>
      </c>
      <c r="T28" s="774" t="s">
        <v>17</v>
      </c>
      <c r="U28" s="775">
        <f t="shared" si="13"/>
        <v>100</v>
      </c>
      <c r="V28" s="774" t="s">
        <v>17</v>
      </c>
      <c r="W28" s="775">
        <f t="shared" si="14"/>
        <v>100</v>
      </c>
      <c r="X28" s="1815"/>
      <c r="Y28" s="3206"/>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6"/>
      <c r="Q29" s="1812" t="str">
        <f t="shared" si="11"/>
        <v>有无电梯</v>
      </c>
      <c r="R29" s="774" t="s">
        <v>17</v>
      </c>
      <c r="S29" s="775">
        <f t="shared" si="12"/>
        <v>100</v>
      </c>
      <c r="T29" s="774" t="s">
        <v>17</v>
      </c>
      <c r="U29" s="775">
        <f t="shared" si="13"/>
        <v>100</v>
      </c>
      <c r="V29" s="774" t="s">
        <v>17</v>
      </c>
      <c r="W29" s="775">
        <f t="shared" si="14"/>
        <v>100</v>
      </c>
      <c r="X29" s="1815"/>
      <c r="Y29" s="3206"/>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6"/>
      <c r="Q30" s="1812" t="str">
        <f t="shared" si="11"/>
        <v>建筑面积</v>
      </c>
      <c r="R30" s="774" t="s">
        <v>17</v>
      </c>
      <c r="S30" s="775" t="e">
        <f t="shared" si="12"/>
        <v>#N/A</v>
      </c>
      <c r="T30" s="774" t="s">
        <v>17</v>
      </c>
      <c r="U30" s="775" t="e">
        <f t="shared" si="13"/>
        <v>#N/A</v>
      </c>
      <c r="V30" s="774" t="s">
        <v>17</v>
      </c>
      <c r="W30" s="775" t="e">
        <f t="shared" si="14"/>
        <v>#N/A</v>
      </c>
      <c r="X30" s="1815"/>
      <c r="Y30" s="3206"/>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6"/>
      <c r="Q31" s="1797"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6" t="s">
        <v>2556</v>
      </c>
      <c r="Q32" s="1812">
        <f t="shared" si="11"/>
        <v>111</v>
      </c>
      <c r="R32" s="774" t="s">
        <v>17</v>
      </c>
      <c r="S32" s="775">
        <f t="shared" si="12"/>
        <v>100</v>
      </c>
      <c r="T32" s="774" t="s">
        <v>17</v>
      </c>
      <c r="U32" s="775">
        <f t="shared" si="13"/>
        <v>100</v>
      </c>
      <c r="V32" s="774" t="s">
        <v>17</v>
      </c>
      <c r="W32" s="775">
        <f t="shared" si="14"/>
        <v>100</v>
      </c>
      <c r="X32" s="1815"/>
      <c r="Y32" s="3206"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6"/>
      <c r="Q33" s="1812">
        <f t="shared" si="11"/>
        <v>111</v>
      </c>
      <c r="R33" s="774" t="s">
        <v>17</v>
      </c>
      <c r="S33" s="775">
        <f t="shared" si="12"/>
        <v>100</v>
      </c>
      <c r="T33" s="774" t="s">
        <v>17</v>
      </c>
      <c r="U33" s="775">
        <f t="shared" si="13"/>
        <v>100</v>
      </c>
      <c r="V33" s="774" t="s">
        <v>17</v>
      </c>
      <c r="W33" s="775">
        <f t="shared" si="14"/>
        <v>100</v>
      </c>
      <c r="X33" s="1815"/>
      <c r="Y33" s="3206"/>
      <c r="Z33" s="1816">
        <f t="shared" si="15"/>
        <v>111</v>
      </c>
      <c r="AA33" s="1813">
        <f t="shared" si="3"/>
        <v>1</v>
      </c>
      <c r="AB33" s="1813">
        <f t="shared" si="4"/>
        <v>1</v>
      </c>
      <c r="AC33" s="1813">
        <f t="shared" si="5"/>
        <v>1</v>
      </c>
    </row>
    <row r="34" spans="1:29" ht="15.6"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6"/>
      <c r="Q34" s="1812">
        <f t="shared" si="11"/>
        <v>111</v>
      </c>
      <c r="R34" s="774" t="s">
        <v>17</v>
      </c>
      <c r="S34" s="775">
        <f t="shared" si="12"/>
        <v>100</v>
      </c>
      <c r="T34" s="774" t="s">
        <v>17</v>
      </c>
      <c r="U34" s="775">
        <f t="shared" si="13"/>
        <v>100</v>
      </c>
      <c r="V34" s="774" t="s">
        <v>17</v>
      </c>
      <c r="W34" s="775">
        <f t="shared" si="14"/>
        <v>100</v>
      </c>
      <c r="X34" s="1815"/>
      <c r="Y34" s="3206"/>
      <c r="Z34" s="1816">
        <f t="shared" si="15"/>
        <v>111</v>
      </c>
      <c r="AA34" s="1813">
        <f t="shared" si="3"/>
        <v>1</v>
      </c>
      <c r="AB34" s="1813">
        <f t="shared" si="4"/>
        <v>1</v>
      </c>
      <c r="AC34" s="1813">
        <f t="shared" si="5"/>
        <v>1</v>
      </c>
    </row>
    <row r="35" spans="1:29" ht="14.4">
      <c r="A35" s="479" t="s">
        <v>2568</v>
      </c>
      <c r="B35" s="480"/>
      <c r="C35" s="1410" t="s">
        <v>1</v>
      </c>
      <c r="D35" s="1411"/>
      <c r="E35" s="1412"/>
      <c r="F35" s="1413"/>
      <c r="G35" s="1414"/>
      <c r="H35" s="1415"/>
      <c r="I35" s="1412"/>
      <c r="J35" s="1415"/>
      <c r="K35" s="783"/>
      <c r="L35" s="1146"/>
      <c r="M35" s="1147"/>
      <c r="N35" s="1134"/>
      <c r="O35" s="1147"/>
      <c r="P35" s="3188" t="str">
        <f>A35</f>
        <v>成交单价（元/平方米）</v>
      </c>
      <c r="Q35" s="3188"/>
      <c r="R35" s="3242">
        <f>E35</f>
        <v>0</v>
      </c>
      <c r="S35" s="3242"/>
      <c r="T35" s="3242">
        <f>G35</f>
        <v>0</v>
      </c>
      <c r="U35" s="3242"/>
      <c r="V35" s="3242">
        <f>I35</f>
        <v>0</v>
      </c>
      <c r="W35" s="3242"/>
      <c r="X35" s="759"/>
      <c r="Y35" s="781"/>
      <c r="Z35" s="759"/>
      <c r="AA35" s="759"/>
      <c r="AB35" s="759"/>
      <c r="AC35" s="759"/>
    </row>
    <row r="36" spans="1:29" ht="1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 thickBot="1">
      <c r="A37" s="492" t="s">
        <v>2661</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41" t="e">
        <f>IF(F1="售价",ROUND(AVERAGE(R36:V36),0),ROUND(AVERAGE(R36:V36),1))</f>
        <v>#DIV/0!</v>
      </c>
      <c r="S37" s="3241"/>
      <c r="T37" s="3241"/>
      <c r="U37" s="3241"/>
      <c r="V37" s="3241"/>
      <c r="W37" s="324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2665</v>
      </c>
      <c r="B45" s="759"/>
      <c r="C45" s="764"/>
      <c r="D45" s="764"/>
      <c r="E45" s="764"/>
      <c r="F45" s="765"/>
      <c r="G45" s="765"/>
      <c r="H45" s="764"/>
      <c r="I45" s="764"/>
      <c r="J45" s="764"/>
      <c r="K45" s="766"/>
      <c r="L45" s="767"/>
      <c r="M45" s="764"/>
      <c r="N45" s="764"/>
      <c r="O45" s="764"/>
      <c r="P45" s="503"/>
      <c r="Q45" s="504"/>
    </row>
    <row r="46" spans="1:29" s="508" customFormat="1" ht="14.4">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2579</v>
      </c>
      <c r="B51" s="528" t="s">
        <v>2545</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2720</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2636</v>
      </c>
      <c r="B4" s="402"/>
      <c r="C4" s="3189" t="s">
        <v>2637</v>
      </c>
      <c r="D4" s="3190"/>
      <c r="E4" s="3191" t="s">
        <v>2638</v>
      </c>
      <c r="F4" s="3192"/>
      <c r="G4" s="3189" t="s">
        <v>2639</v>
      </c>
      <c r="H4" s="3190"/>
      <c r="I4" s="3189" t="s">
        <v>2640</v>
      </c>
      <c r="J4" s="3190"/>
      <c r="K4" s="610" t="s">
        <v>2641</v>
      </c>
      <c r="L4" s="1133"/>
      <c r="M4" s="1134"/>
      <c r="N4" s="1134"/>
      <c r="O4" s="1134"/>
      <c r="P4" s="3193" t="s">
        <v>2642</v>
      </c>
      <c r="Q4" s="3194"/>
      <c r="R4" s="3176" t="s">
        <v>2638</v>
      </c>
      <c r="S4" s="3177"/>
      <c r="T4" s="3176" t="s">
        <v>2639</v>
      </c>
      <c r="U4" s="3177"/>
      <c r="V4" s="3201" t="s">
        <v>2640</v>
      </c>
      <c r="W4" s="3201"/>
      <c r="X4" s="1815"/>
      <c r="Y4" s="3176" t="s">
        <v>2642</v>
      </c>
      <c r="Z4" s="3177"/>
      <c r="AA4" s="3171" t="s">
        <v>2638</v>
      </c>
      <c r="AB4" s="3172" t="s">
        <v>2639</v>
      </c>
      <c r="AC4" s="3171" t="s">
        <v>2640</v>
      </c>
    </row>
    <row r="5" spans="1:29">
      <c r="A5" s="404"/>
      <c r="B5" s="405"/>
      <c r="C5" s="3182" t="s">
        <v>2533</v>
      </c>
      <c r="D5" s="3183"/>
      <c r="E5" s="3180" t="s">
        <v>2534</v>
      </c>
      <c r="F5" s="3181"/>
      <c r="G5" s="3182" t="s">
        <v>2535</v>
      </c>
      <c r="H5" s="3183"/>
      <c r="I5" s="3182" t="s">
        <v>2536</v>
      </c>
      <c r="J5" s="3183"/>
      <c r="K5" s="610"/>
      <c r="L5" s="1133"/>
      <c r="M5" s="1134"/>
      <c r="N5" s="1134"/>
      <c r="O5" s="1134"/>
      <c r="P5" s="3195"/>
      <c r="Q5" s="3196"/>
      <c r="R5" s="3178"/>
      <c r="S5" s="3179"/>
      <c r="T5" s="3178"/>
      <c r="U5" s="3179"/>
      <c r="V5" s="3201"/>
      <c r="W5" s="3201"/>
      <c r="X5" s="1815"/>
      <c r="Y5" s="3178"/>
      <c r="Z5" s="3179"/>
      <c r="AA5" s="3172"/>
      <c r="AB5" s="3172"/>
      <c r="AC5" s="3172"/>
    </row>
    <row r="6" spans="1:29" ht="15" thickBot="1">
      <c r="A6" s="406"/>
      <c r="B6" s="407"/>
      <c r="C6" s="3264" t="s">
        <v>2788</v>
      </c>
      <c r="D6" s="3265"/>
      <c r="E6" s="3266" t="s">
        <v>2788</v>
      </c>
      <c r="F6" s="3267"/>
      <c r="G6" s="3264" t="s">
        <v>2788</v>
      </c>
      <c r="H6" s="3265"/>
      <c r="I6" s="3264" t="s">
        <v>2788</v>
      </c>
      <c r="J6" s="3265"/>
      <c r="K6" s="610" t="s">
        <v>2538</v>
      </c>
      <c r="L6" s="1133"/>
      <c r="M6" s="1134"/>
      <c r="N6" s="1134"/>
      <c r="O6" s="1134"/>
      <c r="P6" s="3197"/>
      <c r="Q6" s="3198"/>
      <c r="R6" s="3178"/>
      <c r="S6" s="3179"/>
      <c r="T6" s="3199"/>
      <c r="U6" s="3200"/>
      <c r="V6" s="3201"/>
      <c r="W6" s="3201"/>
      <c r="X6" s="1815"/>
      <c r="Y6" s="3199"/>
      <c r="Z6" s="3200"/>
      <c r="AA6" s="3173"/>
      <c r="AB6" s="3173"/>
      <c r="AC6" s="3173"/>
    </row>
    <row r="7" spans="1:29" s="117" customFormat="1" ht="1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4" t="s">
        <v>2540</v>
      </c>
      <c r="Q7" s="3202"/>
      <c r="R7" s="770" t="s">
        <v>17</v>
      </c>
      <c r="S7" s="771">
        <f t="shared" ref="S7:S15" si="0">F7</f>
        <v>0</v>
      </c>
      <c r="T7" s="770" t="s">
        <v>17</v>
      </c>
      <c r="U7" s="771">
        <f t="shared" ref="U7:U15" si="1">H7</f>
        <v>0</v>
      </c>
      <c r="V7" s="770" t="s">
        <v>17</v>
      </c>
      <c r="W7" s="771">
        <f t="shared" ref="W7:W15" si="2">J7</f>
        <v>0</v>
      </c>
      <c r="X7" s="772"/>
      <c r="Y7" s="3174" t="s">
        <v>2540</v>
      </c>
      <c r="Z7" s="3175"/>
      <c r="AA7" s="773" t="e">
        <f>D7/F7</f>
        <v>#DIV/0!</v>
      </c>
      <c r="AB7" s="773" t="e">
        <f>D7/H7</f>
        <v>#DIV/0!</v>
      </c>
      <c r="AC7" s="773"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4" t="s">
        <v>2543</v>
      </c>
      <c r="Q8" s="3175"/>
      <c r="R8" s="770" t="s">
        <v>17</v>
      </c>
      <c r="S8" s="771">
        <f t="shared" si="0"/>
        <v>0</v>
      </c>
      <c r="T8" s="770" t="s">
        <v>17</v>
      </c>
      <c r="U8" s="771">
        <f t="shared" si="1"/>
        <v>0</v>
      </c>
      <c r="V8" s="770" t="s">
        <v>17</v>
      </c>
      <c r="W8" s="771">
        <f t="shared" si="2"/>
        <v>0</v>
      </c>
      <c r="X8" s="772"/>
      <c r="Y8" s="3174" t="s">
        <v>2543</v>
      </c>
      <c r="Z8" s="3175"/>
      <c r="AA8" s="773" t="e">
        <f t="shared" ref="AA8:AA40" si="3">D8/F8</f>
        <v>#DIV/0!</v>
      </c>
      <c r="AB8" s="773" t="e">
        <f t="shared" ref="AB8:AB40" si="4">D8/H8</f>
        <v>#DIV/0!</v>
      </c>
      <c r="AC8" s="773" t="e">
        <f t="shared" ref="AC8:AC40" si="5">D8/J8</f>
        <v>#DIV/0!</v>
      </c>
    </row>
    <row r="9" spans="1:29" s="117" customFormat="1" ht="14.4">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8" t="s">
        <v>2546</v>
      </c>
      <c r="Q9" s="1797" t="str">
        <f t="shared" ref="Q9:Q15" si="6">B9</f>
        <v>用途</v>
      </c>
      <c r="R9" s="770" t="s">
        <v>17</v>
      </c>
      <c r="S9" s="771">
        <f t="shared" si="0"/>
        <v>100</v>
      </c>
      <c r="T9" s="770" t="s">
        <v>17</v>
      </c>
      <c r="U9" s="771">
        <f t="shared" si="1"/>
        <v>100</v>
      </c>
      <c r="V9" s="770" t="s">
        <v>17</v>
      </c>
      <c r="W9" s="771">
        <f t="shared" si="2"/>
        <v>100</v>
      </c>
      <c r="X9" s="772"/>
      <c r="Y9" s="3048" t="s">
        <v>2547</v>
      </c>
      <c r="Z9" s="55" t="str">
        <f t="shared" ref="Z9:Z15" si="7">Q9</f>
        <v>用途</v>
      </c>
      <c r="AA9" s="773">
        <f t="shared" si="3"/>
        <v>1</v>
      </c>
      <c r="AB9" s="773">
        <f t="shared" si="4"/>
        <v>1</v>
      </c>
      <c r="AC9" s="773">
        <f t="shared" si="5"/>
        <v>1</v>
      </c>
    </row>
    <row r="10" spans="1:29" s="427" customFormat="1" ht="28.8">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8"/>
      <c r="Q10" s="1797" t="str">
        <f t="shared" si="6"/>
        <v>土地使用年限（年）</v>
      </c>
      <c r="R10" s="770" t="s">
        <v>17</v>
      </c>
      <c r="S10" s="771">
        <f t="shared" si="0"/>
        <v>117</v>
      </c>
      <c r="T10" s="770" t="s">
        <v>17</v>
      </c>
      <c r="U10" s="771">
        <f t="shared" si="1"/>
        <v>117</v>
      </c>
      <c r="V10" s="770" t="s">
        <v>17</v>
      </c>
      <c r="W10" s="771">
        <f t="shared" si="2"/>
        <v>117</v>
      </c>
      <c r="X10" s="772"/>
      <c r="Y10" s="3048"/>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7"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7">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7">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7">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69">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2551</v>
      </c>
      <c r="Q15" s="1812" t="str">
        <f t="shared" si="6"/>
        <v>产业集聚程度</v>
      </c>
      <c r="R15" s="774" t="s">
        <v>17</v>
      </c>
      <c r="S15" s="775">
        <f t="shared" si="0"/>
        <v>100</v>
      </c>
      <c r="T15" s="774" t="s">
        <v>17</v>
      </c>
      <c r="U15" s="775">
        <f t="shared" si="1"/>
        <v>100</v>
      </c>
      <c r="V15" s="774" t="s">
        <v>17</v>
      </c>
      <c r="W15" s="775">
        <f t="shared" si="2"/>
        <v>100</v>
      </c>
      <c r="X15" s="1815"/>
      <c r="Y15" s="3203"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96.6">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28.8">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2" t="str">
        <f t="shared" ref="Q19:Q33" si="8">B19</f>
        <v>区域土地利用方向</v>
      </c>
      <c r="R19" s="774" t="s">
        <v>17</v>
      </c>
      <c r="S19" s="775">
        <f>F19</f>
        <v>100</v>
      </c>
      <c r="T19" s="774" t="s">
        <v>17</v>
      </c>
      <c r="U19" s="775">
        <f>H19</f>
        <v>100</v>
      </c>
      <c r="V19" s="774" t="s">
        <v>17</v>
      </c>
      <c r="W19" s="775">
        <f>J19</f>
        <v>100</v>
      </c>
      <c r="X19" s="1815"/>
      <c r="Y19" s="3204"/>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4"/>
      <c r="Q20" s="1812"/>
      <c r="R20" s="774"/>
      <c r="S20" s="775"/>
      <c r="T20" s="774"/>
      <c r="U20" s="775"/>
      <c r="V20" s="774"/>
      <c r="W20" s="775"/>
      <c r="X20" s="1815"/>
      <c r="Y20" s="3204"/>
      <c r="Z20" s="1816"/>
      <c r="AA20" s="1813"/>
      <c r="AB20" s="1813"/>
      <c r="AC20" s="1813"/>
    </row>
    <row r="21" spans="1:29" ht="82.8">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2" t="str">
        <f t="shared" si="8"/>
        <v>环境状况</v>
      </c>
      <c r="R21" s="774" t="s">
        <v>17</v>
      </c>
      <c r="S21" s="775">
        <f>F21</f>
        <v>100</v>
      </c>
      <c r="T21" s="774" t="s">
        <v>17</v>
      </c>
      <c r="U21" s="775">
        <f>H21</f>
        <v>100</v>
      </c>
      <c r="V21" s="774" t="s">
        <v>17</v>
      </c>
      <c r="W21" s="775">
        <f>J21</f>
        <v>100</v>
      </c>
      <c r="X21" s="1815"/>
      <c r="Y21" s="3204"/>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s="117" customFormat="1" ht="41.4">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7" t="str">
        <f t="shared" si="8"/>
        <v>公共配套设施</v>
      </c>
      <c r="R23" s="770" t="s">
        <v>17</v>
      </c>
      <c r="S23" s="771">
        <f>F23</f>
        <v>100</v>
      </c>
      <c r="T23" s="770" t="s">
        <v>17</v>
      </c>
      <c r="U23" s="771">
        <f>H23</f>
        <v>100</v>
      </c>
      <c r="V23" s="770" t="s">
        <v>17</v>
      </c>
      <c r="W23" s="771">
        <f>J23</f>
        <v>100</v>
      </c>
      <c r="X23" s="772"/>
      <c r="Y23" s="3204"/>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4"/>
      <c r="Q24" s="1797"/>
      <c r="R24" s="770"/>
      <c r="S24" s="771"/>
      <c r="T24" s="770"/>
      <c r="U24" s="771"/>
      <c r="V24" s="770"/>
      <c r="W24" s="771"/>
      <c r="X24" s="772"/>
      <c r="Y24" s="3204"/>
      <c r="Z24" s="55"/>
      <c r="AA24" s="773">
        <v>1</v>
      </c>
      <c r="AB24" s="773">
        <v>1</v>
      </c>
      <c r="AC24" s="773">
        <v>1</v>
      </c>
    </row>
    <row r="25" spans="1:29" s="117" customFormat="1" ht="41.4">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7"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4"/>
      <c r="Q26" s="1797"/>
      <c r="R26" s="770"/>
      <c r="S26" s="771"/>
      <c r="T26" s="770"/>
      <c r="U26" s="771"/>
      <c r="V26" s="770"/>
      <c r="W26" s="771"/>
      <c r="X26" s="772"/>
      <c r="Y26" s="320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4"/>
      <c r="Z27" s="1816" t="str">
        <f t="shared" ref="Z27:Z40" si="13">Q27</f>
        <v>临街状况</v>
      </c>
      <c r="AA27" s="1813">
        <f t="shared" si="3"/>
        <v>1</v>
      </c>
      <c r="AB27" s="1813">
        <f t="shared" si="4"/>
        <v>1</v>
      </c>
      <c r="AC27" s="1813">
        <f t="shared" si="5"/>
        <v>1</v>
      </c>
    </row>
    <row r="28" spans="1:29" ht="28.8">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2" t="str">
        <f t="shared" si="8"/>
        <v>毗邻道路的类型与等级</v>
      </c>
      <c r="R28" s="774" t="s">
        <v>17</v>
      </c>
      <c r="S28" s="775">
        <f t="shared" si="10"/>
        <v>100</v>
      </c>
      <c r="T28" s="774" t="s">
        <v>17</v>
      </c>
      <c r="U28" s="775">
        <f t="shared" si="11"/>
        <v>100</v>
      </c>
      <c r="V28" s="774" t="s">
        <v>17</v>
      </c>
      <c r="W28" s="775">
        <f t="shared" si="12"/>
        <v>100</v>
      </c>
      <c r="X28" s="1815"/>
      <c r="Y28" s="3204"/>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4"/>
      <c r="Q29" s="1812"/>
      <c r="R29" s="774"/>
      <c r="S29" s="775"/>
      <c r="T29" s="774"/>
      <c r="U29" s="775"/>
      <c r="V29" s="774"/>
      <c r="W29" s="775"/>
      <c r="X29" s="1815"/>
      <c r="Y29" s="3204"/>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2" t="str">
        <f t="shared" si="8"/>
        <v>土地级别</v>
      </c>
      <c r="R30" s="774" t="s">
        <v>17</v>
      </c>
      <c r="S30" s="775">
        <f t="shared" si="10"/>
        <v>100</v>
      </c>
      <c r="T30" s="774" t="s">
        <v>17</v>
      </c>
      <c r="U30" s="775">
        <f t="shared" si="11"/>
        <v>100</v>
      </c>
      <c r="V30" s="774" t="s">
        <v>17</v>
      </c>
      <c r="W30" s="775">
        <f t="shared" si="12"/>
        <v>100</v>
      </c>
      <c r="X30" s="1815"/>
      <c r="Y30" s="3204"/>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2">
        <f t="shared" si="8"/>
        <v>111</v>
      </c>
      <c r="R31" s="774" t="s">
        <v>17</v>
      </c>
      <c r="S31" s="775">
        <f t="shared" si="10"/>
        <v>100</v>
      </c>
      <c r="T31" s="774" t="s">
        <v>17</v>
      </c>
      <c r="U31" s="775">
        <f t="shared" si="11"/>
        <v>100</v>
      </c>
      <c r="V31" s="774" t="s">
        <v>17</v>
      </c>
      <c r="W31" s="775">
        <f t="shared" si="12"/>
        <v>100</v>
      </c>
      <c r="X31" s="1815"/>
      <c r="Y31" s="3204"/>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5" t="s">
        <v>2556</v>
      </c>
      <c r="Q32" s="1812">
        <f t="shared" si="8"/>
        <v>111</v>
      </c>
      <c r="R32" s="774" t="s">
        <v>17</v>
      </c>
      <c r="S32" s="775">
        <f t="shared" si="10"/>
        <v>100</v>
      </c>
      <c r="T32" s="774" t="s">
        <v>17</v>
      </c>
      <c r="U32" s="775">
        <f t="shared" si="11"/>
        <v>100</v>
      </c>
      <c r="V32" s="774" t="s">
        <v>17</v>
      </c>
      <c r="W32" s="775">
        <f t="shared" si="12"/>
        <v>100</v>
      </c>
      <c r="X32" s="1815"/>
      <c r="Y32" s="3206" t="s">
        <v>2556</v>
      </c>
      <c r="Z32" s="1816">
        <f t="shared" si="13"/>
        <v>111</v>
      </c>
      <c r="AA32" s="1813">
        <f t="shared" si="3"/>
        <v>1</v>
      </c>
      <c r="AB32" s="1813">
        <f t="shared" si="4"/>
        <v>1</v>
      </c>
      <c r="AC32" s="1813">
        <f t="shared" si="5"/>
        <v>1</v>
      </c>
    </row>
    <row r="33" spans="1:29" s="471" customFormat="1" ht="15.6"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6"/>
      <c r="Q33" s="1812">
        <f t="shared" si="8"/>
        <v>111</v>
      </c>
      <c r="R33" s="777" t="s">
        <v>17</v>
      </c>
      <c r="S33" s="778">
        <f t="shared" si="10"/>
        <v>100</v>
      </c>
      <c r="T33" s="777" t="s">
        <v>17</v>
      </c>
      <c r="U33" s="778">
        <f t="shared" si="11"/>
        <v>100</v>
      </c>
      <c r="V33" s="777" t="s">
        <v>17</v>
      </c>
      <c r="W33" s="778">
        <f t="shared" si="12"/>
        <v>100</v>
      </c>
      <c r="X33" s="779"/>
      <c r="Y33" s="3206"/>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6"/>
      <c r="Q34" s="1812" t="str">
        <f>B34</f>
        <v>宗地面积</v>
      </c>
      <c r="R34" s="774" t="s">
        <v>17</v>
      </c>
      <c r="S34" s="775" t="e">
        <f t="shared" si="10"/>
        <v>#N/A</v>
      </c>
      <c r="T34" s="774" t="s">
        <v>17</v>
      </c>
      <c r="U34" s="775" t="e">
        <f t="shared" si="11"/>
        <v>#N/A</v>
      </c>
      <c r="V34" s="774" t="s">
        <v>17</v>
      </c>
      <c r="W34" s="775" t="e">
        <f t="shared" si="12"/>
        <v>#N/A</v>
      </c>
      <c r="X34" s="1815"/>
      <c r="Y34" s="3206"/>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06"/>
      <c r="Q35" s="1812" t="str">
        <f t="shared" ref="Q35:Q40" si="14">B35</f>
        <v>宗地形状</v>
      </c>
      <c r="R35" s="774" t="s">
        <v>17</v>
      </c>
      <c r="S35" s="775">
        <f t="shared" si="10"/>
        <v>100</v>
      </c>
      <c r="T35" s="774" t="s">
        <v>17</v>
      </c>
      <c r="U35" s="775">
        <f t="shared" si="11"/>
        <v>100</v>
      </c>
      <c r="V35" s="774" t="s">
        <v>17</v>
      </c>
      <c r="W35" s="775">
        <f t="shared" si="12"/>
        <v>100</v>
      </c>
      <c r="X35" s="1815"/>
      <c r="Y35" s="3206"/>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6"/>
      <c r="Q36" s="1812"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06" t="s">
        <v>2556</v>
      </c>
      <c r="Q37" s="1812" t="str">
        <f t="shared" si="14"/>
        <v>工程地质条件</v>
      </c>
      <c r="R37" s="774" t="s">
        <v>17</v>
      </c>
      <c r="S37" s="775">
        <f t="shared" si="10"/>
        <v>100</v>
      </c>
      <c r="T37" s="774" t="s">
        <v>17</v>
      </c>
      <c r="U37" s="775">
        <f t="shared" si="11"/>
        <v>100</v>
      </c>
      <c r="V37" s="774" t="s">
        <v>17</v>
      </c>
      <c r="W37" s="775">
        <f t="shared" si="12"/>
        <v>100</v>
      </c>
      <c r="X37" s="1815"/>
      <c r="Y37" s="3206"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6"/>
      <c r="Q38" s="1812">
        <f t="shared" si="14"/>
        <v>111</v>
      </c>
      <c r="R38" s="774" t="s">
        <v>17</v>
      </c>
      <c r="S38" s="775">
        <f t="shared" si="10"/>
        <v>100</v>
      </c>
      <c r="T38" s="774" t="s">
        <v>17</v>
      </c>
      <c r="U38" s="775">
        <f t="shared" si="11"/>
        <v>100</v>
      </c>
      <c r="V38" s="774" t="s">
        <v>17</v>
      </c>
      <c r="W38" s="775">
        <f t="shared" si="12"/>
        <v>100</v>
      </c>
      <c r="X38" s="1815"/>
      <c r="Y38" s="320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6"/>
      <c r="Q39" s="1812">
        <f t="shared" si="14"/>
        <v>111</v>
      </c>
      <c r="R39" s="774" t="s">
        <v>17</v>
      </c>
      <c r="S39" s="775">
        <f t="shared" si="10"/>
        <v>100</v>
      </c>
      <c r="T39" s="774" t="s">
        <v>17</v>
      </c>
      <c r="U39" s="775">
        <f t="shared" si="11"/>
        <v>100</v>
      </c>
      <c r="V39" s="774" t="s">
        <v>17</v>
      </c>
      <c r="W39" s="775">
        <f t="shared" si="12"/>
        <v>100</v>
      </c>
      <c r="X39" s="1815"/>
      <c r="Y39" s="3206"/>
      <c r="Z39" s="1816">
        <f t="shared" si="13"/>
        <v>111</v>
      </c>
      <c r="AA39" s="1813">
        <f t="shared" si="3"/>
        <v>1</v>
      </c>
      <c r="AB39" s="1813">
        <f t="shared" si="4"/>
        <v>1</v>
      </c>
      <c r="AC39" s="1813">
        <f t="shared" si="5"/>
        <v>1</v>
      </c>
    </row>
    <row r="40" spans="1:29" s="471" customFormat="1" ht="15.6"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6"/>
      <c r="Q40" s="1812">
        <f t="shared" si="14"/>
        <v>111</v>
      </c>
      <c r="R40" s="777" t="s">
        <v>17</v>
      </c>
      <c r="S40" s="778">
        <f t="shared" si="10"/>
        <v>100</v>
      </c>
      <c r="T40" s="777" t="s">
        <v>17</v>
      </c>
      <c r="U40" s="778">
        <f t="shared" si="11"/>
        <v>100</v>
      </c>
      <c r="V40" s="777" t="s">
        <v>17</v>
      </c>
      <c r="W40" s="778">
        <f t="shared" si="12"/>
        <v>100</v>
      </c>
      <c r="X40" s="779"/>
      <c r="Y40" s="3206"/>
      <c r="Z40" s="780">
        <f t="shared" si="13"/>
        <v>111</v>
      </c>
      <c r="AA40" s="1813">
        <f t="shared" si="3"/>
        <v>1</v>
      </c>
      <c r="AB40" s="1813">
        <f t="shared" si="4"/>
        <v>1</v>
      </c>
      <c r="AC40" s="1813">
        <f t="shared" si="5"/>
        <v>1</v>
      </c>
    </row>
    <row r="41" spans="1:29" ht="14.4">
      <c r="A41" s="479" t="s">
        <v>2711</v>
      </c>
      <c r="B41" s="2709" t="s">
        <v>2791</v>
      </c>
      <c r="C41" s="682" t="s">
        <v>1</v>
      </c>
      <c r="D41" s="481"/>
      <c r="E41" s="482"/>
      <c r="F41" s="483"/>
      <c r="G41" s="484"/>
      <c r="H41" s="485"/>
      <c r="I41" s="482"/>
      <c r="J41" s="485"/>
      <c r="K41" s="783"/>
      <c r="L41" s="1146"/>
      <c r="M41" s="1134"/>
      <c r="N41" s="1134"/>
      <c r="O41" s="1147"/>
      <c r="P41" s="3188" t="str">
        <f>A41</f>
        <v>成交单价</v>
      </c>
      <c r="Q41" s="3188"/>
      <c r="R41" s="3201">
        <f>E41</f>
        <v>0</v>
      </c>
      <c r="S41" s="3201"/>
      <c r="T41" s="3201">
        <f>G41</f>
        <v>0</v>
      </c>
      <c r="U41" s="3201"/>
      <c r="V41" s="3201">
        <f>I41</f>
        <v>0</v>
      </c>
      <c r="W41" s="3201"/>
      <c r="X41" s="759"/>
      <c r="Y41" s="781"/>
      <c r="Z41" s="759"/>
      <c r="AA41" s="759"/>
      <c r="AB41" s="759"/>
      <c r="AC41" s="759"/>
    </row>
    <row r="42" spans="1:29" ht="1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07" t="e">
        <f>ROUND(PRODUCT(R41,AA7:AA40),0)</f>
        <v>#DIV/0!</v>
      </c>
      <c r="S42" s="3207"/>
      <c r="T42" s="3207" t="e">
        <f>ROUND(PRODUCT(T41,AB7:AB40),0)</f>
        <v>#DIV/0!</v>
      </c>
      <c r="U42" s="3207"/>
      <c r="V42" s="3207" t="e">
        <f>ROUND(PRODUCT(V41,AC7:AC40),0)</f>
        <v>#DIV/0!</v>
      </c>
      <c r="W42" s="3207"/>
      <c r="X42" s="759"/>
      <c r="Y42" s="759"/>
      <c r="Z42" s="759"/>
      <c r="AA42" s="759"/>
      <c r="AB42" s="759"/>
      <c r="AC42" s="759"/>
    </row>
    <row r="43" spans="1:29" ht="15" thickBot="1">
      <c r="A43" s="492" t="s">
        <v>2661</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10" t="e">
        <f>ROUND(AVERAGE(R42:V42),0)</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2749</v>
      </c>
      <c r="B50" s="685" t="s">
        <v>2750</v>
      </c>
      <c r="C50" s="2710" t="s">
        <v>2751</v>
      </c>
      <c r="D50" s="2711" t="s">
        <v>2752</v>
      </c>
      <c r="E50" s="686" t="s">
        <v>2753</v>
      </c>
      <c r="F50" s="687" t="s">
        <v>2754</v>
      </c>
      <c r="G50" s="3189" t="s">
        <v>2755</v>
      </c>
      <c r="H50" s="3211"/>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212"/>
      <c r="H51" s="318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13"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13"/>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13"/>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13"/>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4.4"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4.4"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2665</v>
      </c>
      <c r="B64" s="759"/>
      <c r="C64" s="764"/>
      <c r="D64" s="764"/>
      <c r="E64" s="764"/>
      <c r="F64" s="765"/>
      <c r="G64" s="765"/>
      <c r="H64" s="764"/>
      <c r="I64" s="764"/>
      <c r="J64" s="764"/>
      <c r="K64" s="766"/>
      <c r="L64" s="767"/>
      <c r="M64" s="764"/>
      <c r="N64" s="764"/>
      <c r="O64" s="1162"/>
      <c r="P64" s="503"/>
      <c r="Q64" s="504"/>
    </row>
    <row r="65" spans="1:17" s="508" customFormat="1" ht="14.4">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2579</v>
      </c>
      <c r="B70" s="528" t="s">
        <v>2545</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2548</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2682</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2741</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5" sqref="D5"/>
    </sheetView>
  </sheetViews>
  <sheetFormatPr defaultColWidth="12" defaultRowHeight="13.2"/>
  <cols>
    <col min="1" max="1" width="9.77734375" style="2801" customWidth="1"/>
    <col min="2" max="2" width="19.21875" style="2907" customWidth="1"/>
    <col min="3" max="4" width="12" style="2725"/>
    <col min="5" max="5" width="14.6640625" style="2725" customWidth="1"/>
    <col min="6" max="8" width="12" style="2725"/>
    <col min="9" max="9" width="12.21875" style="2725" bestFit="1" customWidth="1"/>
    <col min="10" max="10" width="12" style="2725"/>
    <col min="11" max="11" width="8.109375" style="2793" customWidth="1"/>
    <col min="12" max="12" width="12" style="2725"/>
    <col min="13" max="13" width="8.44140625" style="2725" customWidth="1"/>
    <col min="14" max="14" width="9.77734375" style="2725" customWidth="1"/>
    <col min="15" max="25" width="12" style="2725"/>
    <col min="26" max="26" width="9.33203125" style="2801" customWidth="1"/>
    <col min="27" max="32" width="9.33203125" style="1375" customWidth="1"/>
    <col min="33" max="36" width="9.33203125" style="2801" customWidth="1"/>
    <col min="37" max="38" width="9.33203125" style="2725" customWidth="1"/>
    <col min="39" max="16384" width="12" style="2725"/>
  </cols>
  <sheetData>
    <row r="1" spans="1:36" ht="31.2">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6">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82"/>
      <c r="B4" s="3283"/>
      <c r="C4" s="3283"/>
      <c r="D4" s="3284"/>
      <c r="E4" s="3284"/>
      <c r="F4" s="3284"/>
      <c r="G4" s="3284"/>
      <c r="H4" s="3284"/>
      <c r="I4" s="3284"/>
      <c r="J4" s="3285"/>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6"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6"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68"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69"/>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9" t="s">
        <v>2831</v>
      </c>
      <c r="X8" s="3280"/>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9"/>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1"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9"/>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69"/>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1"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8" thickBot="1">
      <c r="A12" s="3268"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1"/>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6"/>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81"/>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86"/>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87"/>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8"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69"/>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4"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9.4"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4.4">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4">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9.4"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4.4">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8"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3.8">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36">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76"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77"/>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8" thickBot="1">
      <c r="A36" s="3278"/>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8"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4.4">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5.2">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66">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9.2">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79.2">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9.8"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66">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9.2">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79.2">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9.8"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66">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9.2">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79.2">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36">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9.2">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36.6"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4.4">
      <c r="A79" s="2879" t="s">
        <v>2961</v>
      </c>
      <c r="B79" s="2880">
        <f>1+E81</f>
        <v>1</v>
      </c>
      <c r="C79" s="814"/>
      <c r="D79" s="814"/>
      <c r="E79" s="815"/>
      <c r="F79" s="2882"/>
      <c r="G79" s="6"/>
      <c r="H79" s="6"/>
      <c r="I79" s="6"/>
      <c r="J79" s="7"/>
      <c r="K79" s="7"/>
      <c r="L79" s="7"/>
      <c r="M79" s="7"/>
      <c r="N79" s="7"/>
      <c r="Z79" s="2725"/>
      <c r="AA79" s="2801"/>
      <c r="AG79" s="1375"/>
      <c r="AK79" s="2801"/>
    </row>
    <row r="80" spans="1:37" ht="25.2">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9.6">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66">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3.8">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6.4">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6.4">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36">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53.4"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0" t="s">
        <v>2965</v>
      </c>
      <c r="B90" s="3270"/>
      <c r="C90" s="3270"/>
      <c r="D90" s="3270"/>
      <c r="E90" s="3270"/>
      <c r="F90" s="3270"/>
      <c r="G90" s="3270"/>
      <c r="H90" s="3270"/>
      <c r="I90" s="3270"/>
      <c r="J90" s="3270"/>
      <c r="K90" s="2897"/>
      <c r="L90" s="2897"/>
      <c r="M90" s="2897"/>
      <c r="N90" s="2897"/>
    </row>
    <row r="91" spans="1:37">
      <c r="A91" s="3272" t="s">
        <v>2966</v>
      </c>
      <c r="B91" s="3272" t="s">
        <v>2967</v>
      </c>
      <c r="C91" s="2851" t="s">
        <v>2968</v>
      </c>
      <c r="D91" s="2852"/>
      <c r="E91" s="2852"/>
      <c r="F91" s="2852"/>
      <c r="G91" s="2852"/>
      <c r="H91" s="2852"/>
      <c r="I91" s="2852"/>
      <c r="J91" s="2898"/>
      <c r="K91" s="2899"/>
      <c r="L91" s="2899"/>
      <c r="M91" s="2899"/>
      <c r="N91" s="2899"/>
    </row>
    <row r="92" spans="1:37">
      <c r="A92" s="3272"/>
      <c r="B92" s="3272"/>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3"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4"/>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3"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74"/>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74"/>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74"/>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74"/>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74"/>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74"/>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74"/>
      <c r="B108" s="3102"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5"/>
      <c r="B109" s="3103"/>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71" t="s">
        <v>2973</v>
      </c>
      <c r="B110" s="3271"/>
      <c r="C110" s="3271"/>
      <c r="D110" s="3271"/>
      <c r="E110" s="3271"/>
      <c r="F110" s="3271"/>
      <c r="G110" s="3271"/>
      <c r="H110" s="3271"/>
      <c r="I110" s="3271"/>
      <c r="J110" s="3271"/>
      <c r="K110" s="2906"/>
      <c r="L110" s="2906"/>
      <c r="M110" s="2906"/>
      <c r="N110" s="2906"/>
    </row>
    <row r="112" spans="1:14" ht="13.8" thickBot="1"/>
    <row r="113" spans="1:13" ht="25.8"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8"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88" t="s">
        <v>614</v>
      </c>
      <c r="C61" s="818" t="s">
        <v>615</v>
      </c>
      <c r="D61" s="818" t="s">
        <v>616</v>
      </c>
      <c r="E61" s="895">
        <v>0.5</v>
      </c>
      <c r="F61" s="882">
        <v>80</v>
      </c>
    </row>
    <row r="62" spans="1:8" s="878" customFormat="1" ht="36">
      <c r="A62" s="882">
        <v>2</v>
      </c>
      <c r="B62" s="3288"/>
      <c r="C62" s="818" t="s">
        <v>617</v>
      </c>
      <c r="D62" s="818" t="s">
        <v>618</v>
      </c>
      <c r="E62" s="895">
        <v>0.5</v>
      </c>
      <c r="F62" s="882">
        <v>80</v>
      </c>
    </row>
    <row r="63" spans="1:8" s="878" customFormat="1" ht="48">
      <c r="A63" s="882">
        <v>3</v>
      </c>
      <c r="B63" s="3288"/>
      <c r="C63" s="818" t="s">
        <v>619</v>
      </c>
      <c r="D63" s="818" t="s">
        <v>620</v>
      </c>
      <c r="E63" s="895">
        <v>0.5</v>
      </c>
      <c r="F63" s="882">
        <v>80</v>
      </c>
    </row>
    <row r="64" spans="1:8" s="878" customFormat="1" ht="48">
      <c r="A64" s="882">
        <v>4</v>
      </c>
      <c r="B64" s="3288"/>
      <c r="C64" s="818" t="s">
        <v>621</v>
      </c>
      <c r="D64" s="818" t="s">
        <v>622</v>
      </c>
      <c r="E64" s="895">
        <v>0.4</v>
      </c>
      <c r="F64" s="882">
        <v>60</v>
      </c>
    </row>
    <row r="65" spans="1:6" s="878" customFormat="1" ht="48">
      <c r="A65" s="882">
        <v>5</v>
      </c>
      <c r="B65" s="3288"/>
      <c r="C65" s="818" t="s">
        <v>623</v>
      </c>
      <c r="D65" s="818" t="s">
        <v>624</v>
      </c>
      <c r="E65" s="895">
        <v>0.2</v>
      </c>
      <c r="F65" s="882">
        <v>30</v>
      </c>
    </row>
    <row r="66" spans="1:6" s="878" customFormat="1" ht="48">
      <c r="A66" s="882">
        <v>6</v>
      </c>
      <c r="B66" s="3288"/>
      <c r="C66" s="818" t="s">
        <v>625</v>
      </c>
      <c r="D66" s="818" t="s">
        <v>626</v>
      </c>
      <c r="E66" s="895">
        <v>0.3</v>
      </c>
      <c r="F66" s="882">
        <v>50</v>
      </c>
    </row>
    <row r="67" spans="1:6" s="878" customFormat="1" ht="48">
      <c r="A67" s="882">
        <v>7</v>
      </c>
      <c r="B67" s="3288"/>
      <c r="C67" s="818" t="s">
        <v>627</v>
      </c>
      <c r="D67" s="818" t="s">
        <v>628</v>
      </c>
      <c r="E67" s="895">
        <v>0.2</v>
      </c>
      <c r="F67" s="882">
        <v>30</v>
      </c>
    </row>
    <row r="68" spans="1:6" s="878" customFormat="1" ht="48">
      <c r="A68" s="882">
        <v>8</v>
      </c>
      <c r="B68" s="3288"/>
      <c r="C68" s="818" t="s">
        <v>629</v>
      </c>
      <c r="D68" s="818" t="s">
        <v>630</v>
      </c>
      <c r="E68" s="895">
        <v>0.2</v>
      </c>
      <c r="F68" s="882">
        <v>30</v>
      </c>
    </row>
    <row r="69" spans="1:6" s="878" customFormat="1" ht="48">
      <c r="A69" s="882">
        <v>9</v>
      </c>
      <c r="B69" s="3288"/>
      <c r="C69" s="818" t="s">
        <v>631</v>
      </c>
      <c r="D69" s="818" t="s">
        <v>632</v>
      </c>
      <c r="E69" s="895">
        <v>0.2</v>
      </c>
      <c r="F69" s="882">
        <v>30</v>
      </c>
    </row>
    <row r="70" spans="1:6" s="878" customFormat="1" ht="60">
      <c r="A70" s="882">
        <v>10</v>
      </c>
      <c r="B70" s="3288"/>
      <c r="C70" s="818" t="s">
        <v>633</v>
      </c>
      <c r="D70" s="818" t="s">
        <v>634</v>
      </c>
      <c r="E70" s="895">
        <v>0.2</v>
      </c>
      <c r="F70" s="882">
        <v>30</v>
      </c>
    </row>
    <row r="71" spans="1:6" s="878" customFormat="1" ht="60">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36">
      <c r="A73" s="882">
        <v>13</v>
      </c>
      <c r="B73" s="3288"/>
      <c r="C73" s="818" t="s">
        <v>639</v>
      </c>
      <c r="D73" s="818" t="s">
        <v>640</v>
      </c>
      <c r="E73" s="895">
        <v>0.4</v>
      </c>
      <c r="F73" s="882">
        <v>60</v>
      </c>
    </row>
    <row r="74" spans="1:6" s="878" customFormat="1" ht="36">
      <c r="A74" s="882">
        <v>14</v>
      </c>
      <c r="B74" s="3288"/>
      <c r="C74" s="818" t="s">
        <v>641</v>
      </c>
      <c r="D74" s="818" t="s">
        <v>642</v>
      </c>
      <c r="E74" s="895">
        <v>0.2</v>
      </c>
      <c r="F74" s="882">
        <v>30</v>
      </c>
    </row>
    <row r="75" spans="1:6" s="878" customFormat="1" ht="36">
      <c r="A75" s="882">
        <v>15</v>
      </c>
      <c r="B75" s="3288"/>
      <c r="C75" s="818" t="s">
        <v>643</v>
      </c>
      <c r="D75" s="818" t="s">
        <v>644</v>
      </c>
      <c r="E75" s="895">
        <v>0.2</v>
      </c>
      <c r="F75" s="882">
        <v>30</v>
      </c>
    </row>
    <row r="76" spans="1:6" s="878" customFormat="1" ht="36">
      <c r="A76" s="882">
        <v>16</v>
      </c>
      <c r="B76" s="3288" t="s">
        <v>645</v>
      </c>
      <c r="C76" s="818" t="s">
        <v>646</v>
      </c>
      <c r="D76" s="818" t="s">
        <v>647</v>
      </c>
      <c r="E76" s="895">
        <v>0.5</v>
      </c>
      <c r="F76" s="882">
        <v>80</v>
      </c>
    </row>
    <row r="77" spans="1:6" s="878" customFormat="1" ht="36">
      <c r="A77" s="882">
        <v>17</v>
      </c>
      <c r="B77" s="3288"/>
      <c r="C77" s="818" t="s">
        <v>648</v>
      </c>
      <c r="D77" s="818" t="s">
        <v>649</v>
      </c>
      <c r="E77" s="895">
        <v>0.5</v>
      </c>
      <c r="F77" s="882">
        <v>80</v>
      </c>
    </row>
    <row r="78" spans="1:6" s="878" customFormat="1" ht="36">
      <c r="A78" s="882">
        <v>18</v>
      </c>
      <c r="B78" s="3288"/>
      <c r="C78" s="818" t="s">
        <v>650</v>
      </c>
      <c r="D78" s="818" t="s">
        <v>651</v>
      </c>
      <c r="E78" s="895">
        <v>0.2</v>
      </c>
      <c r="F78" s="882">
        <v>30</v>
      </c>
    </row>
    <row r="79" spans="1:6" s="878" customFormat="1" ht="36">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60">
      <c r="A82" s="882">
        <v>22</v>
      </c>
      <c r="B82" s="3288"/>
      <c r="C82" s="818" t="s">
        <v>658</v>
      </c>
      <c r="D82" s="818" t="s">
        <v>659</v>
      </c>
      <c r="E82" s="895">
        <v>0.2</v>
      </c>
      <c r="F82" s="882">
        <v>30</v>
      </c>
    </row>
    <row r="83" spans="1:6" s="878" customFormat="1" ht="60">
      <c r="A83" s="882">
        <v>23</v>
      </c>
      <c r="B83" s="3288"/>
      <c r="C83" s="818" t="s">
        <v>660</v>
      </c>
      <c r="D83" s="818" t="s">
        <v>661</v>
      </c>
      <c r="E83" s="895">
        <v>0.2</v>
      </c>
      <c r="F83" s="882">
        <v>30</v>
      </c>
    </row>
    <row r="84" spans="1:6" s="878" customFormat="1" ht="48">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36">
      <c r="A89" s="882">
        <v>29</v>
      </c>
      <c r="B89" s="3288"/>
      <c r="C89" s="818" t="s">
        <v>672</v>
      </c>
      <c r="D89" s="818" t="s">
        <v>673</v>
      </c>
      <c r="E89" s="895">
        <v>0.2</v>
      </c>
      <c r="F89" s="882">
        <v>30</v>
      </c>
    </row>
    <row r="90" spans="1:6" s="878" customFormat="1" ht="36">
      <c r="A90" s="882">
        <v>30</v>
      </c>
      <c r="B90" s="3288"/>
      <c r="C90" s="818" t="s">
        <v>674</v>
      </c>
      <c r="D90" s="818" t="s">
        <v>675</v>
      </c>
      <c r="E90" s="895">
        <v>0.2</v>
      </c>
      <c r="F90" s="882">
        <v>30</v>
      </c>
    </row>
    <row r="91" spans="1:6" s="878" customFormat="1" ht="48">
      <c r="A91" s="882">
        <v>31</v>
      </c>
      <c r="B91" s="3288"/>
      <c r="C91" s="818" t="s">
        <v>676</v>
      </c>
      <c r="D91" s="818" t="s">
        <v>677</v>
      </c>
      <c r="E91" s="895">
        <v>0.2</v>
      </c>
      <c r="F91" s="882">
        <v>30</v>
      </c>
    </row>
    <row r="92" spans="1:6" s="878" customFormat="1" ht="36">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60">
      <c r="A94" s="882">
        <v>34</v>
      </c>
      <c r="B94" s="3288"/>
      <c r="C94" s="882" t="s">
        <v>683</v>
      </c>
      <c r="D94" s="818" t="s">
        <v>684</v>
      </c>
      <c r="E94" s="895">
        <v>0.2</v>
      </c>
      <c r="F94" s="882">
        <v>30</v>
      </c>
    </row>
    <row r="95" spans="1:6" s="878" customFormat="1" ht="48">
      <c r="A95" s="882">
        <v>35</v>
      </c>
      <c r="B95" s="3288"/>
      <c r="C95" s="882" t="s">
        <v>685</v>
      </c>
      <c r="D95" s="818" t="s">
        <v>686</v>
      </c>
      <c r="E95" s="895">
        <v>0.2</v>
      </c>
      <c r="F95" s="882">
        <v>30</v>
      </c>
    </row>
    <row r="96" spans="1:6" s="878" customFormat="1" ht="72">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36">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8" t="s">
        <v>708</v>
      </c>
      <c r="C105" s="882" t="s">
        <v>709</v>
      </c>
      <c r="D105" s="818" t="s">
        <v>710</v>
      </c>
      <c r="E105" s="895">
        <v>0.2</v>
      </c>
      <c r="F105" s="882">
        <v>30</v>
      </c>
    </row>
    <row r="106" spans="1:6" s="878" customFormat="1" ht="48">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48">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8" t="s">
        <v>724</v>
      </c>
      <c r="C111" s="882" t="s">
        <v>725</v>
      </c>
      <c r="D111" s="818" t="s">
        <v>726</v>
      </c>
      <c r="E111" s="895">
        <v>0.2</v>
      </c>
      <c r="F111" s="882">
        <v>30</v>
      </c>
    </row>
    <row r="112" spans="1:6" s="878" customFormat="1" ht="36">
      <c r="A112" s="882">
        <v>52</v>
      </c>
      <c r="B112" s="3288"/>
      <c r="C112" s="882" t="s">
        <v>727</v>
      </c>
      <c r="D112" s="818" t="s">
        <v>728</v>
      </c>
      <c r="E112" s="895">
        <v>0.2</v>
      </c>
      <c r="F112" s="882">
        <v>30</v>
      </c>
    </row>
    <row r="113" spans="1:6" s="878" customFormat="1" ht="36">
      <c r="A113" s="882">
        <v>53</v>
      </c>
      <c r="B113" s="3288"/>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6" t="s">
        <v>2996</v>
      </c>
    </row>
    <row r="2" spans="1:5" ht="15.6">
      <c r="A2" s="2915" t="s">
        <v>2988</v>
      </c>
      <c r="B2" s="2916" t="e">
        <f ca="1">SUMIF(B6:B13,"&lt;&gt;#ref!",B6:B13)</f>
        <v>#DIV/0!</v>
      </c>
      <c r="C2" s="2915" t="s">
        <v>2989</v>
      </c>
      <c r="D2" s="2915" t="s">
        <v>2990</v>
      </c>
      <c r="E2" s="2916">
        <f ca="1">SUMIF(E6:E13,"&lt;&gt;#ref!",E6:E13)</f>
        <v>0</v>
      </c>
    </row>
    <row r="3" spans="1:5" ht="15.6">
      <c r="A3" s="2915" t="s">
        <v>2991</v>
      </c>
      <c r="B3" s="2916" t="e">
        <f ca="1">ROUND(B2*10000/E2,0)</f>
        <v>#DIV/0!</v>
      </c>
      <c r="C3" s="2915" t="s">
        <v>2997</v>
      </c>
      <c r="D3" s="2917"/>
      <c r="E3" s="2917"/>
    </row>
    <row r="4" spans="1:5" ht="15.6">
      <c r="A4" s="2918"/>
      <c r="B4" s="2917"/>
      <c r="C4" s="2917"/>
      <c r="D4" s="2917"/>
      <c r="E4" s="2917"/>
    </row>
    <row r="5" spans="1:5" ht="31.2">
      <c r="A5" s="2919" t="s">
        <v>2992</v>
      </c>
      <c r="B5" s="2915" t="s">
        <v>2993</v>
      </c>
      <c r="C5" s="2916"/>
      <c r="D5" s="2917"/>
      <c r="E5" s="2915" t="s">
        <v>2994</v>
      </c>
    </row>
    <row r="6" spans="1:5" ht="15.6">
      <c r="A6" s="2920" t="s">
        <v>2995</v>
      </c>
      <c r="B6" s="2916" t="e">
        <f ca="1">SUMIF(INDIRECT("'"&amp;A6&amp;"'"&amp;"!A:A"),"总价",INDIRECT("'"&amp;A6&amp;"'"&amp;"!B:B"))</f>
        <v>#DIV/0!</v>
      </c>
      <c r="C6" s="2915" t="s">
        <v>2989</v>
      </c>
      <c r="D6" s="2917"/>
      <c r="E6" s="2580">
        <f ca="1">SUMIF(INDIRECT("'"&amp;A6&amp;"'"&amp;"!C:C"),"建筑面积",INDIRECT("'"&amp;A6&amp;"'"&amp;"!D:D"))</f>
        <v>0</v>
      </c>
    </row>
    <row r="7" spans="1:5" ht="15.6">
      <c r="A7" s="2920"/>
      <c r="B7" s="2916" t="e">
        <f ca="1">SUMIF(INDIRECT("'"&amp;A7&amp;"'"&amp;"!A:A"),"总价",INDIRECT("'"&amp;A7&amp;"'"&amp;"!B:B"))</f>
        <v>#REF!</v>
      </c>
      <c r="C7" s="2915" t="s">
        <v>2989</v>
      </c>
      <c r="D7" s="2917"/>
      <c r="E7" s="2580" t="e">
        <f t="shared" ref="E7:E13" ca="1" si="0">SUMIF(INDIRECT("'"&amp;A7&amp;"'"&amp;"!C:C"),"建筑面积",INDIRECT("'"&amp;A7&amp;"'"&amp;"!D:D"))</f>
        <v>#REF!</v>
      </c>
    </row>
    <row r="8" spans="1:5" ht="15.6">
      <c r="A8" s="2920"/>
      <c r="B8" s="2916" t="e">
        <f t="shared" ref="B8:B13" ca="1" si="1">SUMIF(INDIRECT("'"&amp;A8&amp;"'"&amp;"!A:A"),"总价",INDIRECT("'"&amp;A8&amp;"'"&amp;"!B:B"))</f>
        <v>#REF!</v>
      </c>
      <c r="C8" s="2915" t="s">
        <v>2989</v>
      </c>
      <c r="D8" s="2917"/>
      <c r="E8" s="2580" t="e">
        <f t="shared" ca="1" si="0"/>
        <v>#REF!</v>
      </c>
    </row>
    <row r="9" spans="1:5" ht="15.6">
      <c r="A9" s="2920"/>
      <c r="B9" s="2916" t="e">
        <f t="shared" ca="1" si="1"/>
        <v>#REF!</v>
      </c>
      <c r="C9" s="2915" t="s">
        <v>2989</v>
      </c>
      <c r="D9" s="2917"/>
      <c r="E9" s="2580" t="e">
        <f t="shared" ca="1" si="0"/>
        <v>#REF!</v>
      </c>
    </row>
    <row r="10" spans="1:5" ht="15.6">
      <c r="A10" s="2920"/>
      <c r="B10" s="2916" t="e">
        <f t="shared" ca="1" si="1"/>
        <v>#REF!</v>
      </c>
      <c r="C10" s="2915" t="s">
        <v>2989</v>
      </c>
      <c r="D10" s="2917"/>
      <c r="E10" s="2580" t="e">
        <f t="shared" ca="1" si="0"/>
        <v>#REF!</v>
      </c>
    </row>
    <row r="11" spans="1:5" ht="15.6">
      <c r="A11" s="2920"/>
      <c r="B11" s="2916" t="e">
        <f t="shared" ca="1" si="1"/>
        <v>#REF!</v>
      </c>
      <c r="C11" s="2915" t="s">
        <v>2989</v>
      </c>
      <c r="D11" s="2917"/>
      <c r="E11" s="2580" t="e">
        <f t="shared" ca="1" si="0"/>
        <v>#REF!</v>
      </c>
    </row>
    <row r="12" spans="1:5" ht="15.6">
      <c r="A12" s="2920"/>
      <c r="B12" s="2916" t="e">
        <f t="shared" ca="1" si="1"/>
        <v>#REF!</v>
      </c>
      <c r="C12" s="2915" t="s">
        <v>2989</v>
      </c>
      <c r="D12" s="2917"/>
      <c r="E12" s="2580" t="e">
        <f t="shared" ca="1" si="0"/>
        <v>#REF!</v>
      </c>
    </row>
    <row r="13" spans="1:5" ht="15.6">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94" t="s">
        <v>1150</v>
      </c>
      <c r="C1" s="3294"/>
      <c r="D1" s="3294"/>
      <c r="E1" s="3294"/>
      <c r="F1" s="3294"/>
      <c r="G1" s="3290" t="s">
        <v>1151</v>
      </c>
      <c r="H1" s="3290"/>
      <c r="I1" s="3290"/>
      <c r="J1" s="3290"/>
      <c r="K1" s="3290"/>
      <c r="L1" s="3290"/>
      <c r="N1" s="3290" t="s">
        <v>1152</v>
      </c>
      <c r="O1" s="3290"/>
      <c r="P1" s="3290"/>
      <c r="Q1" s="3290"/>
      <c r="R1" s="1449"/>
      <c r="S1" s="3290" t="s">
        <v>1153</v>
      </c>
      <c r="T1" s="3290"/>
      <c r="U1" s="3290"/>
      <c r="V1" s="3290"/>
      <c r="X1" s="3289" t="s">
        <v>1154</v>
      </c>
      <c r="Y1" s="3290"/>
      <c r="Z1" s="3290"/>
      <c r="AA1" s="3290"/>
      <c r="AB1" s="3290"/>
      <c r="AD1" s="3289" t="s">
        <v>1155</v>
      </c>
      <c r="AE1" s="3290"/>
      <c r="AF1" s="3290"/>
      <c r="AG1" s="3290"/>
      <c r="AH1" s="3290"/>
    </row>
    <row r="2" spans="1:34" s="1450" customFormat="1" ht="1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4">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4">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8"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9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9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9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9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9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9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9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9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9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9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9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9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9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9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9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9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9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9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9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9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9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9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9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9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9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9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9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9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9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9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9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9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9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9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9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9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9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9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9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92">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93">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9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9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92">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93">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00" t="s">
        <v>2999</v>
      </c>
      <c r="D1" s="3301"/>
      <c r="E1" s="3301"/>
      <c r="F1" s="3301"/>
      <c r="G1" s="3301"/>
      <c r="H1" s="3301"/>
      <c r="I1" s="3301"/>
      <c r="J1" s="3301"/>
      <c r="K1" s="3301"/>
      <c r="L1" s="3301"/>
      <c r="M1" s="3301"/>
      <c r="N1" s="3301"/>
      <c r="O1" s="3301"/>
      <c r="P1" s="3301"/>
      <c r="Q1" s="3301"/>
      <c r="R1" s="3301"/>
      <c r="S1" s="3302"/>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2"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6">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83" t="s">
        <v>33</v>
      </c>
      <c r="D22" s="3084"/>
      <c r="E22" s="3084"/>
      <c r="F22" s="3084"/>
      <c r="G22" s="3084"/>
      <c r="H22" s="3084"/>
      <c r="I22" s="3084"/>
      <c r="J22" s="3084"/>
      <c r="K22" s="3084"/>
      <c r="L22" s="3084"/>
      <c r="M22" s="3084"/>
      <c r="N22" s="3084"/>
      <c r="O22" s="3084"/>
      <c r="P22" s="3084"/>
      <c r="Q22" s="3299"/>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1611</v>
      </c>
      <c r="B1" s="1961"/>
      <c r="C1" s="1961"/>
      <c r="D1" s="1961"/>
      <c r="E1" s="196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7.399999999999999">
      <c r="A3" s="2988" t="str">
        <f>IF(项目基本情况!B9="房地产市场价值","估价结果一览表（市场价值不需“结果表-1”）","估价结果一览表")</f>
        <v>估价结果一览表</v>
      </c>
      <c r="B3" s="2988"/>
      <c r="C3" s="2988"/>
      <c r="D3" s="2988"/>
      <c r="E3" s="2988"/>
    </row>
    <row r="4" spans="1:5" ht="18" thickBot="1">
      <c r="A4" s="1963"/>
      <c r="B4" s="2986" t="s">
        <v>1620</v>
      </c>
      <c r="C4" s="2986"/>
      <c r="D4" s="2986"/>
      <c r="E4" s="1963"/>
    </row>
    <row r="5" spans="1:5" ht="16.2" thickTop="1">
      <c r="A5" s="1961"/>
      <c r="B5" s="2984" t="s">
        <v>1612</v>
      </c>
      <c r="C5" s="1964" t="s">
        <v>1613</v>
      </c>
      <c r="D5" s="1043">
        <f ca="1">结果表!H101</f>
        <v>63978</v>
      </c>
      <c r="E5" s="1961"/>
    </row>
    <row r="6" spans="1:5" ht="15.6">
      <c r="A6" s="1961"/>
      <c r="B6" s="2984"/>
      <c r="C6" s="1964" t="s">
        <v>1614</v>
      </c>
      <c r="D6" s="1043" t="str">
        <f ca="1">NUMBERSTRING(INT(D5*10000),2)&amp;"元整"</f>
        <v>陆亿叁仟玖佰柒拾捌万元整</v>
      </c>
      <c r="E6" s="1961"/>
    </row>
    <row r="7" spans="1:5" ht="15.6">
      <c r="A7" s="1961"/>
      <c r="B7" s="2989"/>
      <c r="C7" s="1965" t="s">
        <v>1615</v>
      </c>
      <c r="D7" s="1044">
        <f ca="1">结果表!H102</f>
        <v>16531</v>
      </c>
      <c r="E7" s="1961"/>
    </row>
    <row r="8" spans="1:5" ht="15.6">
      <c r="A8" s="1961"/>
      <c r="B8" s="2990" t="str">
        <f>结果表!E103</f>
        <v>2.估价师知悉的法定优先受偿款</v>
      </c>
      <c r="C8" s="1966" t="s">
        <v>1616</v>
      </c>
      <c r="D8" s="1044">
        <f>结果表!H103</f>
        <v>0</v>
      </c>
      <c r="E8" s="1961"/>
    </row>
    <row r="9" spans="1:5" ht="15.6">
      <c r="A9" s="1961"/>
      <c r="B9" s="2992"/>
      <c r="C9" s="1964" t="s">
        <v>1614</v>
      </c>
      <c r="D9" s="1043" t="str">
        <f>NUMBERSTRING(INT(D8*10000),2)&amp;"元整"</f>
        <v>零元整</v>
      </c>
      <c r="E9" s="1961"/>
    </row>
    <row r="10" spans="1:5" ht="15.6">
      <c r="A10" s="1961"/>
      <c r="B10" s="1967" t="s">
        <v>1619</v>
      </c>
      <c r="C10" s="1968" t="s">
        <v>1617</v>
      </c>
      <c r="D10" s="1045">
        <f>结果表!H104</f>
        <v>0</v>
      </c>
      <c r="E10" s="1961"/>
    </row>
    <row r="11" spans="1:5" ht="15.6">
      <c r="A11" s="1961"/>
      <c r="B11" s="1967" t="s">
        <v>1621</v>
      </c>
      <c r="C11" s="1968" t="s">
        <v>1622</v>
      </c>
      <c r="D11" s="1045">
        <f>结果表!H105</f>
        <v>0</v>
      </c>
      <c r="E11" s="1961"/>
    </row>
    <row r="12" spans="1:5" ht="15.6">
      <c r="A12" s="1961"/>
      <c r="B12" s="1967" t="s">
        <v>1623</v>
      </c>
      <c r="C12" s="1968" t="s">
        <v>1622</v>
      </c>
      <c r="D12" s="1045">
        <f>结果表!H106</f>
        <v>0</v>
      </c>
      <c r="E12" s="1961"/>
    </row>
    <row r="13" spans="1:5" ht="15.6">
      <c r="A13" s="1961"/>
      <c r="B13" s="2983" t="str">
        <f>结果表!E107</f>
        <v>3.房地产抵押价值</v>
      </c>
      <c r="C13" s="1969" t="s">
        <v>1613</v>
      </c>
      <c r="D13" s="1046">
        <f ca="1">结果表!H107</f>
        <v>63978</v>
      </c>
      <c r="E13" s="1961"/>
    </row>
    <row r="14" spans="1:5" ht="15.6">
      <c r="A14" s="1961"/>
      <c r="B14" s="2984"/>
      <c r="C14" s="1964" t="s">
        <v>1614</v>
      </c>
      <c r="D14" s="1043" t="str">
        <f ca="1">NUMBERSTRING(INT(D13*10000),2)&amp;"元整"</f>
        <v>陆亿叁仟玖佰柒拾捌万元整</v>
      </c>
      <c r="E14" s="1961"/>
    </row>
    <row r="15" spans="1:5" ht="15.6">
      <c r="A15" s="1961"/>
      <c r="B15" s="2989"/>
      <c r="C15" s="1965" t="s">
        <v>1624</v>
      </c>
      <c r="D15" s="1055">
        <f ca="1">结果表!H108</f>
        <v>16531</v>
      </c>
      <c r="E15" s="1961"/>
    </row>
    <row r="16" spans="1:5" ht="15.6">
      <c r="A16" s="1961"/>
      <c r="B16" s="2990" t="str">
        <f>结果表!E109</f>
        <v>——</v>
      </c>
      <c r="C16" s="1969" t="s">
        <v>1625</v>
      </c>
      <c r="D16" s="1970" t="str">
        <f>结果表!H109</f>
        <v>——</v>
      </c>
      <c r="E16" s="1961"/>
    </row>
    <row r="17" spans="1:5" ht="15.6">
      <c r="A17" s="1961"/>
      <c r="B17" s="2991"/>
      <c r="C17" s="1964" t="s">
        <v>1626</v>
      </c>
      <c r="D17" s="1043" t="e">
        <f>NUMBERSTRING(INT(D16*10000),2)&amp;"元整"</f>
        <v>#VALUE!</v>
      </c>
      <c r="E17" s="1961"/>
    </row>
    <row r="18" spans="1:5" ht="15.6">
      <c r="A18" s="1961"/>
      <c r="B18" s="2992"/>
      <c r="C18" s="1965" t="s">
        <v>1615</v>
      </c>
      <c r="D18" s="1055" t="str">
        <f>结果表!H110</f>
        <v>——</v>
      </c>
      <c r="E18" s="1961"/>
    </row>
    <row r="19" spans="1:5" ht="15.6">
      <c r="A19" s="1961"/>
      <c r="B19" s="2983" t="str">
        <f>结果表!E111</f>
        <v>——</v>
      </c>
      <c r="C19" s="1969" t="s">
        <v>1613</v>
      </c>
      <c r="D19" s="1044" t="str">
        <f>结果表!H111</f>
        <v>——</v>
      </c>
      <c r="E19" s="1961"/>
    </row>
    <row r="20" spans="1:5" ht="15.6">
      <c r="A20" s="1961"/>
      <c r="B20" s="2984"/>
      <c r="C20" s="1964" t="s">
        <v>1626</v>
      </c>
      <c r="D20" s="1043" t="e">
        <f>NUMBERSTRING(INT(D19*10000),2)&amp;"元整"</f>
        <v>#VALUE!</v>
      </c>
      <c r="E20" s="1961"/>
    </row>
    <row r="21" spans="1:5" ht="16.2" thickBot="1">
      <c r="A21" s="1961"/>
      <c r="B21" s="2985"/>
      <c r="C21" s="1971" t="s">
        <v>1624</v>
      </c>
      <c r="D21" s="1056" t="str">
        <f>结果表!H112</f>
        <v>——</v>
      </c>
      <c r="E21" s="1961"/>
    </row>
    <row r="22" spans="1:5" ht="14.4" thickTop="1">
      <c r="A22" s="1961"/>
      <c r="B22" s="1972" t="s">
        <v>1627</v>
      </c>
      <c r="C22" s="1961"/>
      <c r="D22" s="1961"/>
      <c r="E22" s="1961"/>
    </row>
    <row r="23" spans="1:5">
      <c r="A23" s="1961"/>
      <c r="B23" s="1961"/>
      <c r="C23" s="1961"/>
      <c r="D23" s="1961"/>
      <c r="E23" s="1961"/>
    </row>
    <row r="24" spans="1:5" ht="17.399999999999999">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6.4">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8" t="s">
        <v>121</v>
      </c>
    </row>
    <row r="43" spans="1:7" ht="13.5" customHeight="1">
      <c r="A43" s="954" t="s">
        <v>792</v>
      </c>
      <c r="B43" s="259" t="s">
        <v>1064</v>
      </c>
      <c r="C43" s="282">
        <f ca="1">ROUND(IF('数据-取费表'!B22&lt;=1,C39*F22*'数据-取费表'!B21/2,C39*(POWER((1+F22),'数据-取费表'!B21/2)-1)),0)</f>
        <v>40</v>
      </c>
      <c r="D43" s="282"/>
      <c r="E43" s="282"/>
      <c r="F43" s="283"/>
      <c r="G43" s="3169"/>
    </row>
    <row r="44" spans="1:7" ht="13.5" customHeight="1">
      <c r="A44" s="954" t="s">
        <v>793</v>
      </c>
      <c r="B44" s="259" t="s">
        <v>1066</v>
      </c>
      <c r="C44" s="282">
        <f ca="1">ROUND(IF('数据-取费表'!B22&lt;=1,C40*F22*'数据-取费表'!B21/2,C40*(POWER((1+F22),'数据-取费表'!B21/2)-1)),4)</f>
        <v>1.8E-3</v>
      </c>
      <c r="D44" s="282"/>
      <c r="E44" s="282"/>
      <c r="F44" s="283"/>
      <c r="G44" s="3170"/>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8"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3" t="s">
        <v>871</v>
      </c>
      <c r="B1" s="3303"/>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1362</v>
      </c>
      <c r="E1" s="1778" t="s">
        <v>1366</v>
      </c>
      <c r="F1" s="1779" t="s">
        <v>1370</v>
      </c>
    </row>
    <row r="2" spans="1:13" ht="19.8">
      <c r="A2" s="1785" t="s">
        <v>1363</v>
      </c>
    </row>
    <row r="3" spans="1:13" ht="15.6">
      <c r="A3" s="1786" t="s">
        <v>1364</v>
      </c>
    </row>
    <row r="4" spans="1:13">
      <c r="A4" s="1776" t="s">
        <v>1365</v>
      </c>
      <c r="B4" s="1781" t="s">
        <v>1367</v>
      </c>
      <c r="C4" s="1782"/>
      <c r="D4" s="1783"/>
      <c r="E4" s="1781" t="s">
        <v>27</v>
      </c>
      <c r="F4" s="1782"/>
      <c r="G4" s="1783"/>
      <c r="H4" s="1781" t="s">
        <v>1368</v>
      </c>
      <c r="I4" s="1782"/>
      <c r="J4" s="1783"/>
      <c r="K4" s="1781" t="s">
        <v>6</v>
      </c>
      <c r="L4" s="1782"/>
      <c r="M4" s="1783"/>
    </row>
    <row r="5" spans="1:13">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4.4"/>
  <cols>
    <col min="1" max="1" width="22.2187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15"/>
  <sheetViews>
    <sheetView zoomScaleNormal="100" workbookViewId="0">
      <selection activeCell="B4" sqref="B4:G15"/>
    </sheetView>
  </sheetViews>
  <sheetFormatPr defaultRowHeight="14.4"/>
  <sheetData>
    <row r="4" spans="2:7" ht="15.6">
      <c r="B4" s="3307" t="s">
        <v>3166</v>
      </c>
      <c r="C4" s="3307"/>
      <c r="D4" s="3307"/>
      <c r="E4" s="3307"/>
      <c r="F4" s="3307"/>
      <c r="G4" s="3307"/>
    </row>
    <row r="5" spans="2:7" ht="15.6">
      <c r="B5" s="3307" t="s">
        <v>3167</v>
      </c>
      <c r="C5" s="3307"/>
      <c r="D5" s="2979" t="s">
        <v>3168</v>
      </c>
      <c r="E5" s="2979" t="s">
        <v>3170</v>
      </c>
      <c r="F5" s="3307" t="s">
        <v>3172</v>
      </c>
      <c r="G5" s="3307"/>
    </row>
    <row r="6" spans="2:7" ht="15.6">
      <c r="B6" s="3307"/>
      <c r="C6" s="3307"/>
      <c r="D6" s="2979" t="s">
        <v>3169</v>
      </c>
      <c r="E6" s="2979" t="s">
        <v>3171</v>
      </c>
      <c r="F6" s="3307" t="s">
        <v>3173</v>
      </c>
      <c r="G6" s="3307"/>
    </row>
    <row r="7" spans="2:7" ht="15.6">
      <c r="B7" s="3307" t="s">
        <v>3174</v>
      </c>
      <c r="C7" s="2979" t="s">
        <v>3175</v>
      </c>
      <c r="D7" s="2979">
        <v>100</v>
      </c>
      <c r="E7" s="2979" t="s">
        <v>70</v>
      </c>
      <c r="F7" s="3307" t="s">
        <v>70</v>
      </c>
      <c r="G7" s="3307"/>
    </row>
    <row r="8" spans="2:7" ht="15.6">
      <c r="B8" s="3307"/>
      <c r="C8" s="2979" t="s">
        <v>3176</v>
      </c>
      <c r="D8" s="2979">
        <v>169</v>
      </c>
      <c r="E8" s="2979" t="s">
        <v>70</v>
      </c>
      <c r="F8" s="3307" t="s">
        <v>70</v>
      </c>
      <c r="G8" s="3307"/>
    </row>
    <row r="9" spans="2:7" ht="15.6">
      <c r="B9" s="3307"/>
      <c r="C9" s="2979" t="s">
        <v>3177</v>
      </c>
      <c r="D9" s="2979">
        <v>36</v>
      </c>
      <c r="E9" s="2979" t="s">
        <v>70</v>
      </c>
      <c r="F9" s="3307" t="s">
        <v>70</v>
      </c>
      <c r="G9" s="3307"/>
    </row>
    <row r="10" spans="2:7" ht="15.6">
      <c r="B10" s="3307"/>
      <c r="C10" s="2979" t="s">
        <v>3178</v>
      </c>
      <c r="D10" s="2979">
        <v>1</v>
      </c>
      <c r="E10" s="2979" t="s">
        <v>70</v>
      </c>
      <c r="F10" s="3307" t="s">
        <v>70</v>
      </c>
      <c r="G10" s="3307"/>
    </row>
    <row r="11" spans="2:7" ht="15.6">
      <c r="B11" s="3307"/>
      <c r="C11" s="2979" t="s">
        <v>37</v>
      </c>
      <c r="D11" s="2980">
        <v>306</v>
      </c>
      <c r="E11" s="3308">
        <v>880</v>
      </c>
      <c r="F11" s="3308"/>
      <c r="G11" s="2981">
        <v>0.8</v>
      </c>
    </row>
    <row r="12" spans="2:7" ht="15.6">
      <c r="B12" s="3307" t="s">
        <v>3167</v>
      </c>
      <c r="C12" s="3307"/>
      <c r="D12" s="3307" t="s">
        <v>3179</v>
      </c>
      <c r="E12" s="3307"/>
      <c r="F12" s="3307"/>
      <c r="G12" s="3307"/>
    </row>
    <row r="13" spans="2:7" ht="15.6">
      <c r="B13" s="3309" t="s">
        <v>3180</v>
      </c>
      <c r="C13" s="3309"/>
      <c r="D13" s="3307">
        <v>200</v>
      </c>
      <c r="E13" s="3307"/>
      <c r="F13" s="3307"/>
      <c r="G13" s="3307"/>
    </row>
    <row r="14" spans="2:7" ht="15.6">
      <c r="B14" s="3307" t="s">
        <v>3167</v>
      </c>
      <c r="C14" s="3307"/>
      <c r="D14" s="3307" t="s">
        <v>3179</v>
      </c>
      <c r="E14" s="3307"/>
      <c r="F14" s="3307"/>
      <c r="G14" s="3307"/>
    </row>
    <row r="15" spans="2:7" ht="15.6">
      <c r="B15" s="3307" t="s">
        <v>3181</v>
      </c>
      <c r="C15" s="3307"/>
      <c r="D15" s="3307">
        <v>3600</v>
      </c>
      <c r="E15" s="3307"/>
      <c r="F15" s="3307"/>
      <c r="G15" s="3307"/>
    </row>
  </sheetData>
  <mergeCells count="18">
    <mergeCell ref="B15:C15"/>
    <mergeCell ref="D15:G15"/>
    <mergeCell ref="B12:C12"/>
    <mergeCell ref="D12:G12"/>
    <mergeCell ref="B13:C13"/>
    <mergeCell ref="D13:G13"/>
    <mergeCell ref="B14:C14"/>
    <mergeCell ref="D14:G14"/>
    <mergeCell ref="B4:G4"/>
    <mergeCell ref="B5:C6"/>
    <mergeCell ref="F5:G5"/>
    <mergeCell ref="F6:G6"/>
    <mergeCell ref="B7:B11"/>
    <mergeCell ref="F7:G7"/>
    <mergeCell ref="F8:G8"/>
    <mergeCell ref="F9:G9"/>
    <mergeCell ref="F10:G10"/>
    <mergeCell ref="E11:F1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1631</v>
      </c>
      <c r="B2" s="2994" t="s">
        <v>1632</v>
      </c>
      <c r="C2" s="2994" t="s">
        <v>1633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6">
      <c r="A3" s="2995"/>
      <c r="B3" s="2995"/>
      <c r="C3" s="2995"/>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5" t="s">
        <v>1630</v>
      </c>
      <c r="B5" s="2995"/>
      <c r="C5" s="2995"/>
      <c r="D5" s="2996" t="str">
        <f ca="1">结果表!D119</f>
        <v>壹亿肆仟叁佰叁拾壹万元整</v>
      </c>
      <c r="E5" s="2996"/>
      <c r="F5" s="2996" t="str">
        <f ca="1">结果表!F119</f>
        <v>肆亿玖仟陆佰肆拾柒万元整</v>
      </c>
      <c r="G5" s="2996"/>
      <c r="H5" s="2996" t="str">
        <f ca="1">结果表!H119</f>
        <v>陆亿叁仟玖佰柒拾捌万元整</v>
      </c>
      <c r="I5" s="2996"/>
    </row>
    <row r="6" spans="1:9" ht="15.6">
      <c r="A6" s="2997" t="str">
        <f>结果表!A120</f>
        <v>估价师知悉的法定优先受偿款</v>
      </c>
      <c r="B6" s="2997"/>
      <c r="C6" s="2997"/>
      <c r="D6" s="2997">
        <f>结果表!D120</f>
        <v>0</v>
      </c>
      <c r="E6" s="2997"/>
      <c r="F6" s="2997"/>
      <c r="G6" s="2997"/>
      <c r="H6" s="2997"/>
      <c r="I6" s="2997"/>
    </row>
    <row r="7" spans="1:9" ht="15">
      <c r="A7" s="2995" t="s">
        <v>1630</v>
      </c>
      <c r="B7" s="2995"/>
      <c r="C7" s="2995"/>
      <c r="D7" s="2998" t="str">
        <f>结果表!D121</f>
        <v>零元整</v>
      </c>
      <c r="E7" s="2999"/>
      <c r="F7" s="2999"/>
      <c r="G7" s="2999"/>
      <c r="H7" s="2999"/>
      <c r="I7" s="3000"/>
    </row>
    <row r="8" spans="1:9" ht="15.6">
      <c r="A8" s="2997" t="str">
        <f>结果表!A122</f>
        <v>房地产抵押价值</v>
      </c>
      <c r="B8" s="2997"/>
      <c r="C8" s="2997"/>
      <c r="D8" s="2997">
        <f ca="1">结果表!D122</f>
        <v>63978</v>
      </c>
      <c r="E8" s="2997"/>
      <c r="F8" s="2997"/>
      <c r="G8" s="2997"/>
      <c r="H8" s="2997"/>
      <c r="I8" s="2997"/>
    </row>
    <row r="9" spans="1:9" ht="15">
      <c r="A9" s="2995" t="s">
        <v>1630</v>
      </c>
      <c r="B9" s="2995"/>
      <c r="C9" s="2995"/>
      <c r="D9" s="2996" t="str">
        <f ca="1">结果表!D123</f>
        <v>陆亿叁仟玖佰柒拾捌万元整</v>
      </c>
      <c r="E9" s="2996"/>
      <c r="F9" s="2996"/>
      <c r="G9" s="2996"/>
      <c r="H9" s="2996"/>
      <c r="I9" s="2996"/>
    </row>
    <row r="10" spans="1:9" ht="15.6">
      <c r="A10" s="2997" t="str">
        <f>结果表!A124</f>
        <v/>
      </c>
      <c r="B10" s="2997"/>
      <c r="C10" s="2997"/>
      <c r="D10" s="2997" t="str">
        <f>结果表!D124</f>
        <v>——</v>
      </c>
      <c r="E10" s="2997"/>
      <c r="F10" s="2997"/>
      <c r="G10" s="2997"/>
      <c r="H10" s="2997"/>
      <c r="I10" s="2997"/>
    </row>
    <row r="11" spans="1:9" ht="15">
      <c r="A11" s="2995" t="s">
        <v>1630</v>
      </c>
      <c r="B11" s="2995"/>
      <c r="C11" s="2995"/>
      <c r="D11" s="2996" t="e">
        <f>结果表!D125</f>
        <v>#VALUE!</v>
      </c>
      <c r="E11" s="2996"/>
      <c r="F11" s="2996"/>
      <c r="G11" s="2996"/>
      <c r="H11" s="2996"/>
      <c r="I11" s="2996"/>
    </row>
    <row r="12" spans="1:9" ht="15.6">
      <c r="A12" s="2997" t="str">
        <f>结果表!A126</f>
        <v/>
      </c>
      <c r="B12" s="2997"/>
      <c r="C12" s="2997"/>
      <c r="D12" s="2997" t="str">
        <f>结果表!D126</f>
        <v>——</v>
      </c>
      <c r="E12" s="2997"/>
      <c r="F12" s="2997"/>
      <c r="G12" s="2997"/>
      <c r="H12" s="2997"/>
      <c r="I12" s="2997"/>
    </row>
    <row r="13" spans="1:9" ht="15.6" thickBot="1">
      <c r="A13" s="3001" t="s">
        <v>1630</v>
      </c>
      <c r="B13" s="3001"/>
      <c r="C13" s="3001"/>
      <c r="D13" s="3002" t="e">
        <f>结果表!D127</f>
        <v>#VALUE!</v>
      </c>
      <c r="E13" s="3002"/>
      <c r="F13" s="3002"/>
      <c r="G13" s="3002"/>
      <c r="H13" s="3002"/>
      <c r="I13" s="3002"/>
    </row>
    <row r="14" spans="1:9" ht="14.4" thickTop="1">
      <c r="A14" s="3003" t="s">
        <v>1635</v>
      </c>
      <c r="B14" s="3003"/>
      <c r="C14" s="3003"/>
      <c r="D14" s="3003"/>
      <c r="E14" s="3003"/>
      <c r="F14" s="3003"/>
      <c r="G14" s="3003"/>
      <c r="H14" s="3003"/>
      <c r="I14" s="3003"/>
    </row>
    <row r="16" spans="1:9" ht="17.399999999999999">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3004" t="s">
        <v>1652</v>
      </c>
      <c r="B1" s="3004"/>
      <c r="C1" s="3004"/>
      <c r="D1" s="3004"/>
    </row>
    <row r="2" spans="1:4" ht="17.399999999999999">
      <c r="A2" s="3005" t="s">
        <v>1636</v>
      </c>
      <c r="B2" s="3005"/>
      <c r="C2" s="3005"/>
      <c r="D2" s="3005"/>
    </row>
    <row r="3" spans="1:4" ht="17.399999999999999">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7.399999999999999">
      <c r="A6" s="3005" t="s">
        <v>1642</v>
      </c>
      <c r="B6" s="3005"/>
      <c r="C6" s="3005"/>
      <c r="D6" s="3005"/>
    </row>
    <row r="7" spans="1:4" ht="17.399999999999999">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7.399999999999999">
      <c r="A10" s="1986" t="s">
        <v>1644</v>
      </c>
      <c r="B10" s="728"/>
      <c r="C10" s="728"/>
      <c r="D10" s="728"/>
    </row>
    <row r="11" spans="1:4" ht="30" customHeight="1">
      <c r="A11" s="3006" t="s">
        <v>1645</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10" t="s">
        <v>1646</v>
      </c>
      <c r="B16" s="3010"/>
      <c r="C16" s="3010"/>
      <c r="D16" s="3010"/>
    </row>
    <row r="17" spans="1:4" ht="144" customHeight="1">
      <c r="A17" s="3010" t="s">
        <v>1647</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1648</v>
      </c>
      <c r="B22" s="3012"/>
      <c r="C22" s="3012"/>
      <c r="D22" s="3012"/>
    </row>
    <row r="23" spans="1:4">
      <c r="A23" s="1987"/>
      <c r="B23" s="1959"/>
      <c r="C23" s="1959"/>
      <c r="D23" s="1959"/>
    </row>
    <row r="24" spans="1:4">
      <c r="A24" s="1987"/>
      <c r="B24" s="1959"/>
      <c r="C24" s="1959"/>
      <c r="D24" s="1959"/>
    </row>
    <row r="25" spans="1:4" ht="17.399999999999999">
      <c r="A25" s="1988" t="s">
        <v>1649</v>
      </c>
    </row>
    <row r="26" spans="1:4" ht="17.399999999999999">
      <c r="A26" s="1957"/>
    </row>
    <row r="27" spans="1:4" ht="17.399999999999999">
      <c r="A27" s="1957" t="s">
        <v>1650</v>
      </c>
    </row>
    <row r="30" spans="1:4" ht="17.399999999999999">
      <c r="D30" s="1988" t="s">
        <v>1651</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870</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5" customWidth="1"/>
    <col min="2" max="16384" width="14.44140625" style="1977"/>
  </cols>
  <sheetData>
    <row r="1" spans="1:7" s="1992" customFormat="1" ht="17.399999999999999">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4.4">
      <c r="A15" s="3018" t="s">
        <v>1659</v>
      </c>
      <c r="B15" s="3013" t="s">
        <v>136</v>
      </c>
      <c r="C15" s="3014"/>
    </row>
    <row r="16" spans="1:7" ht="14.4">
      <c r="A16" s="3019"/>
      <c r="B16" s="3013" t="s">
        <v>69</v>
      </c>
      <c r="C16" s="3014"/>
    </row>
    <row r="17" spans="1:3" ht="14.4">
      <c r="A17" s="3019"/>
      <c r="B17" s="3016" t="s">
        <v>1660</v>
      </c>
      <c r="C17" s="2002" t="s">
        <v>1659</v>
      </c>
    </row>
    <row r="18" spans="1:3" ht="14.4">
      <c r="A18" s="3019"/>
      <c r="B18" s="3016"/>
      <c r="C18" s="2002" t="s">
        <v>1661</v>
      </c>
    </row>
    <row r="19" spans="1:3" ht="14.4">
      <c r="A19" s="3019"/>
      <c r="B19" s="3016"/>
      <c r="C19" s="2002" t="s">
        <v>1662</v>
      </c>
    </row>
    <row r="20" spans="1:3" ht="14.4">
      <c r="A20" s="3020"/>
      <c r="B20" s="3015" t="s">
        <v>1663</v>
      </c>
      <c r="C20" s="3014"/>
    </row>
    <row r="21" spans="1:3" ht="14.4">
      <c r="A21" s="2003" t="s">
        <v>1664</v>
      </c>
      <c r="B21" s="2004"/>
      <c r="C21" s="2005"/>
    </row>
    <row r="22" spans="1:3" ht="14.4">
      <c r="A22" s="3017" t="s">
        <v>1665</v>
      </c>
      <c r="B22" s="3015" t="s">
        <v>1666</v>
      </c>
      <c r="C22" s="3014"/>
    </row>
    <row r="23" spans="1:3" ht="14.4">
      <c r="A23" s="3017"/>
      <c r="B23" s="3015" t="s">
        <v>1667</v>
      </c>
      <c r="C23" s="3014"/>
    </row>
    <row r="24" spans="1:3" ht="14.4">
      <c r="A24" s="3017"/>
      <c r="B24" s="3015" t="s">
        <v>1668</v>
      </c>
      <c r="C24" s="3014"/>
    </row>
    <row r="25" spans="1:3" ht="14.4">
      <c r="A25" s="3017"/>
      <c r="B25" s="3016" t="s">
        <v>1669</v>
      </c>
      <c r="C25" s="2002" t="s">
        <v>1670</v>
      </c>
    </row>
    <row r="26" spans="1:3" ht="14.4">
      <c r="A26" s="3017"/>
      <c r="B26" s="3016"/>
      <c r="C26" s="2002" t="s">
        <v>1671</v>
      </c>
    </row>
    <row r="27" spans="1:3" ht="14.4">
      <c r="A27" s="3017"/>
      <c r="B27" s="3016"/>
      <c r="C27" s="2002" t="s">
        <v>1672</v>
      </c>
    </row>
    <row r="28" spans="1:3" ht="14.4">
      <c r="A28" s="3017"/>
      <c r="B28" s="3016"/>
      <c r="C28" s="2002" t="s">
        <v>1673</v>
      </c>
    </row>
    <row r="29" spans="1:3" ht="14.4">
      <c r="A29" s="3017"/>
      <c r="B29" s="3016"/>
      <c r="C29" s="2002" t="s">
        <v>1674</v>
      </c>
    </row>
    <row r="30" spans="1:3" ht="14.4">
      <c r="A30" s="3017"/>
      <c r="B30" s="3016"/>
      <c r="C30" s="2002" t="s">
        <v>1675</v>
      </c>
    </row>
    <row r="31" spans="1:3" ht="14.4">
      <c r="A31" s="3017"/>
      <c r="B31" s="3016"/>
      <c r="C31" s="2002" t="s">
        <v>1676</v>
      </c>
    </row>
    <row r="32" spans="1:3" ht="14.4">
      <c r="A32" s="3017"/>
      <c r="B32" s="3016"/>
      <c r="C32" s="2002" t="s">
        <v>1677</v>
      </c>
    </row>
    <row r="33" spans="1:3" ht="14.4">
      <c r="A33" s="3017"/>
      <c r="B33" s="3016"/>
      <c r="C33" s="2002" t="s">
        <v>1678</v>
      </c>
    </row>
    <row r="34" spans="1:3">
      <c r="A34" s="2006" t="s">
        <v>76</v>
      </c>
    </row>
    <row r="37" spans="1:3">
      <c r="A37" s="2006" t="s">
        <v>1679</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43634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t="str">
        <f ca="1">IF(C11&lt;B2,"已过期",1120100036)</f>
        <v>已过期</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t="str">
        <f ca="1">IF(C14&lt;B2,"已过期",1120130020)</f>
        <v>已过期</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21" t="s">
        <v>846</v>
      </c>
      <c r="B25" s="3021"/>
      <c r="C25" s="3021"/>
      <c r="D25" s="3021"/>
      <c r="E25" s="3021"/>
      <c r="F25" s="3021"/>
      <c r="G25" s="3021"/>
    </row>
    <row r="26" spans="1:7" s="1028" customFormat="1" ht="24" customHeight="1">
      <c r="A26" s="3022" t="s">
        <v>847</v>
      </c>
      <c r="B26" s="3022"/>
      <c r="C26" s="3023"/>
      <c r="D26" s="3024" t="s">
        <v>848</v>
      </c>
      <c r="E26" s="3022"/>
      <c r="F26" s="3022"/>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2019-06-18T09:11:54Z</dcterms:modified>
</cp:coreProperties>
</file>