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珠海糖厂项目土地证\结果\工业\"/>
    </mc:Choice>
  </mc:AlternateContent>
  <bookViews>
    <workbookView xWindow="0" yWindow="0" windowWidth="19200" windowHeight="11040" tabRatio="875" firstSheet="8"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及最终结果"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比较法-工业" sheetId="40" r:id="rId20"/>
    <sheet name="土地案例" sheetId="70" r:id="rId21"/>
    <sheet name="剩余法-待开发" sheetId="12" r:id="rId22"/>
    <sheet name="剩余法-现房" sheetId="43"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4">'不动产比较法-住宅'!$A$1:$K$51</definedName>
    <definedName name="_xlnm.Print_Area" localSheetId="15">估价对象房地状况!$A$1:$G$24</definedName>
    <definedName name="_xlnm.Print_Area" localSheetId="17">结果表!$A$1:$I$60</definedName>
    <definedName name="_xlnm.Print_Area" localSheetId="13">'数据-汇总表'!$A$1:$I$32</definedName>
    <definedName name="_xlnm.Print_Area" localSheetId="10">'数据-基础表'!$A$1:$I$13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3" i="40" l="1"/>
  <c r="E43" i="40"/>
  <c r="G43" i="40"/>
  <c r="L43" i="70"/>
  <c r="L38" i="70"/>
  <c r="L3" i="70"/>
  <c r="F23" i="68" l="1"/>
  <c r="E25" i="68"/>
  <c r="F25" i="68"/>
  <c r="A3" i="3" l="1"/>
  <c r="L19" i="6"/>
  <c r="E21" i="12"/>
  <c r="E22" i="12"/>
  <c r="BB11" i="3"/>
  <c r="C12" i="40"/>
  <c r="I36" i="40"/>
  <c r="G36" i="40"/>
  <c r="E36" i="40"/>
  <c r="I13" i="40"/>
  <c r="E13" i="40"/>
  <c r="D68" i="40"/>
  <c r="E68" i="40" s="1"/>
  <c r="F68" i="40" s="1"/>
  <c r="G68" i="40" s="1"/>
  <c r="H68" i="40" s="1"/>
  <c r="I68" i="40" s="1"/>
  <c r="J68" i="40" s="1"/>
  <c r="K68" i="40" s="1"/>
  <c r="L68" i="40" s="1"/>
  <c r="M68" i="40" s="1"/>
  <c r="N68" i="40" s="1"/>
  <c r="I9" i="40"/>
  <c r="G9" i="40"/>
  <c r="E9" i="40"/>
  <c r="I7" i="40"/>
  <c r="G7" i="40"/>
  <c r="E7" i="40"/>
  <c r="F3" i="70"/>
  <c r="F4" i="70"/>
  <c r="F5" i="70"/>
  <c r="F6" i="70"/>
  <c r="F7" i="70"/>
  <c r="F8" i="70"/>
  <c r="F9" i="70"/>
  <c r="F10" i="70"/>
  <c r="F11" i="70"/>
  <c r="F12" i="70"/>
  <c r="F13" i="70"/>
  <c r="F14" i="70"/>
  <c r="F15" i="70"/>
  <c r="F16" i="70"/>
  <c r="F17" i="70"/>
  <c r="F18" i="70"/>
  <c r="F19" i="70"/>
  <c r="F20" i="70"/>
  <c r="F21" i="70"/>
  <c r="F22" i="70"/>
  <c r="F23" i="70"/>
  <c r="F24" i="70"/>
  <c r="F25" i="70"/>
  <c r="F26" i="70"/>
  <c r="F27" i="70"/>
  <c r="F28" i="70"/>
  <c r="F29" i="70"/>
  <c r="F30" i="70"/>
  <c r="F31" i="70"/>
  <c r="F32" i="70"/>
  <c r="F33" i="70"/>
  <c r="F34" i="70"/>
  <c r="F35" i="70"/>
  <c r="F36" i="70"/>
  <c r="F37" i="70"/>
  <c r="F38" i="70"/>
  <c r="G13" i="40" s="1"/>
  <c r="F39" i="70"/>
  <c r="F40" i="70"/>
  <c r="F41" i="70"/>
  <c r="F42" i="70"/>
  <c r="F43" i="70"/>
  <c r="F2" i="70"/>
  <c r="E27" i="68"/>
  <c r="D26" i="68"/>
  <c r="G25" i="68"/>
  <c r="E5" i="68" s="1"/>
  <c r="F6" i="68"/>
  <c r="A6" i="1"/>
  <c r="A7" i="1"/>
  <c r="E19" i="12"/>
  <c r="B22" i="1"/>
  <c r="C2" i="65" s="1"/>
  <c r="B24" i="1"/>
  <c r="I40" i="39"/>
  <c r="G40" i="39"/>
  <c r="E40" i="39"/>
  <c r="C12" i="39"/>
  <c r="I13" i="39"/>
  <c r="G13" i="39"/>
  <c r="E13" i="39"/>
  <c r="I48" i="39"/>
  <c r="G48" i="39"/>
  <c r="E48" i="39"/>
  <c r="E73" i="39"/>
  <c r="F73" i="39" s="1"/>
  <c r="G73" i="39" s="1"/>
  <c r="H73" i="39" s="1"/>
  <c r="I73" i="39" s="1"/>
  <c r="J73" i="39" s="1"/>
  <c r="D73" i="39"/>
  <c r="I9" i="39"/>
  <c r="G9" i="39"/>
  <c r="E9" i="39"/>
  <c r="I7" i="39"/>
  <c r="G7" i="39"/>
  <c r="E7" i="39"/>
  <c r="C40" i="39"/>
  <c r="H40" i="39" s="1"/>
  <c r="D7" i="59"/>
  <c r="AH5" i="59"/>
  <c r="AG5" i="59"/>
  <c r="AE5" i="59"/>
  <c r="AF5" i="59" s="1"/>
  <c r="AD5" i="59"/>
  <c r="Q5" i="59"/>
  <c r="P5" i="59"/>
  <c r="O5" i="59"/>
  <c r="N5" i="59"/>
  <c r="I3" i="59"/>
  <c r="L3" i="59"/>
  <c r="AH3" i="59" s="1"/>
  <c r="K3" i="59"/>
  <c r="J3" i="59"/>
  <c r="AE3" i="59"/>
  <c r="AF3" i="59" s="1"/>
  <c r="AE6" i="59"/>
  <c r="AF6" i="59" s="1"/>
  <c r="AG6" i="59"/>
  <c r="AH6" i="59"/>
  <c r="AD6" i="59"/>
  <c r="Q6" i="59"/>
  <c r="P6" i="59"/>
  <c r="O6" i="59"/>
  <c r="N6" i="59"/>
  <c r="B6" i="59" s="1"/>
  <c r="N7" i="59"/>
  <c r="Q7" i="59"/>
  <c r="P7" i="59"/>
  <c r="O7" i="59"/>
  <c r="K59" i="15"/>
  <c r="P62" i="15"/>
  <c r="P75" i="15"/>
  <c r="Q74" i="44"/>
  <c r="Q61" i="44"/>
  <c r="Q60" i="44"/>
  <c r="Q53" i="44"/>
  <c r="J51" i="44"/>
  <c r="J52" i="44" s="1"/>
  <c r="M48" i="44"/>
  <c r="A16" i="55"/>
  <c r="B67" i="63"/>
  <c r="A15" i="55"/>
  <c r="B66" i="63"/>
  <c r="A10" i="55"/>
  <c r="A9" i="55"/>
  <c r="B60" i="63" s="1"/>
  <c r="A8" i="55"/>
  <c r="B59" i="63" s="1"/>
  <c r="A6" i="54"/>
  <c r="B49" i="63" s="1"/>
  <c r="A8" i="54"/>
  <c r="A7" i="54"/>
  <c r="A27" i="51"/>
  <c r="B20" i="63" s="1"/>
  <c r="D5" i="46"/>
  <c r="Q8" i="59"/>
  <c r="O8" i="59"/>
  <c r="N9" i="59"/>
  <c r="O9" i="59"/>
  <c r="P9" i="59"/>
  <c r="Q9" i="59"/>
  <c r="N8" i="59"/>
  <c r="P8" i="59"/>
  <c r="K75" i="9"/>
  <c r="K6" i="4"/>
  <c r="L76" i="9" s="1"/>
  <c r="B22" i="31"/>
  <c r="E16" i="66"/>
  <c r="F16" i="66"/>
  <c r="E17" i="66"/>
  <c r="F17" i="66"/>
  <c r="E18" i="66"/>
  <c r="F18" i="66"/>
  <c r="E19" i="66"/>
  <c r="F19" i="66"/>
  <c r="E20" i="66"/>
  <c r="F20" i="66"/>
  <c r="E21" i="66"/>
  <c r="F21" i="66"/>
  <c r="E22" i="66"/>
  <c r="F22" i="66"/>
  <c r="E23" i="66"/>
  <c r="F23" i="66"/>
  <c r="B3" i="66"/>
  <c r="M19" i="46"/>
  <c r="S6" i="59"/>
  <c r="AD3" i="59"/>
  <c r="AG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s="1"/>
  <c r="B76" i="63"/>
  <c r="M5" i="54"/>
  <c r="A23" i="51"/>
  <c r="Y12" i="46"/>
  <c r="AA9" i="46"/>
  <c r="AB9" i="46"/>
  <c r="AC9" i="46"/>
  <c r="AD9" i="46"/>
  <c r="AD10" i="46" s="1"/>
  <c r="AE9" i="46"/>
  <c r="AF9" i="46"/>
  <c r="AF10" i="46" s="1"/>
  <c r="AG9" i="46"/>
  <c r="AH9" i="46"/>
  <c r="AH10" i="46" s="1"/>
  <c r="AI9" i="46"/>
  <c r="AI10" i="46" s="1"/>
  <c r="AJ9" i="46"/>
  <c r="AJ10" i="46"/>
  <c r="Z9" i="46"/>
  <c r="Z10" i="46"/>
  <c r="AG10" i="46"/>
  <c r="AE10" i="46"/>
  <c r="AC10" i="46"/>
  <c r="AB10" i="46"/>
  <c r="AA10" i="46"/>
  <c r="Y10" i="46"/>
  <c r="AJ12" i="46"/>
  <c r="AF12" i="46"/>
  <c r="AB12" i="46"/>
  <c r="Z12" i="46"/>
  <c r="AI12" i="46"/>
  <c r="AG12" i="46"/>
  <c r="AE12" i="46"/>
  <c r="AC12" i="46"/>
  <c r="AA12" i="46"/>
  <c r="B73" i="63"/>
  <c r="A21" i="64"/>
  <c r="B75" i="63" s="1"/>
  <c r="A27" i="64"/>
  <c r="A15" i="64"/>
  <c r="A14" i="64"/>
  <c r="A11" i="64"/>
  <c r="A3" i="64"/>
  <c r="A45" i="9"/>
  <c r="K40" i="9"/>
  <c r="A44" i="9"/>
  <c r="C57" i="10"/>
  <c r="A28" i="51"/>
  <c r="B21" i="63"/>
  <c r="C56" i="10"/>
  <c r="C55" i="10"/>
  <c r="C54" i="10"/>
  <c r="B44" i="63"/>
  <c r="B40" i="63"/>
  <c r="B30" i="63"/>
  <c r="B27" i="63"/>
  <c r="B25" i="63"/>
  <c r="A11" i="51"/>
  <c r="B10" i="63"/>
  <c r="K39" i="9"/>
  <c r="B58" i="63"/>
  <c r="B53" i="63"/>
  <c r="B51" i="63"/>
  <c r="A46" i="9"/>
  <c r="K41" i="9"/>
  <c r="B8" i="63"/>
  <c r="A21" i="55"/>
  <c r="B71" i="63" s="1"/>
  <c r="A20" i="55"/>
  <c r="B69" i="63" s="1"/>
  <c r="B26" i="63"/>
  <c r="B28" i="63"/>
  <c r="B29" i="63"/>
  <c r="B31" i="63"/>
  <c r="B33" i="63"/>
  <c r="B35" i="63"/>
  <c r="B36" i="63"/>
  <c r="B37" i="63"/>
  <c r="B63" i="63"/>
  <c r="B64" i="63"/>
  <c r="B68" i="63"/>
  <c r="D51" i="10"/>
  <c r="B61" i="63"/>
  <c r="B51" i="10"/>
  <c r="B17" i="63"/>
  <c r="A15" i="51"/>
  <c r="B12" i="63"/>
  <c r="A14" i="51"/>
  <c r="B11" i="63"/>
  <c r="A4" i="55"/>
  <c r="B57" i="63"/>
  <c r="B41" i="63"/>
  <c r="G5" i="54"/>
  <c r="B34" i="63" s="1"/>
  <c r="E5" i="54"/>
  <c r="B32" i="63" s="1"/>
  <c r="R2" i="54"/>
  <c r="B24" i="63" s="1"/>
  <c r="B49" i="50"/>
  <c r="B5" i="63" s="1"/>
  <c r="B40" i="50"/>
  <c r="B3" i="63" s="1"/>
  <c r="I19" i="46"/>
  <c r="Q10" i="59"/>
  <c r="P10" i="59"/>
  <c r="E10" i="59" s="1"/>
  <c r="O10" i="59"/>
  <c r="N10" i="59"/>
  <c r="B10" i="59"/>
  <c r="B9" i="59" s="1"/>
  <c r="B8"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D47" i="59"/>
  <c r="Q46" i="59"/>
  <c r="P46" i="59"/>
  <c r="O46" i="59"/>
  <c r="N46" i="59"/>
  <c r="Q45" i="59"/>
  <c r="P45" i="59"/>
  <c r="O45" i="59"/>
  <c r="N45" i="59"/>
  <c r="Q44" i="59"/>
  <c r="P44" i="59"/>
  <c r="O44" i="59"/>
  <c r="N44" i="59"/>
  <c r="Q43" i="59"/>
  <c r="F44" i="59"/>
  <c r="F45" i="59" s="1"/>
  <c r="F46" i="59" s="1"/>
  <c r="V46" i="59" s="1"/>
  <c r="P43" i="59"/>
  <c r="E44" i="59" s="1"/>
  <c r="E45" i="59" s="1"/>
  <c r="E46" i="59" s="1"/>
  <c r="U46" i="59" s="1"/>
  <c r="O43" i="59"/>
  <c r="C44" i="59"/>
  <c r="C45" i="59" s="1"/>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s="1"/>
  <c r="C37"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s="1"/>
  <c r="N31" i="59"/>
  <c r="B32" i="59"/>
  <c r="B33" i="59" s="1"/>
  <c r="B34" i="59" s="1"/>
  <c r="S34" i="59" s="1"/>
  <c r="D31" i="59"/>
  <c r="T30" i="59"/>
  <c r="Q30" i="59"/>
  <c r="P30" i="59"/>
  <c r="O30" i="59"/>
  <c r="N30" i="59"/>
  <c r="D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F25" i="59" s="1"/>
  <c r="F26" i="59" s="1"/>
  <c r="V26" i="59" s="1"/>
  <c r="P23" i="59"/>
  <c r="E24" i="59" s="1"/>
  <c r="E25" i="59" s="1"/>
  <c r="E26" i="59" s="1"/>
  <c r="U26" i="59" s="1"/>
  <c r="O23" i="59"/>
  <c r="C24" i="59"/>
  <c r="C25" i="59" s="1"/>
  <c r="N23" i="59"/>
  <c r="B24" i="59" s="1"/>
  <c r="B25" i="59" s="1"/>
  <c r="B26" i="59" s="1"/>
  <c r="S26" i="59" s="1"/>
  <c r="D23" i="59"/>
  <c r="Q22" i="59"/>
  <c r="P22" i="59"/>
  <c r="O22" i="59"/>
  <c r="N22" i="59"/>
  <c r="Q21" i="59"/>
  <c r="AB21" i="59" s="1"/>
  <c r="P21" i="59"/>
  <c r="O21" i="59"/>
  <c r="Y21" i="59"/>
  <c r="Z21" i="59" s="1"/>
  <c r="N21" i="59"/>
  <c r="X21" i="59" s="1"/>
  <c r="Q20" i="59"/>
  <c r="AB20" i="59" s="1"/>
  <c r="P20" i="59"/>
  <c r="AA20" i="59"/>
  <c r="O20" i="59"/>
  <c r="Y20" i="59"/>
  <c r="N20" i="59"/>
  <c r="X20" i="59"/>
  <c r="Q19" i="59"/>
  <c r="AB19" i="59"/>
  <c r="F20" i="59"/>
  <c r="P19" i="59"/>
  <c r="E20" i="59" s="1"/>
  <c r="E21" i="59" s="1"/>
  <c r="E22" i="59" s="1"/>
  <c r="U22" i="59" s="1"/>
  <c r="O19" i="59"/>
  <c r="C20" i="59"/>
  <c r="D20" i="59" s="1"/>
  <c r="N19" i="59"/>
  <c r="D19" i="59"/>
  <c r="Q18" i="59"/>
  <c r="AB18" i="59" s="1"/>
  <c r="P18" i="59"/>
  <c r="O18" i="59"/>
  <c r="N18" i="59"/>
  <c r="X18" i="59" s="1"/>
  <c r="Q17" i="59"/>
  <c r="AB17" i="59" s="1"/>
  <c r="P17" i="59"/>
  <c r="O17" i="59"/>
  <c r="N17" i="59"/>
  <c r="Q16" i="59"/>
  <c r="P16" i="59"/>
  <c r="O16" i="59"/>
  <c r="N16" i="59"/>
  <c r="Q15" i="59"/>
  <c r="P15" i="59"/>
  <c r="O15" i="59"/>
  <c r="C16" i="59"/>
  <c r="C17" i="59" s="1"/>
  <c r="N15" i="59"/>
  <c r="B16" i="59"/>
  <c r="B17" i="59" s="1"/>
  <c r="B18" i="59" s="1"/>
  <c r="S18" i="59" s="1"/>
  <c r="D15" i="59"/>
  <c r="Q14" i="59"/>
  <c r="AB14" i="59"/>
  <c r="P14" i="59"/>
  <c r="AA14" i="59"/>
  <c r="O14" i="59"/>
  <c r="N14" i="59"/>
  <c r="X14" i="59" s="1"/>
  <c r="Q13" i="59"/>
  <c r="P13" i="59"/>
  <c r="AA13" i="59"/>
  <c r="O13" i="59"/>
  <c r="N13" i="59"/>
  <c r="X13" i="59" s="1"/>
  <c r="Q12" i="59"/>
  <c r="P12" i="59"/>
  <c r="O12" i="59"/>
  <c r="N12" i="59"/>
  <c r="Q11" i="59"/>
  <c r="F12" i="59"/>
  <c r="F13" i="59" s="1"/>
  <c r="F14" i="59" s="1"/>
  <c r="V14" i="59" s="1"/>
  <c r="P11" i="59"/>
  <c r="AA8" i="59" s="1"/>
  <c r="O11" i="59"/>
  <c r="C12" i="59"/>
  <c r="D12" i="59" s="1"/>
  <c r="N11" i="59"/>
  <c r="X7" i="59" s="1"/>
  <c r="D11" i="59"/>
  <c r="X9" i="59"/>
  <c r="AB8" i="59"/>
  <c r="Z20" i="59"/>
  <c r="AA21" i="59"/>
  <c r="F21" i="59"/>
  <c r="F22" i="59"/>
  <c r="V22" i="59" s="1"/>
  <c r="F29" i="59"/>
  <c r="F30" i="59" s="1"/>
  <c r="V30" i="59" s="1"/>
  <c r="F41" i="59"/>
  <c r="F42" i="59"/>
  <c r="V42" i="59" s="1"/>
  <c r="C21" i="59"/>
  <c r="C22" i="59" s="1"/>
  <c r="D16" i="59"/>
  <c r="T50" i="59"/>
  <c r="O50" i="59"/>
  <c r="D50" i="59"/>
  <c r="C49" i="59"/>
  <c r="U50" i="59"/>
  <c r="C53" i="59"/>
  <c r="C52" i="59"/>
  <c r="E53" i="59"/>
  <c r="E52" i="59"/>
  <c r="D54" i="59"/>
  <c r="C57" i="59"/>
  <c r="D57" i="59" s="1"/>
  <c r="C61" i="59"/>
  <c r="D61" i="59" s="1"/>
  <c r="E61" i="59"/>
  <c r="E60" i="59" s="1"/>
  <c r="D62" i="59"/>
  <c r="C65" i="59"/>
  <c r="C64" i="59"/>
  <c r="D64" i="59" s="1"/>
  <c r="C69" i="59"/>
  <c r="U16" i="4"/>
  <c r="S16" i="4"/>
  <c r="Q16" i="4"/>
  <c r="O16" i="4"/>
  <c r="M16" i="4"/>
  <c r="N16" i="4" s="1"/>
  <c r="K16" i="4"/>
  <c r="L16" i="4" s="1"/>
  <c r="T16" i="4"/>
  <c r="D69" i="59"/>
  <c r="C68" i="59"/>
  <c r="D68" i="59"/>
  <c r="C60" i="59"/>
  <c r="D60" i="59"/>
  <c r="D52" i="59"/>
  <c r="D65" i="59"/>
  <c r="C56" i="59"/>
  <c r="D56" i="59"/>
  <c r="D2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c r="F83" i="21" s="1"/>
  <c r="G83" i="21" s="1"/>
  <c r="C21" i="21"/>
  <c r="Q27" i="40"/>
  <c r="Z27" i="40" s="1"/>
  <c r="D96" i="40"/>
  <c r="E96" i="40" s="1"/>
  <c r="F27" i="40"/>
  <c r="AA27" i="40" s="1"/>
  <c r="Q31" i="39"/>
  <c r="Z31" i="39" s="1"/>
  <c r="D105" i="39"/>
  <c r="E105" i="39" s="1"/>
  <c r="F105" i="39" s="1"/>
  <c r="F31" i="39"/>
  <c r="AA31" i="39" s="1"/>
  <c r="G20" i="20"/>
  <c r="B85" i="46" s="1"/>
  <c r="C22" i="20"/>
  <c r="B65" i="46" s="1"/>
  <c r="S18" i="36"/>
  <c r="S21" i="37"/>
  <c r="S27" i="40"/>
  <c r="C31" i="39"/>
  <c r="B74" i="46"/>
  <c r="E66" i="36"/>
  <c r="H18" i="35"/>
  <c r="J18" i="35"/>
  <c r="H21" i="37"/>
  <c r="J21" i="37"/>
  <c r="E84" i="34"/>
  <c r="F84" i="34" s="1"/>
  <c r="G84" i="34" s="1"/>
  <c r="J21" i="34"/>
  <c r="H21" i="34"/>
  <c r="F21" i="33"/>
  <c r="H21" i="33"/>
  <c r="J21" i="33"/>
  <c r="H21" i="21"/>
  <c r="AB21" i="21" s="1"/>
  <c r="J21" i="21"/>
  <c r="H31" i="39"/>
  <c r="U31" i="39" s="1"/>
  <c r="F23" i="15"/>
  <c r="D22" i="15" s="1"/>
  <c r="G17" i="11"/>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G13" i="1"/>
  <c r="D6" i="1"/>
  <c r="D19" i="4"/>
  <c r="D7" i="1"/>
  <c r="D8" i="1"/>
  <c r="D9" i="1"/>
  <c r="F10" i="1"/>
  <c r="AP10" i="1" s="1"/>
  <c r="D10" i="1"/>
  <c r="B2" i="1"/>
  <c r="C42" i="1"/>
  <c r="A12" i="1"/>
  <c r="R12" i="1"/>
  <c r="A13" i="1"/>
  <c r="B13" i="1"/>
  <c r="E13" i="1" s="1"/>
  <c r="A8" i="1"/>
  <c r="A9" i="1"/>
  <c r="A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D14" i="4"/>
  <c r="M4" i="9"/>
  <c r="L4" i="9"/>
  <c r="G36" i="4"/>
  <c r="K2" i="54"/>
  <c r="B23" i="63"/>
  <c r="A3" i="51"/>
  <c r="R41" i="4"/>
  <c r="Q41" i="4"/>
  <c r="P41" i="4"/>
  <c r="O41" i="4"/>
  <c r="N41" i="4"/>
  <c r="M41" i="4"/>
  <c r="L41" i="4"/>
  <c r="K40" i="4"/>
  <c r="T40" i="4"/>
  <c r="A18" i="64" s="1"/>
  <c r="B74" i="63" s="1"/>
  <c r="F23" i="4"/>
  <c r="I19" i="4"/>
  <c r="F6" i="1" s="1"/>
  <c r="G6" i="1" s="1"/>
  <c r="H19" i="4"/>
  <c r="G19" i="4"/>
  <c r="F9" i="1"/>
  <c r="F19" i="4"/>
  <c r="F8" i="1"/>
  <c r="G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21" i="6"/>
  <c r="E22" i="6"/>
  <c r="E23" i="6"/>
  <c r="E24" i="6"/>
  <c r="E25" i="6"/>
  <c r="E26" i="6"/>
  <c r="C35" i="4"/>
  <c r="E16" i="12"/>
  <c r="F14" i="12"/>
  <c r="F15" i="12"/>
  <c r="F17"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H10" i="40"/>
  <c r="AB10" i="40"/>
  <c r="H11" i="40"/>
  <c r="AB11" i="40"/>
  <c r="J10" i="40"/>
  <c r="AC10" i="40"/>
  <c r="J11" i="40"/>
  <c r="AC11" i="40"/>
  <c r="F10" i="39"/>
  <c r="AA10" i="39"/>
  <c r="F11" i="39"/>
  <c r="AA11" i="39"/>
  <c r="C25" i="39"/>
  <c r="F36" i="39"/>
  <c r="AA36" i="39" s="1"/>
  <c r="F40" i="39"/>
  <c r="AA40" i="39" s="1"/>
  <c r="F42" i="39"/>
  <c r="AA42" i="39" s="1"/>
  <c r="H10" i="39"/>
  <c r="AB10" i="39" s="1"/>
  <c r="H11" i="39"/>
  <c r="AB11" i="39" s="1"/>
  <c r="H36" i="39"/>
  <c r="AB36"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E77" i="9"/>
  <c r="O75" i="9"/>
  <c r="L75" i="9"/>
  <c r="F77" i="9"/>
  <c r="P75" i="9" s="1"/>
  <c r="O74" i="9"/>
  <c r="O73" i="9"/>
  <c r="E66" i="9"/>
  <c r="O72" i="9" s="1"/>
  <c r="F74" i="9"/>
  <c r="P74" i="9" s="1"/>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c r="I44" i="35"/>
  <c r="J44" i="35"/>
  <c r="G44" i="35"/>
  <c r="H44" i="35"/>
  <c r="E44" i="35"/>
  <c r="F44" i="35"/>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BT5" i="3" s="1"/>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L482" i="3" s="1"/>
  <c r="AZ482" i="3" s="1"/>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AZ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AZ524" i="3" s="1"/>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P543" i="3"/>
  <c r="BQ543" i="3"/>
  <c r="BR543" i="3"/>
  <c r="BS543" i="3"/>
  <c r="BT543" i="3"/>
  <c r="H544" i="3"/>
  <c r="AC544" i="3"/>
  <c r="BB544" i="3"/>
  <c r="BA544" i="3" s="1"/>
  <c r="BC544" i="3"/>
  <c r="BD544" i="3"/>
  <c r="BE544" i="3"/>
  <c r="BF544" i="3"/>
  <c r="BG544" i="3"/>
  <c r="BH544" i="3"/>
  <c r="BI544" i="3"/>
  <c r="BJ544" i="3"/>
  <c r="BK544" i="3"/>
  <c r="BM544" i="3"/>
  <c r="BL544" i="3" s="1"/>
  <c r="BN544" i="3"/>
  <c r="BO544" i="3"/>
  <c r="BP544" i="3"/>
  <c r="BR544" i="3"/>
  <c r="BS544" i="3"/>
  <c r="BT544" i="3"/>
  <c r="H545" i="3"/>
  <c r="AC545" i="3"/>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L546" i="3" s="1"/>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L550" i="3" s="1"/>
  <c r="AZ550" i="3" s="1"/>
  <c r="BO550" i="3"/>
  <c r="BP550" i="3"/>
  <c r="BR550" i="3"/>
  <c r="BS550" i="3"/>
  <c r="BT550" i="3"/>
  <c r="H551" i="3"/>
  <c r="AC551" i="3"/>
  <c r="G551" i="3"/>
  <c r="BB551" i="3"/>
  <c r="BC551" i="3"/>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L558" i="3" s="1"/>
  <c r="BO558" i="3"/>
  <c r="BP558" i="3"/>
  <c r="BR558" i="3"/>
  <c r="BS558" i="3"/>
  <c r="BT558" i="3"/>
  <c r="H559" i="3"/>
  <c r="AC559" i="3"/>
  <c r="G559" i="3"/>
  <c r="BB559" i="3"/>
  <c r="BC559" i="3"/>
  <c r="BA559" i="3" s="1"/>
  <c r="AZ559" i="3" s="1"/>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H5" i="3" s="1"/>
  <c r="BI561" i="3"/>
  <c r="BJ561" i="3"/>
  <c r="BK561" i="3"/>
  <c r="BM561" i="3"/>
  <c r="BN561" i="3"/>
  <c r="BO561" i="3"/>
  <c r="BP561" i="3"/>
  <c r="BQ561" i="3"/>
  <c r="BR561" i="3"/>
  <c r="BS561" i="3"/>
  <c r="BT561" i="3"/>
  <c r="H562" i="3"/>
  <c r="G562" i="3" s="1"/>
  <c r="AC562" i="3"/>
  <c r="BB562" i="3"/>
  <c r="BA562" i="3" s="1"/>
  <c r="AZ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F30" i="36"/>
  <c r="AA30" i="36" s="1"/>
  <c r="C26" i="35"/>
  <c r="C79" i="35" s="1"/>
  <c r="J31" i="35"/>
  <c r="W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E113" i="33" s="1"/>
  <c r="F113" i="33" s="1"/>
  <c r="F37" i="33"/>
  <c r="AA37" i="33"/>
  <c r="D111" i="33"/>
  <c r="E111" i="33"/>
  <c r="F111" i="33" s="1"/>
  <c r="G111" i="33"/>
  <c r="H111" i="33" s="1"/>
  <c r="I111" i="33" s="1"/>
  <c r="J111" i="33" s="1"/>
  <c r="K111" i="33" s="1"/>
  <c r="L111" i="33" s="1"/>
  <c r="M111" i="33" s="1"/>
  <c r="S515" i="31"/>
  <c r="S517" i="31"/>
  <c r="S519" i="31"/>
  <c r="S521" i="31"/>
  <c r="S523" i="31"/>
  <c r="F41" i="21"/>
  <c r="AA41" i="21" s="1"/>
  <c r="J41" i="21"/>
  <c r="AC41" i="21"/>
  <c r="H41" i="21"/>
  <c r="U41" i="21"/>
  <c r="D83" i="39"/>
  <c r="E83" i="39"/>
  <c r="F83" i="39" s="1"/>
  <c r="G83" i="39"/>
  <c r="H83" i="39" s="1"/>
  <c r="I83" i="39" s="1"/>
  <c r="J83" i="39" s="1"/>
  <c r="K83" i="39" s="1"/>
  <c r="L83" i="39" s="1"/>
  <c r="M83" i="39" s="1"/>
  <c r="D78" i="40"/>
  <c r="E78" i="40"/>
  <c r="B122" i="40"/>
  <c r="F42" i="40"/>
  <c r="AA42" i="40" s="1"/>
  <c r="B120" i="40"/>
  <c r="B118" i="40"/>
  <c r="F40" i="40"/>
  <c r="AA40" i="40" s="1"/>
  <c r="D117" i="40"/>
  <c r="E117" i="40" s="1"/>
  <c r="F117" i="40" s="1"/>
  <c r="G117" i="40" s="1"/>
  <c r="H117" i="40" s="1"/>
  <c r="I117" i="40" s="1"/>
  <c r="J117" i="40" s="1"/>
  <c r="K117" i="40" s="1"/>
  <c r="L117" i="40" s="1"/>
  <c r="M117" i="40" s="1"/>
  <c r="D115" i="40"/>
  <c r="E115" i="40" s="1"/>
  <c r="F115" i="40"/>
  <c r="H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D98" i="40"/>
  <c r="E98" i="40"/>
  <c r="B97" i="40"/>
  <c r="D94" i="40"/>
  <c r="D92" i="40"/>
  <c r="D90" i="40"/>
  <c r="J21" i="40" s="1"/>
  <c r="H21" i="40"/>
  <c r="AB21" i="40"/>
  <c r="D88" i="40"/>
  <c r="E88" i="40"/>
  <c r="D86" i="40"/>
  <c r="E86" i="40"/>
  <c r="J17" i="40" s="1"/>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c r="G126" i="39" s="1"/>
  <c r="D122" i="39"/>
  <c r="E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F95" i="39" s="1"/>
  <c r="G95" i="39"/>
  <c r="D93" i="39"/>
  <c r="E93" i="39"/>
  <c r="F93" i="39" s="1"/>
  <c r="G93" i="39" s="1"/>
  <c r="D91" i="39"/>
  <c r="E91" i="39"/>
  <c r="F91" i="39" s="1"/>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J26"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B55" i="36"/>
  <c r="J11" i="36" s="1"/>
  <c r="F54" i="36"/>
  <c r="G54" i="36"/>
  <c r="H54" i="36" s="1"/>
  <c r="I54" i="36"/>
  <c r="J10" i="36"/>
  <c r="W10" i="36"/>
  <c r="C51" i="36"/>
  <c r="J9" i="36"/>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J35" i="35" s="1"/>
  <c r="B97" i="35"/>
  <c r="B77" i="35"/>
  <c r="F25" i="35" s="1"/>
  <c r="B75" i="35"/>
  <c r="J24" i="35"/>
  <c r="B73" i="35"/>
  <c r="J23" i="35" s="1"/>
  <c r="AC23" i="35"/>
  <c r="B57" i="35"/>
  <c r="B61" i="35"/>
  <c r="F13" i="35" s="1"/>
  <c r="B59" i="35"/>
  <c r="H12" i="35"/>
  <c r="B131" i="34"/>
  <c r="B129" i="34"/>
  <c r="H46" i="34" s="1"/>
  <c r="B127" i="34"/>
  <c r="B99" i="34"/>
  <c r="H32" i="34" s="1"/>
  <c r="B97" i="34"/>
  <c r="B95" i="34"/>
  <c r="H30" i="34" s="1"/>
  <c r="B93" i="34"/>
  <c r="B75" i="34"/>
  <c r="J14" i="34" s="1"/>
  <c r="B73" i="34"/>
  <c r="B71" i="34"/>
  <c r="J12" i="34" s="1"/>
  <c r="B130" i="33"/>
  <c r="B128" i="33"/>
  <c r="H45" i="33" s="1"/>
  <c r="AB45" i="33" s="1"/>
  <c r="B126" i="33"/>
  <c r="B98" i="33"/>
  <c r="B96" i="33"/>
  <c r="B94" i="33"/>
  <c r="J29" i="33" s="1"/>
  <c r="W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s="1"/>
  <c r="S9"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D119" i="21"/>
  <c r="D117" i="21"/>
  <c r="E117" i="21" s="1"/>
  <c r="F117" i="21"/>
  <c r="G117" i="21" s="1"/>
  <c r="D115" i="21"/>
  <c r="E115" i="21" s="1"/>
  <c r="F115" i="2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D106" i="21"/>
  <c r="E106" i="2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H11" i="21" s="1"/>
  <c r="U11" i="21" s="1"/>
  <c r="D66" i="21"/>
  <c r="D111" i="21"/>
  <c r="E111" i="21"/>
  <c r="F111" i="21"/>
  <c r="C111" i="21"/>
  <c r="D79" i="21"/>
  <c r="E79" i="21" s="1"/>
  <c r="F79" i="21" s="1"/>
  <c r="G79" i="21" s="1"/>
  <c r="D85" i="21"/>
  <c r="E85" i="21" s="1"/>
  <c r="F85" i="21" s="1"/>
  <c r="D81" i="21"/>
  <c r="E81" i="21"/>
  <c r="F81" i="21" s="1"/>
  <c r="G81" i="21"/>
  <c r="D77" i="21"/>
  <c r="E77" i="21"/>
  <c r="F77" i="21" s="1"/>
  <c r="B130" i="21"/>
  <c r="J46" i="21" s="1"/>
  <c r="B128" i="21"/>
  <c r="B126" i="21"/>
  <c r="J44" i="21"/>
  <c r="B98" i="21"/>
  <c r="B96" i="21"/>
  <c r="H30" i="21" s="1"/>
  <c r="B94" i="21"/>
  <c r="B92" i="21"/>
  <c r="H28" i="21"/>
  <c r="AB28" i="21" s="1"/>
  <c r="B90" i="21"/>
  <c r="B74" i="21"/>
  <c r="F14" i="21"/>
  <c r="AA14" i="21" s="1"/>
  <c r="B72" i="21"/>
  <c r="B70" i="21"/>
  <c r="F12"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D5" i="3"/>
  <c r="BE13" i="3"/>
  <c r="BF13" i="3"/>
  <c r="BF5" i="3" s="1"/>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43" i="21"/>
  <c r="S43" i="21" s="1"/>
  <c r="H38" i="21"/>
  <c r="AB38" i="21" s="1"/>
  <c r="H43" i="21"/>
  <c r="AB43" i="21" s="1"/>
  <c r="F32" i="21"/>
  <c r="S32" i="21" s="1"/>
  <c r="F38" i="21"/>
  <c r="S38" i="21" s="1"/>
  <c r="F36" i="21"/>
  <c r="S36" i="21" s="1"/>
  <c r="F39" i="21"/>
  <c r="AA39" i="21" s="1"/>
  <c r="J40" i="21"/>
  <c r="W40" i="21" s="1"/>
  <c r="J8" i="21"/>
  <c r="AC8" i="21" s="1"/>
  <c r="H8" i="21"/>
  <c r="AB8" i="21" s="1"/>
  <c r="H9" i="21"/>
  <c r="AB9" i="21" s="1"/>
  <c r="H39" i="21"/>
  <c r="AB39" i="21" s="1"/>
  <c r="H36" i="21"/>
  <c r="U36" i="21" s="1"/>
  <c r="H26" i="21"/>
  <c r="U26" i="21" s="1"/>
  <c r="F19" i="21"/>
  <c r="AA19" i="21" s="1"/>
  <c r="H19" i="21"/>
  <c r="AB19" i="21" s="1"/>
  <c r="J19" i="21"/>
  <c r="W19" i="21" s="1"/>
  <c r="J12" i="21"/>
  <c r="W12" i="21" s="1"/>
  <c r="J26" i="21"/>
  <c r="W26" i="21" s="1"/>
  <c r="F26" i="21"/>
  <c r="AA26" i="21" s="1"/>
  <c r="S41" i="21"/>
  <c r="E103" i="37"/>
  <c r="F103" i="37"/>
  <c r="F39" i="37"/>
  <c r="S39" i="37"/>
  <c r="F29" i="36"/>
  <c r="AA29" i="36" s="1"/>
  <c r="F16" i="36"/>
  <c r="AA16" i="36" s="1"/>
  <c r="U22" i="36"/>
  <c r="W22" i="36"/>
  <c r="AC31" i="36"/>
  <c r="J33" i="36"/>
  <c r="W33" i="36"/>
  <c r="U31" i="35"/>
  <c r="W36" i="35"/>
  <c r="U34" i="35"/>
  <c r="F36" i="34"/>
  <c r="S36" i="34"/>
  <c r="W9" i="34"/>
  <c r="S34" i="34"/>
  <c r="H39" i="33"/>
  <c r="AB39" i="33" s="1"/>
  <c r="F26" i="33"/>
  <c r="AA26" i="33" s="1"/>
  <c r="U33" i="33"/>
  <c r="W38" i="33"/>
  <c r="S40" i="33"/>
  <c r="S33" i="33"/>
  <c r="W33" i="33"/>
  <c r="U38" i="33"/>
  <c r="H39" i="37"/>
  <c r="AB39" i="37"/>
  <c r="S10" i="40"/>
  <c r="W10" i="40"/>
  <c r="S11" i="40"/>
  <c r="U11" i="40"/>
  <c r="S36" i="39"/>
  <c r="S42" i="39"/>
  <c r="H32" i="33"/>
  <c r="AB32" i="33"/>
  <c r="F86" i="40"/>
  <c r="AA12" i="33"/>
  <c r="J27" i="36"/>
  <c r="W27" i="36" s="1"/>
  <c r="J34" i="36"/>
  <c r="W34" i="36" s="1"/>
  <c r="J30" i="35"/>
  <c r="W30" i="35" s="1"/>
  <c r="F22" i="35"/>
  <c r="AA22" i="35" s="1"/>
  <c r="H10" i="35"/>
  <c r="U10" i="35" s="1"/>
  <c r="AC24" i="36"/>
  <c r="U29" i="36"/>
  <c r="E85" i="36"/>
  <c r="F85" i="36" s="1"/>
  <c r="G85" i="36"/>
  <c r="H85" i="36" s="1"/>
  <c r="I85" i="36" s="1"/>
  <c r="J85" i="36" s="1"/>
  <c r="K85" i="36" s="1"/>
  <c r="L85" i="36" s="1"/>
  <c r="M85" i="36" s="1"/>
  <c r="J29" i="36"/>
  <c r="AC29" i="36"/>
  <c r="F24" i="36"/>
  <c r="AA24" i="36"/>
  <c r="F34" i="36"/>
  <c r="S34" i="36"/>
  <c r="AB8" i="36"/>
  <c r="H16" i="35"/>
  <c r="U16" i="35"/>
  <c r="H33" i="35"/>
  <c r="AB33" i="35"/>
  <c r="W8" i="35"/>
  <c r="AC8" i="35"/>
  <c r="F35" i="37"/>
  <c r="E101" i="37"/>
  <c r="F101" i="37" s="1"/>
  <c r="G101" i="37"/>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F36" i="33"/>
  <c r="S36" i="33" s="1"/>
  <c r="F19" i="33"/>
  <c r="S19" i="33" s="1"/>
  <c r="J19" i="33"/>
  <c r="W19" i="33" s="1"/>
  <c r="W40" i="33"/>
  <c r="G86" i="40"/>
  <c r="AC34" i="36"/>
  <c r="H29" i="35"/>
  <c r="U34" i="37"/>
  <c r="AA34" i="37"/>
  <c r="AC43" i="34"/>
  <c r="AB42" i="34"/>
  <c r="J19" i="34"/>
  <c r="AC19" i="34"/>
  <c r="G113" i="33"/>
  <c r="H113" i="33" s="1"/>
  <c r="I113" i="33" s="1"/>
  <c r="J113" i="33" s="1"/>
  <c r="K113" i="33" s="1"/>
  <c r="L113" i="33" s="1"/>
  <c r="M113" i="33" s="1"/>
  <c r="H37" i="33"/>
  <c r="AB37" i="33"/>
  <c r="S37" i="33"/>
  <c r="W43" i="34"/>
  <c r="W42" i="34"/>
  <c r="AA42" i="34"/>
  <c r="S42" i="34"/>
  <c r="S38" i="34"/>
  <c r="J37" i="33"/>
  <c r="W37" i="33"/>
  <c r="J44" i="34"/>
  <c r="AC44" i="34"/>
  <c r="F44" i="34"/>
  <c r="S44" i="34"/>
  <c r="J10" i="35"/>
  <c r="W10" i="35"/>
  <c r="AL5" i="3"/>
  <c r="BQ13" i="3"/>
  <c r="J14" i="21"/>
  <c r="H14" i="21"/>
  <c r="U14" i="21" s="1"/>
  <c r="F28" i="21"/>
  <c r="S28" i="21" s="1"/>
  <c r="H44" i="21"/>
  <c r="H46" i="21"/>
  <c r="AB46" i="21" s="1"/>
  <c r="F46" i="21"/>
  <c r="AA46" i="21" s="1"/>
  <c r="H26" i="33"/>
  <c r="U26" i="33" s="1"/>
  <c r="F28" i="33"/>
  <c r="AA28" i="33" s="1"/>
  <c r="F33" i="35"/>
  <c r="S33" i="35" s="1"/>
  <c r="J33" i="35"/>
  <c r="W33" i="35" s="1"/>
  <c r="F30" i="35"/>
  <c r="AA30" i="35" s="1"/>
  <c r="E89" i="35"/>
  <c r="F89" i="35" s="1"/>
  <c r="G89" i="35"/>
  <c r="H89" i="35" s="1"/>
  <c r="I89" i="35" s="1"/>
  <c r="J89" i="35" s="1"/>
  <c r="K89" i="35" s="1"/>
  <c r="L89" i="35" s="1"/>
  <c r="M89" i="35" s="1"/>
  <c r="H10" i="36"/>
  <c r="AB10" i="36"/>
  <c r="F28" i="36"/>
  <c r="S28" i="36"/>
  <c r="F27" i="36"/>
  <c r="S27" i="36"/>
  <c r="J31" i="21"/>
  <c r="AC31" i="21"/>
  <c r="H31" i="21"/>
  <c r="U31" i="21"/>
  <c r="F31" i="21"/>
  <c r="S31" i="21"/>
  <c r="J27" i="33"/>
  <c r="AC27" i="33"/>
  <c r="F27" i="33"/>
  <c r="S27" i="33"/>
  <c r="S13" i="33"/>
  <c r="J45" i="33"/>
  <c r="W45" i="33" s="1"/>
  <c r="F11" i="35"/>
  <c r="S11" i="35" s="1"/>
  <c r="H28" i="36"/>
  <c r="U28" i="36" s="1"/>
  <c r="H32" i="36"/>
  <c r="AB32" i="36" s="1"/>
  <c r="J32" i="36"/>
  <c r="W11" i="36"/>
  <c r="H13" i="36"/>
  <c r="AB13" i="36"/>
  <c r="J13" i="36"/>
  <c r="W13" i="36"/>
  <c r="F13" i="36"/>
  <c r="S13" i="36"/>
  <c r="F89" i="37"/>
  <c r="G89" i="37" s="1"/>
  <c r="H89" i="37"/>
  <c r="I89" i="37" s="1"/>
  <c r="J89" i="37" s="1"/>
  <c r="K89" i="37" s="1"/>
  <c r="L89" i="37" s="1"/>
  <c r="M89" i="37" s="1"/>
  <c r="J29" i="37"/>
  <c r="W29" i="37" s="1"/>
  <c r="F29" i="37"/>
  <c r="AA29" i="37" s="1"/>
  <c r="F107" i="37"/>
  <c r="G107" i="37" s="1"/>
  <c r="H107" i="37" s="1"/>
  <c r="I107" i="37" s="1"/>
  <c r="J107" i="37" s="1"/>
  <c r="K107" i="37" s="1"/>
  <c r="L107" i="37" s="1"/>
  <c r="M107" i="37" s="1"/>
  <c r="J37" i="37"/>
  <c r="AC37" i="37"/>
  <c r="H37" i="37"/>
  <c r="U37" i="37"/>
  <c r="H40" i="37"/>
  <c r="U40" i="37"/>
  <c r="J40" i="37"/>
  <c r="AC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J13" i="35"/>
  <c r="AC13" i="35" s="1"/>
  <c r="J25" i="35"/>
  <c r="AC25" i="35" s="1"/>
  <c r="H25" i="35"/>
  <c r="AB2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U30" i="33"/>
  <c r="J36" i="37"/>
  <c r="AC36" i="37"/>
  <c r="AB28" i="36"/>
  <c r="AB31" i="21"/>
  <c r="AA28" i="21"/>
  <c r="AC13" i="36"/>
  <c r="G521" i="3"/>
  <c r="G499" i="3"/>
  <c r="G565" i="3"/>
  <c r="G545" i="3"/>
  <c r="BL557" i="3"/>
  <c r="BL527" i="3"/>
  <c r="BL491" i="3"/>
  <c r="BL559" i="3"/>
  <c r="BL533" i="3"/>
  <c r="G518" i="3"/>
  <c r="G510" i="3"/>
  <c r="G18" i="3"/>
  <c r="BA561" i="3"/>
  <c r="BA557" i="3"/>
  <c r="AZ557" i="3" s="1"/>
  <c r="BA551" i="3"/>
  <c r="BA541" i="3"/>
  <c r="BA531" i="3"/>
  <c r="BA509" i="3"/>
  <c r="AZ509" i="3" s="1"/>
  <c r="BA19" i="3"/>
  <c r="BA560" i="3"/>
  <c r="AZ560" i="3" s="1"/>
  <c r="BA550" i="3"/>
  <c r="BA540" i="3"/>
  <c r="BA532" i="3"/>
  <c r="BA524" i="3"/>
  <c r="BA516" i="3"/>
  <c r="BA512" i="3"/>
  <c r="AZ512" i="3" s="1"/>
  <c r="BA492" i="3"/>
  <c r="BA488" i="3"/>
  <c r="BA20" i="3"/>
  <c r="G560" i="3"/>
  <c r="G550" i="3"/>
  <c r="BA542" i="3"/>
  <c r="AC542" i="3"/>
  <c r="G542" i="3" s="1"/>
  <c r="BQ542" i="3"/>
  <c r="BL542" i="3" s="1"/>
  <c r="AZ542" i="3" s="1"/>
  <c r="BQ568" i="3"/>
  <c r="BQ566" i="3"/>
  <c r="BL566" i="3" s="1"/>
  <c r="BQ564" i="3"/>
  <c r="BL564" i="3"/>
  <c r="BQ562" i="3"/>
  <c r="BL562" i="3"/>
  <c r="BQ560" i="3"/>
  <c r="BL560" i="3"/>
  <c r="BQ558" i="3"/>
  <c r="BQ556" i="3"/>
  <c r="BQ554" i="3"/>
  <c r="BQ552" i="3"/>
  <c r="BL552" i="3" s="1"/>
  <c r="AZ552" i="3" s="1"/>
  <c r="BQ550" i="3"/>
  <c r="BQ548" i="3"/>
  <c r="BQ546" i="3"/>
  <c r="BQ544" i="3"/>
  <c r="G544" i="3"/>
  <c r="G534" i="3"/>
  <c r="G526" i="3"/>
  <c r="BQ540" i="3"/>
  <c r="BL540" i="3" s="1"/>
  <c r="AZ540" i="3" s="1"/>
  <c r="BQ538" i="3"/>
  <c r="BL538" i="3"/>
  <c r="BQ536" i="3"/>
  <c r="BL536" i="3" s="1"/>
  <c r="BQ534" i="3"/>
  <c r="BL534" i="3"/>
  <c r="BQ532" i="3"/>
  <c r="BL532" i="3"/>
  <c r="AZ532" i="3" s="1"/>
  <c r="BQ530" i="3"/>
  <c r="BL530" i="3" s="1"/>
  <c r="BQ528" i="3"/>
  <c r="BQ526" i="3"/>
  <c r="BL526" i="3" s="1"/>
  <c r="BQ524" i="3"/>
  <c r="BQ522" i="3"/>
  <c r="BL522" i="3" s="1"/>
  <c r="BQ520" i="3"/>
  <c r="BL520" i="3"/>
  <c r="BQ518" i="3"/>
  <c r="BQ516" i="3"/>
  <c r="BL516" i="3" s="1"/>
  <c r="BQ514" i="3"/>
  <c r="BQ512" i="3"/>
  <c r="BQ510" i="3"/>
  <c r="BL510" i="3"/>
  <c r="BQ508" i="3"/>
  <c r="BL508" i="3"/>
  <c r="AC506" i="3"/>
  <c r="G506" i="3" s="1"/>
  <c r="BQ506" i="3"/>
  <c r="BL506" i="3" s="1"/>
  <c r="G498" i="3"/>
  <c r="BQ504" i="3"/>
  <c r="BQ502" i="3"/>
  <c r="BQ500" i="3"/>
  <c r="BL500" i="3"/>
  <c r="BQ498" i="3"/>
  <c r="BQ496" i="3"/>
  <c r="AC494" i="3"/>
  <c r="AC5" i="3"/>
  <c r="BQ494" i="3"/>
  <c r="BL493" i="3"/>
  <c r="G488" i="3"/>
  <c r="G20" i="3"/>
  <c r="BQ492" i="3"/>
  <c r="BL492" i="3"/>
  <c r="BQ490" i="3"/>
  <c r="BQ488" i="3"/>
  <c r="BL488" i="3" s="1"/>
  <c r="AZ488" i="3" s="1"/>
  <c r="BQ486" i="3"/>
  <c r="BL486" i="3" s="1"/>
  <c r="AZ486" i="3" s="1"/>
  <c r="BQ484" i="3"/>
  <c r="BL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U39" i="37"/>
  <c r="AC8" i="37"/>
  <c r="AC36" i="34"/>
  <c r="AB8" i="34"/>
  <c r="AA13" i="33"/>
  <c r="S39" i="33"/>
  <c r="F43" i="33"/>
  <c r="AA43" i="33"/>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S27" i="31"/>
  <c r="G483" i="3"/>
  <c r="G515" i="3"/>
  <c r="G507" i="3"/>
  <c r="G501" i="3"/>
  <c r="BA15" i="3"/>
  <c r="BL17" i="3"/>
  <c r="BL15" i="3"/>
  <c r="BA14" i="3"/>
  <c r="AZ14" i="3"/>
  <c r="H12" i="48"/>
  <c r="I4" i="4"/>
  <c r="K141" i="21"/>
  <c r="K143" i="21"/>
  <c r="K144" i="21"/>
  <c r="I59" i="40"/>
  <c r="C59" i="40" s="1"/>
  <c r="I60" i="40"/>
  <c r="C60" i="40" s="1"/>
  <c r="G297" i="3"/>
  <c r="BL298" i="3"/>
  <c r="G299" i="3"/>
  <c r="BL300" i="3"/>
  <c r="BA302" i="3"/>
  <c r="AZ302" i="3" s="1"/>
  <c r="BA303" i="3"/>
  <c r="BL303" i="3"/>
  <c r="AZ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c r="BA377" i="3"/>
  <c r="AZ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AZ158" i="3"/>
  <c r="G159" i="3"/>
  <c r="BA161" i="3"/>
  <c r="AZ161" i="3" s="1"/>
  <c r="BL162" i="3"/>
  <c r="AZ162" i="3" s="1"/>
  <c r="G163" i="3"/>
  <c r="BA165" i="3"/>
  <c r="AZ165" i="3" s="1"/>
  <c r="BL166" i="3"/>
  <c r="AZ166" i="3" s="1"/>
  <c r="G167" i="3"/>
  <c r="BA169" i="3"/>
  <c r="AZ169" i="3"/>
  <c r="BL170" i="3"/>
  <c r="G171" i="3"/>
  <c r="BA173" i="3"/>
  <c r="AZ173" i="3"/>
  <c r="BL174" i="3"/>
  <c r="AZ174" i="3"/>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c r="BL189" i="3"/>
  <c r="AZ189" i="3"/>
  <c r="G190" i="3"/>
  <c r="BA192" i="3"/>
  <c r="AZ192" i="3" s="1"/>
  <c r="BL193" i="3"/>
  <c r="AZ193" i="3" s="1"/>
  <c r="G194" i="3"/>
  <c r="BA196" i="3"/>
  <c r="AZ196" i="3"/>
  <c r="BL197" i="3"/>
  <c r="AZ197" i="3"/>
  <c r="G198" i="3"/>
  <c r="BA200" i="3"/>
  <c r="AZ200" i="3" s="1"/>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c r="BA355" i="3"/>
  <c r="AZ355" i="3"/>
  <c r="BL355" i="3"/>
  <c r="G356" i="3"/>
  <c r="BA358" i="3"/>
  <c r="AZ358" i="3" s="1"/>
  <c r="BA359" i="3"/>
  <c r="BL359" i="3"/>
  <c r="AZ359" i="3" s="1"/>
  <c r="G360" i="3"/>
  <c r="G361" i="3"/>
  <c r="BL362" i="3"/>
  <c r="BA364" i="3"/>
  <c r="AZ364" i="3"/>
  <c r="BA365" i="3"/>
  <c r="AZ365" i="3"/>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s="1"/>
  <c r="BL375" i="3"/>
  <c r="AZ375" i="3" s="1"/>
  <c r="G376" i="3"/>
  <c r="BA378" i="3"/>
  <c r="AZ378" i="3" s="1"/>
  <c r="BL379" i="3"/>
  <c r="AZ379" i="3" s="1"/>
  <c r="G380" i="3"/>
  <c r="BA382" i="3"/>
  <c r="AZ382" i="3" s="1"/>
  <c r="BL383" i="3"/>
  <c r="G384" i="3"/>
  <c r="AZ249" i="3"/>
  <c r="AZ253" i="3"/>
  <c r="AZ257" i="3"/>
  <c r="AZ261" i="3"/>
  <c r="AZ265" i="3"/>
  <c r="AZ383" i="3"/>
  <c r="AZ270" i="3"/>
  <c r="AZ274" i="3"/>
  <c r="AZ278" i="3"/>
  <c r="AZ282" i="3"/>
  <c r="AZ286" i="3"/>
  <c r="AZ290" i="3"/>
  <c r="AZ295" i="3"/>
  <c r="AZ311"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A43" i="21"/>
  <c r="F78" i="40"/>
  <c r="G78" i="40" s="1"/>
  <c r="H78" i="40" s="1"/>
  <c r="I78" i="40" s="1"/>
  <c r="J78" i="40" s="1"/>
  <c r="K78" i="40" s="1"/>
  <c r="L78" i="40" s="1"/>
  <c r="M78" i="40" s="1"/>
  <c r="R16" i="4"/>
  <c r="P16" i="4"/>
  <c r="D3" i="35"/>
  <c r="G4" i="4"/>
  <c r="S37" i="34"/>
  <c r="J16" i="35"/>
  <c r="W16" i="35"/>
  <c r="AZ300" i="3"/>
  <c r="H13" i="39"/>
  <c r="AB13" i="39" s="1"/>
  <c r="F13" i="39"/>
  <c r="AA13" i="39" s="1"/>
  <c r="J13" i="39"/>
  <c r="AC13" i="39" s="1"/>
  <c r="AA36" i="35"/>
  <c r="H11" i="37"/>
  <c r="AB11" i="37"/>
  <c r="AA30" i="33"/>
  <c r="S42" i="33"/>
  <c r="AC10" i="36"/>
  <c r="AC14" i="37"/>
  <c r="AC30" i="33"/>
  <c r="W30" i="33"/>
  <c r="AC29" i="37"/>
  <c r="W32" i="36"/>
  <c r="AC32" i="36"/>
  <c r="J33" i="34"/>
  <c r="AC33" i="34" s="1"/>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H32" i="21"/>
  <c r="U32" i="21" s="1"/>
  <c r="AB26"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H17" i="34"/>
  <c r="AB17" i="34" s="1"/>
  <c r="AC27" i="34"/>
  <c r="W27" i="34"/>
  <c r="S12" i="35"/>
  <c r="AB28" i="35"/>
  <c r="U28" i="35"/>
  <c r="H11" i="35"/>
  <c r="J11" i="35"/>
  <c r="AC11" i="35" s="1"/>
  <c r="F96" i="37"/>
  <c r="G96" i="37" s="1"/>
  <c r="H96" i="37" s="1"/>
  <c r="I96" i="37" s="1"/>
  <c r="J96" i="37" s="1"/>
  <c r="K96" i="37" s="1"/>
  <c r="L96" i="37" s="1"/>
  <c r="M96" i="37" s="1"/>
  <c r="H32" i="37"/>
  <c r="AB32" i="37"/>
  <c r="F19" i="39"/>
  <c r="S19" i="39"/>
  <c r="H19" i="39"/>
  <c r="AB19" i="39"/>
  <c r="J19" i="39"/>
  <c r="W19" i="39"/>
  <c r="F99" i="37"/>
  <c r="U25" i="35"/>
  <c r="U31" i="34"/>
  <c r="W40" i="37"/>
  <c r="AB29" i="35"/>
  <c r="U29" i="35"/>
  <c r="AC19" i="33"/>
  <c r="U43" i="34"/>
  <c r="AB43" i="34"/>
  <c r="AC34" i="37"/>
  <c r="S35" i="37"/>
  <c r="AA35" i="37"/>
  <c r="BL571" i="3"/>
  <c r="BA571" i="3"/>
  <c r="AZ571" i="3"/>
  <c r="BL570" i="3"/>
  <c r="BE5" i="3"/>
  <c r="AB40" i="33"/>
  <c r="U40" i="33"/>
  <c r="AA35" i="34"/>
  <c r="S35" i="34"/>
  <c r="E90" i="34"/>
  <c r="F90" i="34"/>
  <c r="G90" i="34" s="1"/>
  <c r="H90" i="34" s="1"/>
  <c r="I90" i="34" s="1"/>
  <c r="J90" i="34" s="1"/>
  <c r="K90" i="34" s="1"/>
  <c r="L90" i="34" s="1"/>
  <c r="M90" i="34" s="1"/>
  <c r="H27" i="34"/>
  <c r="AB27" i="34" s="1"/>
  <c r="AB8" i="35"/>
  <c r="U8" i="35"/>
  <c r="S9" i="35"/>
  <c r="J14" i="35"/>
  <c r="AC14" i="35"/>
  <c r="F14" i="35"/>
  <c r="S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c r="J17" i="39"/>
  <c r="W17" i="39"/>
  <c r="F21" i="39"/>
  <c r="S21" i="39"/>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103" i="39" s="1"/>
  <c r="G103" i="39" s="1"/>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s="1"/>
  <c r="BL567" i="3"/>
  <c r="BA567" i="3"/>
  <c r="AZ567" i="3"/>
  <c r="BL565" i="3"/>
  <c r="BA564" i="3"/>
  <c r="AZ564" i="3"/>
  <c r="BA563" i="3"/>
  <c r="BL554" i="3"/>
  <c r="BA553" i="3"/>
  <c r="BA552" i="3"/>
  <c r="BL549" i="3"/>
  <c r="AZ549" i="3"/>
  <c r="BA549" i="3"/>
  <c r="BL548" i="3"/>
  <c r="BA548" i="3"/>
  <c r="BL547" i="3"/>
  <c r="BA547" i="3"/>
  <c r="AZ547" i="3" s="1"/>
  <c r="BL539" i="3"/>
  <c r="BA539" i="3"/>
  <c r="AZ539" i="3" s="1"/>
  <c r="BA538" i="3"/>
  <c r="AZ538" i="3" s="1"/>
  <c r="BL537" i="3"/>
  <c r="BA537" i="3"/>
  <c r="AZ537" i="3" s="1"/>
  <c r="BA535" i="3"/>
  <c r="BA534" i="3"/>
  <c r="AZ534" i="3"/>
  <c r="BA533" i="3"/>
  <c r="AZ533" i="3"/>
  <c r="BL531" i="3"/>
  <c r="AZ531" i="3"/>
  <c r="BA530" i="3"/>
  <c r="AZ530" i="3" s="1"/>
  <c r="BL529" i="3"/>
  <c r="BA529" i="3"/>
  <c r="BL528" i="3"/>
  <c r="BA527" i="3"/>
  <c r="AZ527" i="3" s="1"/>
  <c r="BA526" i="3"/>
  <c r="AZ526" i="3" s="1"/>
  <c r="BA525" i="3"/>
  <c r="BL523" i="3"/>
  <c r="BA523" i="3"/>
  <c r="AZ523" i="3"/>
  <c r="BA522" i="3"/>
  <c r="AZ522" i="3" s="1"/>
  <c r="BL521" i="3"/>
  <c r="BA519" i="3"/>
  <c r="BL518" i="3"/>
  <c r="BA518" i="3"/>
  <c r="AZ518" i="3"/>
  <c r="BL517" i="3"/>
  <c r="BA517" i="3"/>
  <c r="AZ517" i="3" s="1"/>
  <c r="BL515" i="3"/>
  <c r="BA515" i="3"/>
  <c r="AZ515" i="3"/>
  <c r="BA514" i="3"/>
  <c r="BL513" i="3"/>
  <c r="BA513" i="3"/>
  <c r="AZ513" i="3" s="1"/>
  <c r="BL512" i="3"/>
  <c r="BA511" i="3"/>
  <c r="AZ511" i="3" s="1"/>
  <c r="BA510" i="3"/>
  <c r="AZ510" i="3" s="1"/>
  <c r="BL509" i="3"/>
  <c r="BL507" i="3"/>
  <c r="BA507" i="3"/>
  <c r="AZ507" i="3"/>
  <c r="BA506" i="3"/>
  <c r="AZ506" i="3" s="1"/>
  <c r="BL505" i="3"/>
  <c r="BL504" i="3"/>
  <c r="AZ504" i="3" s="1"/>
  <c r="BA504" i="3"/>
  <c r="BA503" i="3"/>
  <c r="BA500" i="3"/>
  <c r="AZ500" i="3" s="1"/>
  <c r="BL499" i="3"/>
  <c r="BA499" i="3"/>
  <c r="AZ499" i="3"/>
  <c r="BL498" i="3"/>
  <c r="BL497" i="3"/>
  <c r="BA497" i="3"/>
  <c r="AZ497" i="3" s="1"/>
  <c r="BL496" i="3"/>
  <c r="BA496" i="3"/>
  <c r="AZ496" i="3"/>
  <c r="BA495" i="3"/>
  <c r="BL494" i="3"/>
  <c r="BA494" i="3"/>
  <c r="AZ494" i="3" s="1"/>
  <c r="G494" i="3"/>
  <c r="BA491" i="3"/>
  <c r="AZ491" i="3"/>
  <c r="BL490" i="3"/>
  <c r="BA490" i="3"/>
  <c r="AZ490" i="3" s="1"/>
  <c r="BL489" i="3"/>
  <c r="BA489" i="3"/>
  <c r="AZ489" i="3"/>
  <c r="BL487" i="3"/>
  <c r="BA486" i="3"/>
  <c r="BA485" i="3"/>
  <c r="BA483" i="3"/>
  <c r="BA482" i="3"/>
  <c r="BL481" i="3"/>
  <c r="BJ5" i="3"/>
  <c r="BA481" i="3"/>
  <c r="AZ481" i="3"/>
  <c r="BL19" i="3"/>
  <c r="AZ19" i="3"/>
  <c r="BA18" i="3"/>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AA36" i="34"/>
  <c r="AC12" i="21"/>
  <c r="AB8" i="33"/>
  <c r="U8" i="33"/>
  <c r="E106" i="33"/>
  <c r="F106" i="33"/>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S15" i="34"/>
  <c r="AC28" i="35"/>
  <c r="W28" i="35"/>
  <c r="J20" i="35"/>
  <c r="AC20" i="35"/>
  <c r="E72" i="35"/>
  <c r="F72" i="35"/>
  <c r="G72" i="35" s="1"/>
  <c r="H22" i="35"/>
  <c r="AB22" i="35" s="1"/>
  <c r="H23" i="35"/>
  <c r="U23" i="35" s="1"/>
  <c r="F23" i="35"/>
  <c r="AA23" i="35" s="1"/>
  <c r="AB36" i="35"/>
  <c r="U36" i="35"/>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15" i="40"/>
  <c r="AB15" i="40"/>
  <c r="E92" i="40"/>
  <c r="F92" i="40"/>
  <c r="G92" i="40" s="1"/>
  <c r="H23" i="40"/>
  <c r="U23" i="40" s="1"/>
  <c r="H41" i="40"/>
  <c r="AB41" i="40" s="1"/>
  <c r="F41" i="40"/>
  <c r="AA41" i="40" s="1"/>
  <c r="J41" i="40"/>
  <c r="AC41" i="40" s="1"/>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F94" i="40"/>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C14" i="40"/>
  <c r="S33" i="40"/>
  <c r="AC47" i="39"/>
  <c r="AB25" i="39"/>
  <c r="U37" i="34"/>
  <c r="W41" i="40"/>
  <c r="J23" i="40"/>
  <c r="AC23" i="40"/>
  <c r="F23" i="40"/>
  <c r="S23" i="40"/>
  <c r="W15" i="40"/>
  <c r="H20" i="35"/>
  <c r="U20" i="35" s="1"/>
  <c r="F20" i="35"/>
  <c r="S20" i="35"/>
  <c r="H15" i="34"/>
  <c r="AB15" i="34"/>
  <c r="J15" i="34"/>
  <c r="AC15" i="34"/>
  <c r="H41" i="33"/>
  <c r="U41" i="33"/>
  <c r="F30" i="40"/>
  <c r="AA30" i="40"/>
  <c r="AZ529" i="3"/>
  <c r="AZ548" i="3"/>
  <c r="U39" i="39"/>
  <c r="J29" i="39"/>
  <c r="AC29" i="39" s="1"/>
  <c r="AB21" i="39"/>
  <c r="U21" i="39"/>
  <c r="AB33" i="36"/>
  <c r="AA11" i="36"/>
  <c r="AA14" i="35"/>
  <c r="G99" i="37"/>
  <c r="F33" i="37"/>
  <c r="S33" i="37" s="1"/>
  <c r="U19" i="39"/>
  <c r="U17" i="34"/>
  <c r="H15" i="33"/>
  <c r="U15" i="33" s="1"/>
  <c r="AA11" i="33"/>
  <c r="AB34" i="40"/>
  <c r="U42" i="40"/>
  <c r="W32" i="40"/>
  <c r="H25" i="40"/>
  <c r="AB25" i="40"/>
  <c r="W15" i="39"/>
  <c r="J37" i="34"/>
  <c r="AC37" i="34" s="1"/>
  <c r="J36" i="33"/>
  <c r="W36" i="33" s="1"/>
  <c r="AB23" i="40"/>
  <c r="H23" i="39"/>
  <c r="AB23" i="39"/>
  <c r="J23" i="39"/>
  <c r="AC23" i="39"/>
  <c r="F97" i="39"/>
  <c r="G97" i="39"/>
  <c r="AA15" i="34"/>
  <c r="AA34" i="33"/>
  <c r="J34" i="33"/>
  <c r="AC34" i="33"/>
  <c r="AA39" i="39"/>
  <c r="AC33" i="39"/>
  <c r="U11" i="36"/>
  <c r="F80" i="35"/>
  <c r="G80" i="35"/>
  <c r="H80" i="35" s="1"/>
  <c r="I80" i="35" s="1"/>
  <c r="J80" i="35" s="1"/>
  <c r="K80" i="35" s="1"/>
  <c r="L80" i="35" s="1"/>
  <c r="M80" i="35" s="1"/>
  <c r="W14" i="35"/>
  <c r="F27" i="34"/>
  <c r="S27" i="34" s="1"/>
  <c r="AA19" i="39"/>
  <c r="F32" i="37"/>
  <c r="S32" i="37" s="1"/>
  <c r="U11" i="35"/>
  <c r="AB11" i="35"/>
  <c r="F17" i="34"/>
  <c r="AA17" i="34" s="1"/>
  <c r="J17" i="34"/>
  <c r="AC17" i="34" s="1"/>
  <c r="H11" i="34"/>
  <c r="J35" i="33"/>
  <c r="W35" i="33" s="1"/>
  <c r="S32" i="33"/>
  <c r="H11" i="33"/>
  <c r="U11" i="33" s="1"/>
  <c r="H10" i="33"/>
  <c r="I66" i="33"/>
  <c r="J10" i="33"/>
  <c r="AC10" i="33"/>
  <c r="U11" i="37"/>
  <c r="U13" i="39"/>
  <c r="AC16" i="35"/>
  <c r="J11" i="34"/>
  <c r="S17" i="34"/>
  <c r="F25" i="40"/>
  <c r="AA25" i="40" s="1"/>
  <c r="J11" i="33"/>
  <c r="H33" i="37"/>
  <c r="W15" i="34"/>
  <c r="AB20" i="35"/>
  <c r="W23" i="40"/>
  <c r="D73" i="9"/>
  <c r="N73" i="9" s="1"/>
  <c r="AP11" i="1"/>
  <c r="J51" i="15"/>
  <c r="B11" i="1"/>
  <c r="E11" i="1" s="1"/>
  <c r="B9" i="1"/>
  <c r="E9" i="1" s="1"/>
  <c r="B7" i="1"/>
  <c r="E7" i="1" s="1"/>
  <c r="C20" i="43"/>
  <c r="AP6" i="1"/>
  <c r="F31" i="43"/>
  <c r="AC25" i="36"/>
  <c r="S8" i="36"/>
  <c r="AA28" i="36"/>
  <c r="U25" i="36"/>
  <c r="H20" i="36"/>
  <c r="F68" i="36"/>
  <c r="G68" i="36" s="1"/>
  <c r="J20" i="36"/>
  <c r="F20" i="36"/>
  <c r="S20" i="36" s="1"/>
  <c r="F62" i="36"/>
  <c r="G62" i="36" s="1"/>
  <c r="J14" i="36"/>
  <c r="W14" i="36" s="1"/>
  <c r="H14" i="36"/>
  <c r="U14" i="36" s="1"/>
  <c r="F14" i="36"/>
  <c r="AA14" i="36"/>
  <c r="U32" i="36"/>
  <c r="AA27" i="36"/>
  <c r="S16" i="36"/>
  <c r="S29" i="36"/>
  <c r="AC33" i="35"/>
  <c r="U22" i="35"/>
  <c r="AC9" i="35"/>
  <c r="S8" i="35"/>
  <c r="U33" i="35"/>
  <c r="W20" i="35"/>
  <c r="S23" i="35"/>
  <c r="AB14" i="35"/>
  <c r="AC10" i="35"/>
  <c r="U9" i="35"/>
  <c r="W13" i="35"/>
  <c r="AC18" i="35"/>
  <c r="W18" i="35"/>
  <c r="U18" i="35"/>
  <c r="AB18" i="35"/>
  <c r="S30" i="35"/>
  <c r="AA35" i="35"/>
  <c r="AB30" i="35"/>
  <c r="S27" i="35"/>
  <c r="S28" i="35"/>
  <c r="J26" i="35"/>
  <c r="AC26" i="35"/>
  <c r="F26" i="35"/>
  <c r="H26" i="35"/>
  <c r="AB9" i="37"/>
  <c r="AA9" i="37"/>
  <c r="S17" i="37"/>
  <c r="W28" i="37"/>
  <c r="AB37" i="37"/>
  <c r="AA31" i="37"/>
  <c r="AA33" i="37"/>
  <c r="U32" i="37"/>
  <c r="AA32" i="37"/>
  <c r="J33" i="37"/>
  <c r="H99" i="37"/>
  <c r="I99" i="37" s="1"/>
  <c r="J99" i="37"/>
  <c r="K99" i="37" s="1"/>
  <c r="L99" i="37" s="1"/>
  <c r="M99" i="37" s="1"/>
  <c r="S29" i="37"/>
  <c r="J19" i="37"/>
  <c r="AC19" i="37"/>
  <c r="G75" i="37"/>
  <c r="F19" i="37"/>
  <c r="H19" i="37"/>
  <c r="J17" i="37"/>
  <c r="W17" i="37" s="1"/>
  <c r="S15" i="37"/>
  <c r="AC10" i="37"/>
  <c r="AC21" i="37"/>
  <c r="W21" i="37"/>
  <c r="AC11" i="37"/>
  <c r="AC9" i="37"/>
  <c r="W32" i="37"/>
  <c r="U35" i="37"/>
  <c r="U8" i="37"/>
  <c r="AB21" i="37"/>
  <c r="U21" i="37"/>
  <c r="S37" i="37"/>
  <c r="S40" i="37"/>
  <c r="S10" i="37"/>
  <c r="AC45" i="34"/>
  <c r="AA40" i="34"/>
  <c r="W33" i="34"/>
  <c r="AB33" i="34"/>
  <c r="AA33" i="34"/>
  <c r="U44" i="34"/>
  <c r="U34" i="34"/>
  <c r="U28" i="34"/>
  <c r="AA27" i="34"/>
  <c r="J25" i="34"/>
  <c r="AC25" i="34"/>
  <c r="H25" i="34"/>
  <c r="F25" i="34"/>
  <c r="S25" i="34" s="1"/>
  <c r="J23" i="34"/>
  <c r="AC23" i="34" s="1"/>
  <c r="F86" i="34"/>
  <c r="G86" i="34"/>
  <c r="F23" i="34"/>
  <c r="S23" i="34"/>
  <c r="H23" i="34"/>
  <c r="W17" i="34"/>
  <c r="W10" i="34"/>
  <c r="U10" i="34"/>
  <c r="W37" i="34"/>
  <c r="W44" i="34"/>
  <c r="W19" i="34"/>
  <c r="W29" i="34"/>
  <c r="AC21" i="34"/>
  <c r="W21" i="34"/>
  <c r="U15" i="34"/>
  <c r="AB21" i="34"/>
  <c r="U21" i="34"/>
  <c r="U27" i="34"/>
  <c r="AB41" i="34"/>
  <c r="S13" i="34"/>
  <c r="AA41" i="34"/>
  <c r="S9" i="34"/>
  <c r="S10" i="34"/>
  <c r="U39" i="33"/>
  <c r="U37" i="33"/>
  <c r="W34" i="33"/>
  <c r="AC12" i="33"/>
  <c r="AB41" i="33"/>
  <c r="AC35" i="33"/>
  <c r="U46" i="33"/>
  <c r="W39" i="33"/>
  <c r="U35" i="33"/>
  <c r="W26" i="33"/>
  <c r="AB26" i="33"/>
  <c r="H25" i="33"/>
  <c r="AB25" i="33" s="1"/>
  <c r="J25" i="33"/>
  <c r="W25" i="33"/>
  <c r="F87" i="33"/>
  <c r="G87" i="33"/>
  <c r="H87" i="33" s="1"/>
  <c r="I87" i="33" s="1"/>
  <c r="J87" i="33" s="1"/>
  <c r="K87" i="33" s="1"/>
  <c r="L87" i="33" s="1"/>
  <c r="M87" i="33" s="1"/>
  <c r="F25" i="33"/>
  <c r="S25" i="33"/>
  <c r="F85" i="33"/>
  <c r="G85" i="33"/>
  <c r="J23" i="33"/>
  <c r="F23" i="33"/>
  <c r="AA23" i="33" s="1"/>
  <c r="H23" i="33"/>
  <c r="AB23" i="33" s="1"/>
  <c r="F79" i="33"/>
  <c r="G79" i="33" s="1"/>
  <c r="F17" i="33"/>
  <c r="AA17" i="33" s="1"/>
  <c r="H17" i="33"/>
  <c r="AB17" i="33"/>
  <c r="J17" i="33"/>
  <c r="AB15" i="33"/>
  <c r="S14" i="33"/>
  <c r="W10" i="33"/>
  <c r="AC21" i="33"/>
  <c r="W21" i="33"/>
  <c r="W14" i="33"/>
  <c r="AB21" i="33"/>
  <c r="U21" i="33"/>
  <c r="AA21" i="33"/>
  <c r="S21" i="33"/>
  <c r="AA44" i="33"/>
  <c r="AA36" i="33"/>
  <c r="W43" i="21"/>
  <c r="AC26" i="21"/>
  <c r="G85" i="21"/>
  <c r="J23" i="21"/>
  <c r="W23" i="21"/>
  <c r="F23" i="21"/>
  <c r="AA23" i="21"/>
  <c r="H23" i="21"/>
  <c r="AB23" i="21"/>
  <c r="F15" i="21"/>
  <c r="S15" i="21"/>
  <c r="G77" i="21"/>
  <c r="J15" i="21"/>
  <c r="H15" i="21"/>
  <c r="AC23" i="21"/>
  <c r="AC21" i="21"/>
  <c r="W21" i="21"/>
  <c r="U21" i="21"/>
  <c r="U33" i="40"/>
  <c r="U15" i="40"/>
  <c r="S14" i="40"/>
  <c r="S15" i="40"/>
  <c r="S16" i="40"/>
  <c r="W11" i="40"/>
  <c r="AA21" i="40"/>
  <c r="U21" i="40"/>
  <c r="W25" i="40"/>
  <c r="U25" i="40"/>
  <c r="W42" i="40"/>
  <c r="F37" i="40"/>
  <c r="J37" i="40"/>
  <c r="AC37" i="40" s="1"/>
  <c r="H37" i="40"/>
  <c r="U37" i="40" s="1"/>
  <c r="H113" i="40"/>
  <c r="I113" i="40" s="1"/>
  <c r="J113" i="40"/>
  <c r="K113" i="40" s="1"/>
  <c r="L113" i="40" s="1"/>
  <c r="M113" i="40" s="1"/>
  <c r="F39" i="40"/>
  <c r="AA39" i="40" s="1"/>
  <c r="H39" i="40"/>
  <c r="U39" i="40" s="1"/>
  <c r="J39" i="40"/>
  <c r="AC39" i="40"/>
  <c r="F29" i="40"/>
  <c r="H29" i="40"/>
  <c r="AB29" i="40" s="1"/>
  <c r="J29" i="40"/>
  <c r="AC29" i="40"/>
  <c r="F98" i="40"/>
  <c r="G98" i="40"/>
  <c r="H98" i="40" s="1"/>
  <c r="I98" i="40" s="1"/>
  <c r="J98" i="40" s="1"/>
  <c r="K98" i="40" s="1"/>
  <c r="L98" i="40" s="1"/>
  <c r="M98" i="40" s="1"/>
  <c r="S30" i="40"/>
  <c r="S25" i="40"/>
  <c r="AA23" i="40"/>
  <c r="F88" i="40"/>
  <c r="G88" i="40" s="1"/>
  <c r="F19" i="40"/>
  <c r="H19" i="40"/>
  <c r="U19" i="40" s="1"/>
  <c r="J19" i="40"/>
  <c r="W19" i="40"/>
  <c r="W17" i="40"/>
  <c r="AC17" i="40"/>
  <c r="F17" i="40"/>
  <c r="AA17" i="40"/>
  <c r="H17" i="40"/>
  <c r="AB17" i="40"/>
  <c r="AB40" i="40"/>
  <c r="U10" i="40"/>
  <c r="S11" i="39"/>
  <c r="AA21" i="39"/>
  <c r="AC19" i="39"/>
  <c r="AB15" i="39"/>
  <c r="U11" i="39"/>
  <c r="AB31" i="39"/>
  <c r="S38" i="39"/>
  <c r="S22" i="31"/>
  <c r="D96" i="9"/>
  <c r="BA16" i="3"/>
  <c r="AZ16" i="3" s="1"/>
  <c r="BA17" i="3"/>
  <c r="AZ17" i="3"/>
  <c r="K1" i="43"/>
  <c r="G1" i="44"/>
  <c r="AZ15" i="3"/>
  <c r="BK5" i="3"/>
  <c r="BO5" i="3"/>
  <c r="BP5" i="3"/>
  <c r="BL18" i="3"/>
  <c r="AZ18" i="3"/>
  <c r="BC5" i="3"/>
  <c r="BR5" i="3"/>
  <c r="G28" i="6" s="1"/>
  <c r="BS5" i="3"/>
  <c r="BL16" i="3"/>
  <c r="BM5" i="3"/>
  <c r="F29" i="6" s="1"/>
  <c r="H52" i="46"/>
  <c r="G28" i="12"/>
  <c r="G26" i="12"/>
  <c r="D24" i="44"/>
  <c r="G27" i="12"/>
  <c r="G21" i="43"/>
  <c r="H50"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C16" i="46" s="1"/>
  <c r="C5" i="46" s="1"/>
  <c r="E17" i="46"/>
  <c r="D71" i="46"/>
  <c r="D84" i="46"/>
  <c r="E80" i="46" s="1"/>
  <c r="B78" i="46"/>
  <c r="D69" i="46"/>
  <c r="E47" i="46"/>
  <c r="E58" i="46"/>
  <c r="B56" i="46"/>
  <c r="A4" i="64"/>
  <c r="C51" i="10"/>
  <c r="H58" i="46"/>
  <c r="H61" i="46"/>
  <c r="H62" i="46"/>
  <c r="I100" i="46"/>
  <c r="C24" i="46"/>
  <c r="N100" i="46"/>
  <c r="H100" i="46"/>
  <c r="F108" i="46"/>
  <c r="H80" i="46"/>
  <c r="B45" i="46"/>
  <c r="E100" i="46"/>
  <c r="G100" i="46"/>
  <c r="H84" i="46"/>
  <c r="H65" i="46"/>
  <c r="H66" i="46"/>
  <c r="C100" i="46"/>
  <c r="J100" i="46"/>
  <c r="M100" i="46"/>
  <c r="U12" i="35"/>
  <c r="AB12" i="35"/>
  <c r="W11" i="35"/>
  <c r="AA11" i="35"/>
  <c r="S14" i="37"/>
  <c r="U13" i="37"/>
  <c r="C24" i="9"/>
  <c r="C25" i="9"/>
  <c r="AP9" i="1"/>
  <c r="I20" i="46"/>
  <c r="C20" i="46" s="1"/>
  <c r="B46" i="50"/>
  <c r="B4" i="63" s="1"/>
  <c r="C52" i="37"/>
  <c r="H77" i="46"/>
  <c r="H69" i="46"/>
  <c r="H86" i="46"/>
  <c r="H82" i="46"/>
  <c r="H63" i="46"/>
  <c r="H59" i="46"/>
  <c r="H64" i="46"/>
  <c r="H60" i="46"/>
  <c r="H10" i="48"/>
  <c r="H87" i="46"/>
  <c r="H85" i="46"/>
  <c r="H83" i="46"/>
  <c r="R11" i="1"/>
  <c r="R13" i="1"/>
  <c r="B6" i="1"/>
  <c r="E6" i="1"/>
  <c r="B10" i="1"/>
  <c r="E10" i="1"/>
  <c r="B8" i="1"/>
  <c r="E8" i="1"/>
  <c r="B12" i="1"/>
  <c r="E12" i="1"/>
  <c r="G1" i="15"/>
  <c r="F66" i="36"/>
  <c r="G66" i="36" s="1"/>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W25" i="21"/>
  <c r="AA25" i="21"/>
  <c r="J27" i="40"/>
  <c r="AC27" i="40" s="1"/>
  <c r="W37" i="40"/>
  <c r="S17" i="40"/>
  <c r="W30" i="40"/>
  <c r="S34" i="40"/>
  <c r="U17" i="40"/>
  <c r="S40" i="40"/>
  <c r="S42" i="40"/>
  <c r="G105" i="39"/>
  <c r="J31" i="39"/>
  <c r="W31" i="39"/>
  <c r="S45" i="39"/>
  <c r="AB33" i="39"/>
  <c r="S34" i="39"/>
  <c r="W42" i="39"/>
  <c r="W36" i="39"/>
  <c r="W16" i="39"/>
  <c r="S15" i="39"/>
  <c r="W45" i="39"/>
  <c r="AA46" i="39"/>
  <c r="W11" i="39"/>
  <c r="U42" i="39"/>
  <c r="C17" i="40"/>
  <c r="C19" i="40"/>
  <c r="C17" i="39"/>
  <c r="C21" i="39"/>
  <c r="C23" i="40"/>
  <c r="B51" i="46"/>
  <c r="B55" i="46"/>
  <c r="B62" i="46"/>
  <c r="D24" i="15"/>
  <c r="AC14" i="36"/>
  <c r="AB14" i="36"/>
  <c r="AB18" i="36"/>
  <c r="AA26" i="35"/>
  <c r="S26" i="35"/>
  <c r="W26" i="35"/>
  <c r="W19" i="37"/>
  <c r="AC17" i="37"/>
  <c r="U25" i="34"/>
  <c r="AB25" i="34"/>
  <c r="AA25" i="34"/>
  <c r="W25" i="34"/>
  <c r="U23" i="34"/>
  <c r="AB23" i="34"/>
  <c r="AA23" i="34"/>
  <c r="W23" i="34"/>
  <c r="AA25" i="33"/>
  <c r="U23" i="33"/>
  <c r="W23" i="33"/>
  <c r="AC23" i="33"/>
  <c r="S23" i="33"/>
  <c r="W17" i="33"/>
  <c r="AC17" i="33"/>
  <c r="S17" i="33"/>
  <c r="U17" i="33"/>
  <c r="AB39" i="40"/>
  <c r="W39" i="40"/>
  <c r="S39" i="40"/>
  <c r="U29" i="40"/>
  <c r="W29" i="40"/>
  <c r="AC19" i="40"/>
  <c r="AB19" i="40"/>
  <c r="W27" i="40"/>
  <c r="H72" i="46"/>
  <c r="A9" i="64"/>
  <c r="A9" i="51"/>
  <c r="B9" i="63" s="1"/>
  <c r="G39" i="46"/>
  <c r="I39" i="46" s="1"/>
  <c r="J18" i="36"/>
  <c r="AE8" i="1"/>
  <c r="AE7" i="1"/>
  <c r="AG6" i="1"/>
  <c r="R9" i="1"/>
  <c r="R8" i="1"/>
  <c r="C45" i="9"/>
  <c r="H14" i="66"/>
  <c r="B7" i="66" s="1"/>
  <c r="O40" i="9"/>
  <c r="R7" i="54" s="1"/>
  <c r="B52" i="63" s="1"/>
  <c r="K31" i="9"/>
  <c r="K32" i="9"/>
  <c r="N76" i="9"/>
  <c r="F31" i="15"/>
  <c r="L20" i="6"/>
  <c r="L27" i="6" s="1"/>
  <c r="F108" i="21"/>
  <c r="G108" i="21"/>
  <c r="H108" i="21" s="1"/>
  <c r="I108" i="21"/>
  <c r="J108" i="21" s="1"/>
  <c r="K108" i="21" s="1"/>
  <c r="L108" i="21" s="1"/>
  <c r="M108" i="21"/>
  <c r="J35" i="21"/>
  <c r="W35" i="21"/>
  <c r="H12" i="21"/>
  <c r="U19" i="21"/>
  <c r="AC35" i="21"/>
  <c r="F35" i="21"/>
  <c r="AA35" i="21"/>
  <c r="AC19" i="21"/>
  <c r="AA15" i="21"/>
  <c r="J11" i="21"/>
  <c r="W11" i="21" s="1"/>
  <c r="U23" i="21"/>
  <c r="F21" i="21"/>
  <c r="AA21" i="21"/>
  <c r="S23" i="21"/>
  <c r="AA32" i="21"/>
  <c r="H123" i="21"/>
  <c r="I123" i="21" s="1"/>
  <c r="J123" i="21"/>
  <c r="K123" i="21" s="1"/>
  <c r="L123" i="21" s="1"/>
  <c r="M123" i="21" s="1"/>
  <c r="H42" i="21"/>
  <c r="AB42" i="21" s="1"/>
  <c r="F42" i="21"/>
  <c r="J42" i="21"/>
  <c r="H35" i="21"/>
  <c r="F106" i="21"/>
  <c r="G106" i="21" s="1"/>
  <c r="H106" i="21" s="1"/>
  <c r="I106" i="21" s="1"/>
  <c r="J106" i="21" s="1"/>
  <c r="K106" i="21" s="1"/>
  <c r="L106" i="21" s="1"/>
  <c r="M106" i="21" s="1"/>
  <c r="H34" i="21"/>
  <c r="F34" i="21"/>
  <c r="J34" i="21"/>
  <c r="AC34" i="21" s="1"/>
  <c r="U39" i="21"/>
  <c r="S39" i="21"/>
  <c r="W46" i="21"/>
  <c r="AC46" i="21"/>
  <c r="AC44" i="21"/>
  <c r="W44" i="21"/>
  <c r="S46" i="21"/>
  <c r="F44" i="21"/>
  <c r="AA44" i="21"/>
  <c r="AC40" i="21"/>
  <c r="S26" i="21"/>
  <c r="AB30" i="21"/>
  <c r="U30" i="21"/>
  <c r="J30" i="21"/>
  <c r="AC30" i="21" s="1"/>
  <c r="F30" i="21"/>
  <c r="J28" i="21"/>
  <c r="AC28" i="21" s="1"/>
  <c r="W41" i="21"/>
  <c r="AA40" i="21"/>
  <c r="AB41" i="21"/>
  <c r="W39" i="21"/>
  <c r="U38" i="21"/>
  <c r="AC38" i="21"/>
  <c r="AA38" i="21"/>
  <c r="AA36" i="21"/>
  <c r="AC36" i="21"/>
  <c r="AB36" i="21"/>
  <c r="AB32" i="21"/>
  <c r="W31" i="21"/>
  <c r="AA31" i="21"/>
  <c r="S14" i="21"/>
  <c r="AB11" i="21"/>
  <c r="J10" i="21"/>
  <c r="H10" i="21"/>
  <c r="U9" i="21"/>
  <c r="AA9" i="21"/>
  <c r="J9" i="21"/>
  <c r="U8" i="21"/>
  <c r="S8" i="21"/>
  <c r="AC44" i="39"/>
  <c r="AA44" i="39"/>
  <c r="F122" i="39"/>
  <c r="G122" i="39"/>
  <c r="H122" i="39" s="1"/>
  <c r="I122" i="39" s="1"/>
  <c r="J122" i="39" s="1"/>
  <c r="K122" i="39"/>
  <c r="L122" i="39" s="1"/>
  <c r="M122" i="39" s="1"/>
  <c r="H41" i="39"/>
  <c r="AB41" i="39"/>
  <c r="F41" i="39"/>
  <c r="AA41" i="39"/>
  <c r="J41" i="39"/>
  <c r="AC41" i="39"/>
  <c r="H126" i="39"/>
  <c r="I126" i="39"/>
  <c r="J126" i="39" s="1"/>
  <c r="K126" i="39"/>
  <c r="L126" i="39" s="1"/>
  <c r="M126" i="39" s="1"/>
  <c r="F43" i="39"/>
  <c r="AA43" i="39"/>
  <c r="J43" i="39"/>
  <c r="AC43" i="39"/>
  <c r="H43" i="39"/>
  <c r="U43" i="39"/>
  <c r="AB43" i="39"/>
  <c r="S41" i="39"/>
  <c r="W40" i="39"/>
  <c r="U27" i="39"/>
  <c r="W25" i="39"/>
  <c r="W23" i="39"/>
  <c r="S17" i="39"/>
  <c r="U14" i="39"/>
  <c r="W13" i="39"/>
  <c r="S43" i="39"/>
  <c r="W43" i="39"/>
  <c r="W41" i="39"/>
  <c r="AC37" i="39"/>
  <c r="AB38" i="39"/>
  <c r="AA37" i="39"/>
  <c r="AC39" i="39"/>
  <c r="AB37" i="39"/>
  <c r="U36" i="39"/>
  <c r="W34" i="39"/>
  <c r="U34" i="39"/>
  <c r="AA33" i="39"/>
  <c r="S31" i="39"/>
  <c r="W29" i="39"/>
  <c r="W27" i="39"/>
  <c r="S25" i="39"/>
  <c r="S23" i="39"/>
  <c r="U23" i="39"/>
  <c r="AC21" i="39"/>
  <c r="S13" i="39"/>
  <c r="AC17" i="39"/>
  <c r="AB17" i="39"/>
  <c r="S16" i="39"/>
  <c r="S14" i="39"/>
  <c r="W14" i="39"/>
  <c r="W10" i="39"/>
  <c r="S10" i="39"/>
  <c r="B53" i="46"/>
  <c r="B48" i="46"/>
  <c r="C23" i="39"/>
  <c r="B64" i="46"/>
  <c r="B66" i="46"/>
  <c r="B59" i="46"/>
  <c r="C19" i="39"/>
  <c r="C27" i="39"/>
  <c r="C29" i="39"/>
  <c r="M22" i="44"/>
  <c r="M20" i="15"/>
  <c r="F36" i="44"/>
  <c r="F29" i="12"/>
  <c r="D86" i="9"/>
  <c r="F28" i="15"/>
  <c r="C28" i="15" s="1"/>
  <c r="F30" i="44"/>
  <c r="C30" i="44" s="1"/>
  <c r="M20" i="44"/>
  <c r="F32" i="15"/>
  <c r="F59" i="15" s="1"/>
  <c r="F72" i="9"/>
  <c r="C11" i="11"/>
  <c r="C10" i="11"/>
  <c r="G23" i="43"/>
  <c r="G22" i="43"/>
  <c r="D26" i="44"/>
  <c r="E32" i="6"/>
  <c r="K1" i="12"/>
  <c r="BN5" i="3"/>
  <c r="G29" i="6"/>
  <c r="C53" i="10"/>
  <c r="A25" i="64"/>
  <c r="T41" i="4"/>
  <c r="A17" i="64"/>
  <c r="K5" i="54"/>
  <c r="L5" i="54"/>
  <c r="B39" i="63" s="1"/>
  <c r="A18" i="51"/>
  <c r="B14" i="63" s="1"/>
  <c r="A11" i="55"/>
  <c r="B62" i="63" s="1"/>
  <c r="A2" i="55"/>
  <c r="B55" i="63" s="1"/>
  <c r="G7" i="1"/>
  <c r="G9" i="1"/>
  <c r="G11" i="1"/>
  <c r="A26" i="51"/>
  <c r="B19" i="63"/>
  <c r="AP8" i="1"/>
  <c r="AP7" i="1"/>
  <c r="G10" i="1"/>
  <c r="J57" i="39"/>
  <c r="N4" i="63"/>
  <c r="C46" i="9"/>
  <c r="I14" i="66" s="1"/>
  <c r="C31" i="43"/>
  <c r="C25" i="12"/>
  <c r="D70" i="39"/>
  <c r="C72" i="39"/>
  <c r="C7" i="33"/>
  <c r="C58" i="33" s="1"/>
  <c r="D58" i="33" s="1"/>
  <c r="E58" i="33" s="1"/>
  <c r="F58" i="33" s="1"/>
  <c r="G58" i="33" s="1"/>
  <c r="H58" i="33" s="1"/>
  <c r="I58" i="33" s="1"/>
  <c r="J58" i="33" s="1"/>
  <c r="K58" i="33" s="1"/>
  <c r="L58" i="33" s="1"/>
  <c r="M58" i="33" s="1"/>
  <c r="N58" i="33" s="1"/>
  <c r="O58" i="33" s="1"/>
  <c r="C7" i="34"/>
  <c r="C59" i="34"/>
  <c r="D59" i="34" s="1"/>
  <c r="C7" i="35"/>
  <c r="C48" i="35" s="1"/>
  <c r="C7" i="36"/>
  <c r="C46" i="36" s="1"/>
  <c r="D46" i="36" s="1"/>
  <c r="E46" i="36" s="1"/>
  <c r="F46" i="36" s="1"/>
  <c r="C9" i="40"/>
  <c r="C65" i="40"/>
  <c r="C67" i="40" s="1"/>
  <c r="C92" i="9"/>
  <c r="N67" i="9"/>
  <c r="D38" i="4"/>
  <c r="C39" i="4"/>
  <c r="G19" i="46"/>
  <c r="H1" i="65"/>
  <c r="K33" i="9"/>
  <c r="O41" i="9"/>
  <c r="R8" i="54" s="1"/>
  <c r="B54" i="63"/>
  <c r="B8" i="66"/>
  <c r="C15" i="43"/>
  <c r="D48" i="35"/>
  <c r="H71" i="46"/>
  <c r="H76" i="46"/>
  <c r="H73" i="46"/>
  <c r="H74" i="46"/>
  <c r="H70" i="46"/>
  <c r="D58" i="21"/>
  <c r="S12" i="21"/>
  <c r="AA12" i="21"/>
  <c r="AC31" i="39"/>
  <c r="E59" i="34"/>
  <c r="H75" i="46"/>
  <c r="E69" i="46"/>
  <c r="B67" i="46"/>
  <c r="U25" i="33"/>
  <c r="W33" i="37"/>
  <c r="AC33" i="37"/>
  <c r="AZ472" i="3"/>
  <c r="AA20" i="36"/>
  <c r="S14" i="36"/>
  <c r="H54" i="46"/>
  <c r="H48" i="46"/>
  <c r="U41" i="39"/>
  <c r="AB45" i="39"/>
  <c r="AB11" i="33"/>
  <c r="AA20" i="35"/>
  <c r="S33" i="36"/>
  <c r="U27" i="36"/>
  <c r="AA26" i="36"/>
  <c r="U40" i="21"/>
  <c r="AB44" i="39"/>
  <c r="W29" i="35"/>
  <c r="AA41" i="33"/>
  <c r="S41" i="40"/>
  <c r="U47" i="39"/>
  <c r="W34" i="40"/>
  <c r="AA11" i="34"/>
  <c r="AA29" i="35"/>
  <c r="AB16" i="39"/>
  <c r="S47" i="39"/>
  <c r="H47" i="46"/>
  <c r="AA44" i="34"/>
  <c r="W27" i="33"/>
  <c r="S45" i="34"/>
  <c r="AC27" i="37"/>
  <c r="AB36" i="34"/>
  <c r="W44" i="33"/>
  <c r="AB45" i="34"/>
  <c r="AC11" i="36"/>
  <c r="AC29" i="33"/>
  <c r="U32" i="33"/>
  <c r="AA36" i="37"/>
  <c r="W37" i="37"/>
  <c r="W25" i="35"/>
  <c r="AB16" i="35"/>
  <c r="S10" i="35"/>
  <c r="AC37" i="33"/>
  <c r="S27" i="37"/>
  <c r="AC41" i="34"/>
  <c r="U28" i="21"/>
  <c r="AA27" i="33"/>
  <c r="W31" i="34"/>
  <c r="AB14" i="21"/>
  <c r="U46" i="21"/>
  <c r="AB40" i="37"/>
  <c r="W46" i="33"/>
  <c r="S22" i="35"/>
  <c r="J9" i="33"/>
  <c r="H9" i="33"/>
  <c r="AB9" i="33" s="1"/>
  <c r="F9" i="33"/>
  <c r="AZ389" i="3"/>
  <c r="AZ400" i="3"/>
  <c r="AZ404" i="3"/>
  <c r="AZ416" i="3"/>
  <c r="AZ421" i="3"/>
  <c r="AZ435" i="3"/>
  <c r="AZ440" i="3"/>
  <c r="AZ453" i="3"/>
  <c r="AZ460" i="3"/>
  <c r="AZ464" i="3"/>
  <c r="AZ480" i="3"/>
  <c r="A30" i="64"/>
  <c r="A30" i="51"/>
  <c r="B22" i="63" s="1"/>
  <c r="F9" i="36"/>
  <c r="AA9" i="36" s="1"/>
  <c r="H9" i="36"/>
  <c r="H24" i="36"/>
  <c r="U24" i="36" s="1"/>
  <c r="AZ368" i="3"/>
  <c r="AZ384" i="3"/>
  <c r="AZ386" i="3"/>
  <c r="AZ206" i="3"/>
  <c r="AZ218" i="3"/>
  <c r="AZ222" i="3"/>
  <c r="AZ234" i="3"/>
  <c r="AZ238" i="3"/>
  <c r="AZ250" i="3"/>
  <c r="AZ254" i="3"/>
  <c r="AZ266" i="3"/>
  <c r="AZ275" i="3"/>
  <c r="AZ279" i="3"/>
  <c r="AZ291" i="3"/>
  <c r="AZ294" i="3"/>
  <c r="AZ113" i="3"/>
  <c r="AZ116" i="3"/>
  <c r="AZ129" i="3"/>
  <c r="AZ132" i="3"/>
  <c r="AZ145" i="3"/>
  <c r="AZ148" i="3"/>
  <c r="AZ186" i="3"/>
  <c r="AZ194" i="3"/>
  <c r="AZ22" i="3"/>
  <c r="AZ33" i="3"/>
  <c r="AZ45" i="3"/>
  <c r="AZ49" i="3"/>
  <c r="AZ52" i="3"/>
  <c r="AZ76" i="3"/>
  <c r="AZ80" i="3"/>
  <c r="AZ83" i="3"/>
  <c r="AZ89" i="3"/>
  <c r="AZ100" i="3"/>
  <c r="AZ105" i="3"/>
  <c r="D1" i="57"/>
  <c r="E10" i="57"/>
  <c r="T22" i="59"/>
  <c r="D22" i="59"/>
  <c r="AZ61" i="3"/>
  <c r="C26" i="59"/>
  <c r="D26" i="59" s="1"/>
  <c r="D25" i="59"/>
  <c r="C48" i="59"/>
  <c r="D49" i="59"/>
  <c r="AA12" i="59"/>
  <c r="AA7" i="59"/>
  <c r="AA9" i="59"/>
  <c r="AA15" i="59"/>
  <c r="E16" i="59"/>
  <c r="E17" i="59" s="1"/>
  <c r="E18" i="59" s="1"/>
  <c r="U18" i="59" s="1"/>
  <c r="N50" i="59"/>
  <c r="B49" i="59"/>
  <c r="S50" i="59"/>
  <c r="V50" i="59"/>
  <c r="Q50" i="59"/>
  <c r="T58" i="59"/>
  <c r="D58" i="59"/>
  <c r="Y9" i="59"/>
  <c r="Z9" i="59"/>
  <c r="Y10" i="59"/>
  <c r="Z10" i="59"/>
  <c r="F10" i="59"/>
  <c r="AB10" i="59"/>
  <c r="AB9" i="59"/>
  <c r="Y15" i="59"/>
  <c r="Z15" i="59" s="1"/>
  <c r="X12" i="59"/>
  <c r="Y8" i="59"/>
  <c r="Z8" i="59"/>
  <c r="B5" i="59"/>
  <c r="X3" i="59"/>
  <c r="AA5" i="59"/>
  <c r="D100" i="46"/>
  <c r="D23" i="15"/>
  <c r="S21" i="21"/>
  <c r="O49" i="59"/>
  <c r="D53" i="59"/>
  <c r="D44" i="59"/>
  <c r="D36" i="59"/>
  <c r="C13" i="59"/>
  <c r="AB3" i="59"/>
  <c r="AA10" i="59"/>
  <c r="AA3" i="59"/>
  <c r="X11" i="59"/>
  <c r="B12" i="59"/>
  <c r="B13" i="59" s="1"/>
  <c r="B14" i="59"/>
  <c r="S14" i="59" s="1"/>
  <c r="X8" i="59"/>
  <c r="X10" i="59"/>
  <c r="AA11" i="59"/>
  <c r="Y13" i="59"/>
  <c r="Z13" i="59"/>
  <c r="AB15" i="59"/>
  <c r="F16" i="59"/>
  <c r="F17" i="59" s="1"/>
  <c r="F18" i="59"/>
  <c r="V18" i="59" s="1"/>
  <c r="Y16" i="59"/>
  <c r="Z16" i="59" s="1"/>
  <c r="Y17" i="59"/>
  <c r="Z17" i="59" s="1"/>
  <c r="Y18" i="59"/>
  <c r="Z18" i="59" s="1"/>
  <c r="X19" i="59"/>
  <c r="B20" i="59"/>
  <c r="B21" i="59"/>
  <c r="B22" i="59" s="1"/>
  <c r="S22" i="59" s="1"/>
  <c r="AA19" i="59"/>
  <c r="F49" i="59"/>
  <c r="F48" i="59" s="1"/>
  <c r="Q48" i="59" s="1"/>
  <c r="E49" i="59"/>
  <c r="P50" i="59"/>
  <c r="U58" i="59"/>
  <c r="E57" i="59"/>
  <c r="E56" i="59" s="1"/>
  <c r="U10" i="59"/>
  <c r="E9" i="59"/>
  <c r="E8" i="59"/>
  <c r="A26" i="64"/>
  <c r="C5" i="59"/>
  <c r="D5" i="59" s="1"/>
  <c r="T6" i="59"/>
  <c r="D6" i="59"/>
  <c r="Y19" i="59"/>
  <c r="Z19" i="59" s="1"/>
  <c r="AA17" i="59"/>
  <c r="X16" i="59"/>
  <c r="AB12" i="59"/>
  <c r="Y11" i="59"/>
  <c r="Z11" i="59"/>
  <c r="C10" i="59"/>
  <c r="Y7" i="59"/>
  <c r="Z7" i="59" s="1"/>
  <c r="Y3" i="59"/>
  <c r="Z3" i="59" s="1"/>
  <c r="AB7" i="59"/>
  <c r="X5" i="59"/>
  <c r="E6" i="59"/>
  <c r="U6" i="59" s="1"/>
  <c r="AA6" i="59"/>
  <c r="AB11" i="59"/>
  <c r="Y12" i="59"/>
  <c r="Z12" i="59"/>
  <c r="AB13" i="59"/>
  <c r="Y14" i="59"/>
  <c r="Z14" i="59" s="1"/>
  <c r="X15" i="59"/>
  <c r="AA16" i="59"/>
  <c r="X17" i="59"/>
  <c r="AA18" i="59"/>
  <c r="A28" i="64"/>
  <c r="O76" i="9"/>
  <c r="K76" i="9"/>
  <c r="K77" i="9" s="1"/>
  <c r="K79" i="9"/>
  <c r="K81" i="9" s="1"/>
  <c r="X6" i="59"/>
  <c r="Y5" i="59"/>
  <c r="Z5" i="59"/>
  <c r="Y6" i="59"/>
  <c r="Z6" i="59"/>
  <c r="AB5" i="59"/>
  <c r="AB6" i="59"/>
  <c r="F6" i="59"/>
  <c r="M17" i="15"/>
  <c r="M19" i="44"/>
  <c r="F58" i="15"/>
  <c r="F33" i="44"/>
  <c r="AB12" i="21"/>
  <c r="U12" i="21"/>
  <c r="AC11" i="21"/>
  <c r="S35" i="21"/>
  <c r="W34" i="21"/>
  <c r="S44" i="21"/>
  <c r="AA30" i="21"/>
  <c r="S30" i="21"/>
  <c r="W28" i="21"/>
  <c r="W30" i="21"/>
  <c r="AC10" i="21"/>
  <c r="W10" i="21"/>
  <c r="A25" i="51"/>
  <c r="B18" i="63"/>
  <c r="B38" i="63"/>
  <c r="A3" i="55"/>
  <c r="B56" i="63" s="1"/>
  <c r="A17" i="51"/>
  <c r="B13" i="63" s="1"/>
  <c r="K34" i="9"/>
  <c r="P24" i="46"/>
  <c r="B68" i="40"/>
  <c r="P23" i="46"/>
  <c r="P22" i="46"/>
  <c r="P25" i="46"/>
  <c r="B73" i="39"/>
  <c r="P21" i="46"/>
  <c r="O19" i="46"/>
  <c r="D65" i="40"/>
  <c r="Q49" i="59"/>
  <c r="B48" i="59"/>
  <c r="N49" i="59"/>
  <c r="T26" i="59"/>
  <c r="AB24" i="36"/>
  <c r="D10" i="59"/>
  <c r="T10" i="59"/>
  <c r="C9" i="59"/>
  <c r="E48" i="59"/>
  <c r="P49" i="59"/>
  <c r="AB9" i="36"/>
  <c r="U9" i="36"/>
  <c r="U9" i="33"/>
  <c r="E58" i="21"/>
  <c r="V6" i="59"/>
  <c r="F5" i="59"/>
  <c r="C14" i="59"/>
  <c r="D13" i="59"/>
  <c r="F9" i="59"/>
  <c r="F8" i="59" s="1"/>
  <c r="V10" i="59"/>
  <c r="S9" i="36"/>
  <c r="S9" i="33"/>
  <c r="AA9" i="33"/>
  <c r="AC9" i="33"/>
  <c r="W9" i="33"/>
  <c r="F59" i="34"/>
  <c r="G59" i="34" s="1"/>
  <c r="H59" i="34" s="1"/>
  <c r="P48" i="59"/>
  <c r="P47" i="59"/>
  <c r="N47" i="59"/>
  <c r="N48" i="59"/>
  <c r="Q47" i="59"/>
  <c r="T14" i="59"/>
  <c r="D14" i="59"/>
  <c r="F58" i="21"/>
  <c r="G58" i="21" s="1"/>
  <c r="G46" i="36"/>
  <c r="H46" i="36" s="1"/>
  <c r="C8" i="59"/>
  <c r="D8" i="59"/>
  <c r="D9" i="59"/>
  <c r="H58" i="21"/>
  <c r="I58" i="21" s="1"/>
  <c r="J58" i="21" s="1"/>
  <c r="K58" i="21" s="1"/>
  <c r="L58" i="21" s="1"/>
  <c r="M58" i="21" s="1"/>
  <c r="N58" i="21" s="1"/>
  <c r="O58" i="21" s="1"/>
  <c r="I59" i="34"/>
  <c r="I46" i="36"/>
  <c r="J46" i="36" s="1"/>
  <c r="J59" i="34"/>
  <c r="K59" i="34"/>
  <c r="L59" i="34"/>
  <c r="M59" i="34"/>
  <c r="N59" i="34" s="1"/>
  <c r="R49" i="39"/>
  <c r="R50" i="39" s="1"/>
  <c r="T49" i="39"/>
  <c r="V49" i="39"/>
  <c r="I49" i="39" s="1"/>
  <c r="G49" i="39"/>
  <c r="G53" i="39" s="1"/>
  <c r="H53" i="39" s="1"/>
  <c r="B9" i="67"/>
  <c r="L47" i="15"/>
  <c r="E10" i="67"/>
  <c r="J7" i="65"/>
  <c r="N6" i="65"/>
  <c r="J4" i="65"/>
  <c r="E13" i="67"/>
  <c r="M23" i="15"/>
  <c r="F8" i="67"/>
  <c r="F10" i="67"/>
  <c r="B8" i="67"/>
  <c r="E8" i="67"/>
  <c r="E11" i="67"/>
  <c r="N3" i="65"/>
  <c r="M28" i="15"/>
  <c r="I3" i="65"/>
  <c r="L49" i="44"/>
  <c r="B11" i="67"/>
  <c r="J15" i="15"/>
  <c r="B13" i="67"/>
  <c r="J5" i="65"/>
  <c r="M26" i="44"/>
  <c r="N4" i="65"/>
  <c r="B10" i="67"/>
  <c r="N7" i="65"/>
  <c r="B14" i="67"/>
  <c r="F12" i="67"/>
  <c r="M22" i="15"/>
  <c r="E12" i="67"/>
  <c r="M24" i="15"/>
  <c r="F9" i="67"/>
  <c r="I6" i="65"/>
  <c r="I7" i="65"/>
  <c r="F8" i="44"/>
  <c r="F14" i="67"/>
  <c r="M27" i="15"/>
  <c r="E9" i="67"/>
  <c r="F13" i="67"/>
  <c r="E14" i="67"/>
  <c r="F11" i="67"/>
  <c r="B12" i="67"/>
  <c r="N5" i="65"/>
  <c r="M26" i="15"/>
  <c r="J36" i="15"/>
  <c r="M8" i="44"/>
  <c r="AB40" i="39" l="1"/>
  <c r="U40" i="39"/>
  <c r="S40" i="39"/>
  <c r="AB38" i="40"/>
  <c r="U38" i="40"/>
  <c r="F38" i="40"/>
  <c r="C18" i="9"/>
  <c r="D18" i="9" s="1"/>
  <c r="M44" i="9" s="1"/>
  <c r="E10" i="52"/>
  <c r="B5" i="52"/>
  <c r="B9" i="52"/>
  <c r="E5" i="52"/>
  <c r="B13" i="52"/>
  <c r="B7" i="52"/>
  <c r="B8" i="52"/>
  <c r="B16" i="52"/>
  <c r="B14" i="52"/>
  <c r="E4" i="52"/>
  <c r="E21" i="52"/>
  <c r="E11" i="52"/>
  <c r="B10" i="52"/>
  <c r="B4" i="52"/>
  <c r="E9" i="52"/>
  <c r="C4" i="4" s="1"/>
  <c r="B20" i="55" s="1"/>
  <c r="B70" i="63" s="1"/>
  <c r="B23" i="52"/>
  <c r="B6" i="52"/>
  <c r="E7" i="52"/>
  <c r="B22" i="52"/>
  <c r="B11" i="52"/>
  <c r="E6" i="52"/>
  <c r="E16" i="52"/>
  <c r="E4" i="4" s="1"/>
  <c r="B21" i="55" s="1"/>
  <c r="B72" i="63" s="1"/>
  <c r="E8" i="52"/>
  <c r="E49" i="39"/>
  <c r="I54" i="39" s="1"/>
  <c r="J54" i="39" s="1"/>
  <c r="J58" i="44"/>
  <c r="J56" i="44" s="1"/>
  <c r="J59" i="44" s="1"/>
  <c r="Q52" i="44" s="1"/>
  <c r="L57" i="44"/>
  <c r="J61" i="44"/>
  <c r="Q50" i="44" s="1"/>
  <c r="J60" i="44"/>
  <c r="I55" i="44"/>
  <c r="J54" i="44"/>
  <c r="Q72" i="15"/>
  <c r="L59" i="15"/>
  <c r="C4" i="65"/>
  <c r="B39" i="1" s="1"/>
  <c r="O59" i="34"/>
  <c r="H7" i="34"/>
  <c r="K46" i="36"/>
  <c r="L46" i="36" s="1"/>
  <c r="M46" i="36" s="1"/>
  <c r="N46" i="36" s="1"/>
  <c r="O46" i="36" s="1"/>
  <c r="F7" i="36"/>
  <c r="J7" i="36"/>
  <c r="I53" i="39"/>
  <c r="J53" i="39" s="1"/>
  <c r="G54" i="39"/>
  <c r="H54" i="39" s="1"/>
  <c r="C50" i="39"/>
  <c r="C49" i="39"/>
  <c r="E48" i="35"/>
  <c r="F48" i="35" s="1"/>
  <c r="G48" i="35" s="1"/>
  <c r="H48" i="35" s="1"/>
  <c r="I48" i="35" s="1"/>
  <c r="J48" i="35" s="1"/>
  <c r="K48" i="35" s="1"/>
  <c r="L48" i="35" s="1"/>
  <c r="M48" i="35" s="1"/>
  <c r="N48" i="35" s="1"/>
  <c r="O48" i="35" s="1"/>
  <c r="J7" i="35"/>
  <c r="U34" i="21"/>
  <c r="AB34" i="21"/>
  <c r="G30" i="6"/>
  <c r="G31" i="6" s="1"/>
  <c r="AA19" i="40"/>
  <c r="S19" i="40"/>
  <c r="O48" i="59"/>
  <c r="D48" i="59"/>
  <c r="D72" i="39"/>
  <c r="E70" i="39"/>
  <c r="U10" i="21"/>
  <c r="AB10" i="21"/>
  <c r="AC42" i="21"/>
  <c r="W42" i="21"/>
  <c r="B20" i="31"/>
  <c r="R22" i="31"/>
  <c r="B21" i="31" s="1"/>
  <c r="J7" i="34"/>
  <c r="F7" i="34"/>
  <c r="H7" i="36"/>
  <c r="H7" i="33"/>
  <c r="J7" i="33"/>
  <c r="F7" i="35"/>
  <c r="F7" i="33"/>
  <c r="O47" i="59"/>
  <c r="E5" i="59"/>
  <c r="D67" i="40"/>
  <c r="E65" i="40"/>
  <c r="U42" i="21"/>
  <c r="W9" i="21"/>
  <c r="AC9" i="21"/>
  <c r="AC18" i="36"/>
  <c r="W18" i="36"/>
  <c r="H7" i="35"/>
  <c r="AA34" i="21"/>
  <c r="S34" i="21"/>
  <c r="AB35" i="21"/>
  <c r="U35" i="21"/>
  <c r="AA42" i="21"/>
  <c r="S42" i="21"/>
  <c r="AB37" i="40"/>
  <c r="D52" i="37"/>
  <c r="E29" i="6"/>
  <c r="K15" i="1" s="1"/>
  <c r="AA29" i="40"/>
  <c r="S29" i="40"/>
  <c r="AB15" i="21"/>
  <c r="U15" i="21"/>
  <c r="U19" i="37"/>
  <c r="AB19" i="37"/>
  <c r="W11" i="33"/>
  <c r="AC11" i="33"/>
  <c r="U10" i="33"/>
  <c r="AB10" i="33"/>
  <c r="AB11" i="34"/>
  <c r="U11" i="34"/>
  <c r="H37" i="21"/>
  <c r="F37" i="21"/>
  <c r="H113" i="21"/>
  <c r="J37" i="21"/>
  <c r="AZ556" i="3"/>
  <c r="AZ545" i="3"/>
  <c r="AZ544" i="3"/>
  <c r="AZ502" i="3"/>
  <c r="AA37" i="40"/>
  <c r="S37" i="40"/>
  <c r="AC15" i="21"/>
  <c r="W15" i="21"/>
  <c r="AA19" i="37"/>
  <c r="S19" i="37"/>
  <c r="AB26" i="35"/>
  <c r="U26" i="35"/>
  <c r="AC20" i="36"/>
  <c r="W20" i="36"/>
  <c r="U20" i="36"/>
  <c r="AB20" i="36"/>
  <c r="AB33" i="37"/>
  <c r="U33" i="37"/>
  <c r="W11" i="34"/>
  <c r="AC11" i="34"/>
  <c r="U28" i="33"/>
  <c r="AB28" i="33"/>
  <c r="W12" i="34"/>
  <c r="AC12" i="34"/>
  <c r="AC14" i="34"/>
  <c r="W14" i="34"/>
  <c r="U30" i="34"/>
  <c r="AB30" i="34"/>
  <c r="U32" i="34"/>
  <c r="AB32" i="34"/>
  <c r="AB46" i="34"/>
  <c r="U46" i="34"/>
  <c r="S13" i="35"/>
  <c r="AA13" i="35"/>
  <c r="AA25" i="35"/>
  <c r="S25" i="35"/>
  <c r="AC35" i="35"/>
  <c r="W35" i="35"/>
  <c r="AC23" i="36"/>
  <c r="W23" i="36"/>
  <c r="W21" i="40"/>
  <c r="AC21" i="40"/>
  <c r="F29" i="39"/>
  <c r="AZ492" i="3"/>
  <c r="AZ551" i="3"/>
  <c r="AC14" i="21"/>
  <c r="W14" i="21"/>
  <c r="BQ5" i="3"/>
  <c r="F28" i="6" s="1"/>
  <c r="BL13" i="3"/>
  <c r="H27" i="21"/>
  <c r="J27" i="21"/>
  <c r="F27" i="21"/>
  <c r="J45" i="21"/>
  <c r="F45" i="21"/>
  <c r="H45" i="21"/>
  <c r="U27" i="33"/>
  <c r="AB27" i="33"/>
  <c r="S28" i="34"/>
  <c r="AA28" i="34"/>
  <c r="AC24" i="35"/>
  <c r="W24" i="35"/>
  <c r="U27" i="35"/>
  <c r="AB27" i="35"/>
  <c r="AA10" i="36"/>
  <c r="S10" i="36"/>
  <c r="J12" i="36"/>
  <c r="F12" i="36"/>
  <c r="AC39" i="37"/>
  <c r="W39" i="37"/>
  <c r="BA569" i="3"/>
  <c r="AZ569" i="3" s="1"/>
  <c r="BA566" i="3"/>
  <c r="AZ566" i="3" s="1"/>
  <c r="BA565" i="3"/>
  <c r="AZ565" i="3" s="1"/>
  <c r="BL561" i="3"/>
  <c r="AZ561" i="3" s="1"/>
  <c r="BA558" i="3"/>
  <c r="AZ558" i="3" s="1"/>
  <c r="BL555" i="3"/>
  <c r="AZ555" i="3" s="1"/>
  <c r="BA546" i="3"/>
  <c r="AZ546" i="3" s="1"/>
  <c r="BA543" i="3"/>
  <c r="AZ543" i="3" s="1"/>
  <c r="BA536" i="3"/>
  <c r="AZ536" i="3" s="1"/>
  <c r="BL535" i="3"/>
  <c r="AZ535" i="3" s="1"/>
  <c r="BA528" i="3"/>
  <c r="AZ528" i="3" s="1"/>
  <c r="BA521" i="3"/>
  <c r="AZ521" i="3" s="1"/>
  <c r="BA520" i="3"/>
  <c r="AZ520" i="3" s="1"/>
  <c r="BL503" i="3"/>
  <c r="AZ503" i="3" s="1"/>
  <c r="BL501" i="3"/>
  <c r="AZ501" i="3" s="1"/>
  <c r="BA493" i="3"/>
  <c r="AZ493" i="3" s="1"/>
  <c r="BL485" i="3"/>
  <c r="AZ485" i="3" s="1"/>
  <c r="BA484" i="3"/>
  <c r="AZ484" i="3" s="1"/>
  <c r="BL483" i="3"/>
  <c r="AZ483" i="3" s="1"/>
  <c r="F61" i="15"/>
  <c r="W40" i="40"/>
  <c r="U41" i="40"/>
  <c r="H53" i="46"/>
  <c r="H55" i="46"/>
  <c r="F66" i="9"/>
  <c r="P72" i="9" s="1"/>
  <c r="F70" i="9"/>
  <c r="F27" i="43"/>
  <c r="C27" i="43" s="1"/>
  <c r="F71" i="9"/>
  <c r="AC38" i="39"/>
  <c r="S32" i="40"/>
  <c r="AC46" i="39"/>
  <c r="H51" i="46"/>
  <c r="M18" i="15"/>
  <c r="S27" i="39"/>
  <c r="U35" i="40"/>
  <c r="S35" i="40"/>
  <c r="W33" i="40"/>
  <c r="S10" i="33"/>
  <c r="U19" i="33"/>
  <c r="AB34" i="33"/>
  <c r="W43" i="33"/>
  <c r="U36" i="33"/>
  <c r="S35" i="33"/>
  <c r="U19" i="34"/>
  <c r="AC40" i="34"/>
  <c r="AC35" i="34"/>
  <c r="AA11" i="37"/>
  <c r="W12" i="37"/>
  <c r="S16" i="35"/>
  <c r="AC36" i="33"/>
  <c r="AC15" i="33"/>
  <c r="AB46" i="39"/>
  <c r="U30" i="40"/>
  <c r="AC16" i="40"/>
  <c r="U16" i="40"/>
  <c r="W32" i="33"/>
  <c r="AB38" i="34"/>
  <c r="AB23" i="35"/>
  <c r="AB32" i="40"/>
  <c r="W35" i="40"/>
  <c r="AB14" i="40"/>
  <c r="H29" i="39"/>
  <c r="AB10" i="35"/>
  <c r="S28" i="33"/>
  <c r="J46" i="34"/>
  <c r="F46" i="34"/>
  <c r="J32" i="34"/>
  <c r="F32" i="34"/>
  <c r="J30" i="34"/>
  <c r="F30" i="34"/>
  <c r="H14" i="34"/>
  <c r="F14" i="34"/>
  <c r="F12" i="34"/>
  <c r="H12" i="34"/>
  <c r="F29" i="33"/>
  <c r="H29" i="33"/>
  <c r="H13" i="33"/>
  <c r="J13" i="33"/>
  <c r="J17" i="21"/>
  <c r="H17" i="21"/>
  <c r="F17" i="21"/>
  <c r="J32" i="21"/>
  <c r="W42" i="33"/>
  <c r="AB17" i="37"/>
  <c r="AC26" i="36"/>
  <c r="U43" i="21"/>
  <c r="AB15" i="37"/>
  <c r="U12" i="37"/>
  <c r="AA23" i="37"/>
  <c r="AC45" i="33"/>
  <c r="AB43" i="33"/>
  <c r="AZ516" i="3"/>
  <c r="S19" i="21"/>
  <c r="S46" i="33"/>
  <c r="H35" i="35"/>
  <c r="H13" i="35"/>
  <c r="F45" i="33"/>
  <c r="J28" i="33"/>
  <c r="U44" i="21"/>
  <c r="AB44" i="21"/>
  <c r="W38" i="34"/>
  <c r="F11" i="21"/>
  <c r="W8" i="21"/>
  <c r="S31" i="35"/>
  <c r="U30" i="37"/>
  <c r="BL572" i="3"/>
  <c r="BA572" i="3"/>
  <c r="BA570" i="3"/>
  <c r="AZ570" i="3" s="1"/>
  <c r="BI5" i="3"/>
  <c r="BG5" i="3"/>
  <c r="H13" i="21"/>
  <c r="J13" i="21"/>
  <c r="F13" i="21"/>
  <c r="J29" i="21"/>
  <c r="H29" i="21"/>
  <c r="F29" i="21"/>
  <c r="E66" i="21"/>
  <c r="F66" i="21" s="1"/>
  <c r="G66" i="21" s="1"/>
  <c r="H66" i="21" s="1"/>
  <c r="I66" i="21" s="1"/>
  <c r="F10" i="21"/>
  <c r="F69" i="21"/>
  <c r="G69" i="21" s="1"/>
  <c r="H69" i="21" s="1"/>
  <c r="I69" i="21" s="1"/>
  <c r="J69" i="21" s="1"/>
  <c r="K69" i="21" s="1"/>
  <c r="L69" i="21" s="1"/>
  <c r="M69" i="21" s="1"/>
  <c r="W41" i="33"/>
  <c r="AC39" i="34"/>
  <c r="W39" i="34"/>
  <c r="U40" i="34"/>
  <c r="AB40" i="34"/>
  <c r="AC31" i="35"/>
  <c r="AA34" i="35"/>
  <c r="S34" i="35"/>
  <c r="F31" i="33"/>
  <c r="J31" i="33"/>
  <c r="H31" i="33"/>
  <c r="U45" i="33"/>
  <c r="W27" i="35"/>
  <c r="AC27" i="35"/>
  <c r="H12" i="36"/>
  <c r="F23" i="36"/>
  <c r="AB26" i="36"/>
  <c r="U26" i="36"/>
  <c r="AB36" i="37"/>
  <c r="U36" i="37"/>
  <c r="H25" i="37"/>
  <c r="J25" i="37"/>
  <c r="F25" i="37"/>
  <c r="J38" i="40"/>
  <c r="G115" i="40"/>
  <c r="H115" i="40" s="1"/>
  <c r="I115" i="40" s="1"/>
  <c r="J115" i="40" s="1"/>
  <c r="K115" i="40" s="1"/>
  <c r="L115" i="40" s="1"/>
  <c r="M115" i="40" s="1"/>
  <c r="U30" i="36"/>
  <c r="AB30" i="36"/>
  <c r="G569" i="3"/>
  <c r="G564" i="3"/>
  <c r="BL563" i="3"/>
  <c r="AZ563" i="3" s="1"/>
  <c r="BA554" i="3"/>
  <c r="AZ554" i="3" s="1"/>
  <c r="BL553" i="3"/>
  <c r="AZ553" i="3" s="1"/>
  <c r="BL541" i="3"/>
  <c r="AZ541" i="3" s="1"/>
  <c r="G535" i="3"/>
  <c r="G528" i="3"/>
  <c r="BL525" i="3"/>
  <c r="AZ525" i="3" s="1"/>
  <c r="G520" i="3"/>
  <c r="BL519" i="3"/>
  <c r="AZ519" i="3" s="1"/>
  <c r="G511" i="3"/>
  <c r="BA508" i="3"/>
  <c r="AZ508" i="3" s="1"/>
  <c r="BA505" i="3"/>
  <c r="AZ505" i="3" s="1"/>
  <c r="G500" i="3"/>
  <c r="BA498" i="3"/>
  <c r="AZ498" i="3" s="1"/>
  <c r="G490" i="3"/>
  <c r="BA487" i="3"/>
  <c r="AZ487" i="3" s="1"/>
  <c r="G482" i="3"/>
  <c r="AZ392" i="3"/>
  <c r="AZ462" i="3"/>
  <c r="G7" i="21"/>
  <c r="H7" i="21" s="1"/>
  <c r="I7" i="21"/>
  <c r="J7" i="21" s="1"/>
  <c r="E7" i="21"/>
  <c r="F7" i="21" s="1"/>
  <c r="AZ395" i="3"/>
  <c r="AZ405" i="3"/>
  <c r="AZ411" i="3"/>
  <c r="AZ424" i="3"/>
  <c r="AZ443" i="3"/>
  <c r="AZ447" i="3"/>
  <c r="AZ473" i="3"/>
  <c r="AZ211" i="3"/>
  <c r="AZ216" i="3"/>
  <c r="AZ224" i="3"/>
  <c r="AZ243" i="3"/>
  <c r="AZ248" i="3"/>
  <c r="AZ256" i="3"/>
  <c r="AZ272" i="3"/>
  <c r="AZ280" i="3"/>
  <c r="AZ296" i="3"/>
  <c r="AZ125" i="3"/>
  <c r="AZ128" i="3"/>
  <c r="AZ141" i="3"/>
  <c r="AZ144" i="3"/>
  <c r="AZ155" i="3"/>
  <c r="AZ168" i="3"/>
  <c r="AZ171" i="3"/>
  <c r="AZ25" i="3"/>
  <c r="AZ30" i="3"/>
  <c r="AZ36" i="3"/>
  <c r="AZ42" i="3"/>
  <c r="AZ44" i="3"/>
  <c r="AZ62" i="3"/>
  <c r="AZ65" i="3"/>
  <c r="AZ68" i="3"/>
  <c r="AZ75" i="3"/>
  <c r="AZ81" i="3"/>
  <c r="AZ87" i="3"/>
  <c r="AZ95" i="3"/>
  <c r="AZ108" i="3"/>
  <c r="S11" i="1"/>
  <c r="K11" i="1"/>
  <c r="M11" i="1" s="1"/>
  <c r="S10" i="1"/>
  <c r="K10" i="1"/>
  <c r="M10" i="1" s="1"/>
  <c r="S8" i="1"/>
  <c r="K8" i="1"/>
  <c r="M8" i="1" s="1"/>
  <c r="C15" i="12"/>
  <c r="C29" i="59"/>
  <c r="D29" i="59" s="1"/>
  <c r="D28" i="59"/>
  <c r="C33" i="59"/>
  <c r="D32" i="59"/>
  <c r="D37" i="59"/>
  <c r="C38" i="59"/>
  <c r="C41" i="59"/>
  <c r="D40" i="59"/>
  <c r="C46" i="59"/>
  <c r="D45" i="59"/>
  <c r="F3" i="35"/>
  <c r="R10" i="1"/>
  <c r="S9" i="1"/>
  <c r="K9" i="1"/>
  <c r="M9" i="1" s="1"/>
  <c r="S13" i="1"/>
  <c r="K13" i="1"/>
  <c r="M13" i="1" s="1"/>
  <c r="S12" i="1"/>
  <c r="K12" i="1"/>
  <c r="M12" i="1" s="1"/>
  <c r="H27" i="40"/>
  <c r="F96" i="40"/>
  <c r="G96" i="40" s="1"/>
  <c r="C18" i="59"/>
  <c r="D17" i="59"/>
  <c r="B54" i="46"/>
  <c r="C27" i="40"/>
  <c r="S21" i="34"/>
  <c r="S18" i="35"/>
  <c r="E12" i="59"/>
  <c r="E13" i="59" s="1"/>
  <c r="E14" i="59" s="1"/>
  <c r="U14" i="59" s="1"/>
  <c r="AB16" i="59"/>
  <c r="D24" i="59"/>
  <c r="S10" i="59"/>
  <c r="AD12" i="46"/>
  <c r="AH12" i="46"/>
  <c r="K17" i="4"/>
  <c r="A22" i="51" s="1"/>
  <c r="B16" i="63" s="1"/>
  <c r="E5" i="6"/>
  <c r="D27" i="68"/>
  <c r="E6" i="68"/>
  <c r="P6" i="68" s="1"/>
  <c r="C36" i="40"/>
  <c r="F45" i="44"/>
  <c r="F6" i="15"/>
  <c r="F39" i="44"/>
  <c r="I4" i="65"/>
  <c r="F9" i="15"/>
  <c r="M11" i="44"/>
  <c r="F26" i="15"/>
  <c r="F38" i="44"/>
  <c r="J3" i="65"/>
  <c r="F37" i="15"/>
  <c r="M24" i="44"/>
  <c r="F38" i="15"/>
  <c r="F10" i="44"/>
  <c r="F8" i="15"/>
  <c r="J17" i="44"/>
  <c r="F43" i="44"/>
  <c r="M6" i="15"/>
  <c r="M29" i="44"/>
  <c r="F40" i="15"/>
  <c r="F28" i="44"/>
  <c r="F18" i="44"/>
  <c r="F36" i="15"/>
  <c r="F40" i="44"/>
  <c r="M9" i="15"/>
  <c r="F46" i="44"/>
  <c r="I5" i="65"/>
  <c r="L48" i="15"/>
  <c r="L48" i="44"/>
  <c r="F16" i="15"/>
  <c r="M28" i="44"/>
  <c r="J6" i="65"/>
  <c r="M10" i="44"/>
  <c r="F15" i="44"/>
  <c r="F13" i="15"/>
  <c r="M25" i="44"/>
  <c r="M8" i="15"/>
  <c r="M30" i="44"/>
  <c r="F11" i="44"/>
  <c r="F42" i="15"/>
  <c r="I1" i="65" l="1"/>
  <c r="E23" i="68"/>
  <c r="S38" i="40"/>
  <c r="AA38" i="40"/>
  <c r="M43" i="9"/>
  <c r="E54" i="39"/>
  <c r="F54" i="39" s="1"/>
  <c r="E53" i="39"/>
  <c r="F53" i="39" s="1"/>
  <c r="F64" i="15"/>
  <c r="F67" i="15"/>
  <c r="F50" i="15"/>
  <c r="J1" i="65"/>
  <c r="E20" i="46"/>
  <c r="L59" i="44"/>
  <c r="L60" i="44"/>
  <c r="L56" i="15"/>
  <c r="J59" i="15"/>
  <c r="L57" i="15"/>
  <c r="I54" i="15"/>
  <c r="L60" i="15"/>
  <c r="J57" i="15"/>
  <c r="J55" i="15" s="1"/>
  <c r="J58" i="15" s="1"/>
  <c r="Q51" i="15" s="1"/>
  <c r="L58" i="15"/>
  <c r="J53" i="15"/>
  <c r="J60" i="15"/>
  <c r="Q49" i="15" s="1"/>
  <c r="F63" i="15"/>
  <c r="F65" i="15"/>
  <c r="C27" i="15"/>
  <c r="Q73" i="44"/>
  <c r="C29" i="44"/>
  <c r="I13" i="3"/>
  <c r="F19" i="6" s="1"/>
  <c r="D18" i="59"/>
  <c r="T18" i="59"/>
  <c r="AB27" i="40"/>
  <c r="U27" i="40"/>
  <c r="D21" i="12"/>
  <c r="C21" i="12" s="1"/>
  <c r="D12" i="11"/>
  <c r="C12" i="11" s="1"/>
  <c r="T46" i="59"/>
  <c r="D46" i="59"/>
  <c r="C42" i="59"/>
  <c r="D41" i="59"/>
  <c r="D33" i="59"/>
  <c r="C34" i="59"/>
  <c r="O8" i="1"/>
  <c r="P8" i="1" s="1"/>
  <c r="O10" i="1"/>
  <c r="P10" i="1" s="1"/>
  <c r="O11" i="1"/>
  <c r="P11" i="1" s="1"/>
  <c r="W7" i="21"/>
  <c r="AC7" i="21"/>
  <c r="AA25" i="37"/>
  <c r="S25" i="37"/>
  <c r="U25" i="37"/>
  <c r="AB25" i="37"/>
  <c r="U12" i="36"/>
  <c r="AB12" i="36"/>
  <c r="U31" i="33"/>
  <c r="AB31" i="33"/>
  <c r="S31" i="33"/>
  <c r="AA31" i="33"/>
  <c r="S10" i="21"/>
  <c r="AA10" i="21"/>
  <c r="AA29" i="21"/>
  <c r="S29" i="21"/>
  <c r="AC29" i="21"/>
  <c r="W29" i="21"/>
  <c r="AC13" i="21"/>
  <c r="W13" i="21"/>
  <c r="AZ572" i="3"/>
  <c r="S45" i="33"/>
  <c r="AA45" i="33"/>
  <c r="U35" i="35"/>
  <c r="AB35" i="35"/>
  <c r="S17" i="21"/>
  <c r="AA17" i="21"/>
  <c r="W17" i="21"/>
  <c r="AC17" i="21"/>
  <c r="AB13" i="33"/>
  <c r="U13" i="33"/>
  <c r="S29" i="33"/>
  <c r="AA29" i="33"/>
  <c r="S12" i="34"/>
  <c r="AA12" i="34"/>
  <c r="AB14" i="34"/>
  <c r="U14" i="34"/>
  <c r="AC30" i="34"/>
  <c r="W30" i="34"/>
  <c r="AC32" i="34"/>
  <c r="W32" i="34"/>
  <c r="W46" i="34"/>
  <c r="AC46" i="34"/>
  <c r="AA12" i="36"/>
  <c r="S12" i="36"/>
  <c r="U45" i="21"/>
  <c r="AB45" i="21"/>
  <c r="W45" i="21"/>
  <c r="AC45" i="21"/>
  <c r="AC27" i="21"/>
  <c r="W27" i="21"/>
  <c r="BL5" i="3"/>
  <c r="AA29" i="39"/>
  <c r="S29" i="39"/>
  <c r="U37" i="21"/>
  <c r="AB37" i="21"/>
  <c r="E52" i="37"/>
  <c r="E67" i="40"/>
  <c r="F65" i="40"/>
  <c r="M20" i="46"/>
  <c r="C19" i="46" s="1"/>
  <c r="AA7" i="35"/>
  <c r="R38" i="35" s="1"/>
  <c r="S7" i="35"/>
  <c r="AB7" i="33"/>
  <c r="T48" i="33" s="1"/>
  <c r="G48" i="33" s="1"/>
  <c r="U7" i="33"/>
  <c r="AA7" i="34"/>
  <c r="R49" i="34" s="1"/>
  <c r="S7" i="34"/>
  <c r="F70" i="39"/>
  <c r="E72" i="39"/>
  <c r="AC7" i="35"/>
  <c r="V38" i="35" s="1"/>
  <c r="I38" i="35" s="1"/>
  <c r="W7" i="35"/>
  <c r="AA7" i="36"/>
  <c r="R36" i="36" s="1"/>
  <c r="S7" i="36"/>
  <c r="AB7" i="34"/>
  <c r="T49" i="34" s="1"/>
  <c r="G49" i="34" s="1"/>
  <c r="U7" i="34"/>
  <c r="F11" i="15"/>
  <c r="C52" i="15" s="1"/>
  <c r="M11" i="15"/>
  <c r="J10" i="15" s="1"/>
  <c r="M13" i="44"/>
  <c r="J12" i="44" s="1"/>
  <c r="F13" i="44"/>
  <c r="C12" i="44" s="1"/>
  <c r="F36" i="40"/>
  <c r="H36" i="40"/>
  <c r="J36" i="40"/>
  <c r="O12" i="1"/>
  <c r="P12" i="1" s="1"/>
  <c r="O13" i="1"/>
  <c r="P13" i="1" s="1"/>
  <c r="O9" i="1"/>
  <c r="P9" i="1" s="1"/>
  <c r="D38" i="59"/>
  <c r="T38" i="59"/>
  <c r="AA7" i="21"/>
  <c r="S7" i="21"/>
  <c r="AB7" i="21"/>
  <c r="U7" i="21"/>
  <c r="W38" i="40"/>
  <c r="AC38" i="40"/>
  <c r="AC25" i="37"/>
  <c r="W25" i="37"/>
  <c r="AA23" i="36"/>
  <c r="S23" i="36"/>
  <c r="AC31" i="33"/>
  <c r="W31" i="33"/>
  <c r="U29" i="21"/>
  <c r="AB29" i="21"/>
  <c r="AA13" i="21"/>
  <c r="S13" i="21"/>
  <c r="U13" i="21"/>
  <c r="AB13" i="21"/>
  <c r="S11" i="21"/>
  <c r="AA11" i="21"/>
  <c r="W28" i="33"/>
  <c r="AC28" i="33"/>
  <c r="U13" i="35"/>
  <c r="AB13" i="35"/>
  <c r="AC32" i="21"/>
  <c r="W32" i="21"/>
  <c r="U17" i="21"/>
  <c r="AB17" i="21"/>
  <c r="AC13" i="33"/>
  <c r="W13" i="33"/>
  <c r="AB29" i="33"/>
  <c r="U29" i="33"/>
  <c r="AB12" i="34"/>
  <c r="U12" i="34"/>
  <c r="S14" i="34"/>
  <c r="AA14" i="34"/>
  <c r="S30" i="34"/>
  <c r="AA30" i="34"/>
  <c r="AA32" i="34"/>
  <c r="S32" i="34"/>
  <c r="AA46" i="34"/>
  <c r="S46" i="34"/>
  <c r="AB29" i="39"/>
  <c r="U29" i="39"/>
  <c r="AC12" i="36"/>
  <c r="W12" i="36"/>
  <c r="S45" i="21"/>
  <c r="AA45" i="21"/>
  <c r="AA27" i="21"/>
  <c r="S27" i="21"/>
  <c r="AB27" i="21"/>
  <c r="U27" i="21"/>
  <c r="F30" i="6"/>
  <c r="E28" i="6"/>
  <c r="W37" i="21"/>
  <c r="AC37" i="21"/>
  <c r="S37" i="21"/>
  <c r="AA37" i="21"/>
  <c r="U7" i="35"/>
  <c r="AB7" i="35"/>
  <c r="T38" i="35" s="1"/>
  <c r="G38" i="35" s="1"/>
  <c r="AA7" i="33"/>
  <c r="R48" i="33" s="1"/>
  <c r="S7" i="33"/>
  <c r="W7" i="33"/>
  <c r="AC7" i="33"/>
  <c r="V48" i="33" s="1"/>
  <c r="I48" i="33" s="1"/>
  <c r="AB7" i="36"/>
  <c r="T36" i="36" s="1"/>
  <c r="G36" i="36" s="1"/>
  <c r="U7" i="36"/>
  <c r="W7" i="34"/>
  <c r="AC7" i="34"/>
  <c r="V49" i="34" s="1"/>
  <c r="I49" i="34" s="1"/>
  <c r="B58" i="39"/>
  <c r="B59" i="39"/>
  <c r="F59" i="39" s="1"/>
  <c r="B60" i="39"/>
  <c r="F60" i="39" s="1"/>
  <c r="B61" i="39"/>
  <c r="F61" i="39" s="1"/>
  <c r="B62" i="39"/>
  <c r="F62" i="39" s="1"/>
  <c r="B63" i="39"/>
  <c r="B64" i="39"/>
  <c r="B65" i="39"/>
  <c r="B66" i="39"/>
  <c r="B67" i="39"/>
  <c r="AC7" i="36"/>
  <c r="V36" i="36" s="1"/>
  <c r="I36" i="36" s="1"/>
  <c r="W7" i="36"/>
  <c r="Q75" i="15"/>
  <c r="Q62" i="15"/>
  <c r="F1" i="44"/>
  <c r="Q54" i="44"/>
  <c r="E2" i="65"/>
  <c r="E3" i="65"/>
  <c r="B40" i="1" l="1"/>
  <c r="F24" i="15" s="1"/>
  <c r="C24" i="15" s="1"/>
  <c r="L46" i="15"/>
  <c r="F17" i="11"/>
  <c r="C17" i="11" s="1"/>
  <c r="I40" i="36"/>
  <c r="J40" i="36" s="1"/>
  <c r="I53" i="34"/>
  <c r="J53" i="34" s="1"/>
  <c r="I52" i="33"/>
  <c r="J52" i="33" s="1"/>
  <c r="AB36" i="40"/>
  <c r="U36" i="40"/>
  <c r="C34" i="46"/>
  <c r="C33" i="46"/>
  <c r="C36" i="46"/>
  <c r="C35" i="46"/>
  <c r="C38" i="46"/>
  <c r="T14" i="46"/>
  <c r="V14" i="46" s="1"/>
  <c r="T11" i="46"/>
  <c r="V11" i="46" s="1"/>
  <c r="C37" i="46"/>
  <c r="T12" i="46"/>
  <c r="V12" i="46" s="1"/>
  <c r="T9" i="46"/>
  <c r="V9" i="46" s="1"/>
  <c r="T10" i="46"/>
  <c r="V10" i="46" s="1"/>
  <c r="T15" i="46"/>
  <c r="V15" i="46" s="1"/>
  <c r="T8" i="46"/>
  <c r="V8" i="46" s="1"/>
  <c r="T16" i="46"/>
  <c r="V16" i="46" s="1"/>
  <c r="T13" i="46"/>
  <c r="V13" i="46" s="1"/>
  <c r="C39" i="46"/>
  <c r="E39" i="46" s="1"/>
  <c r="D34" i="59"/>
  <c r="T34" i="59"/>
  <c r="BB13" i="3"/>
  <c r="H13" i="3"/>
  <c r="E19" i="6"/>
  <c r="E20" i="6"/>
  <c r="I5" i="3"/>
  <c r="F1" i="15"/>
  <c r="Q53" i="15"/>
  <c r="Q58" i="15"/>
  <c r="Q67" i="15"/>
  <c r="Q76" i="44"/>
  <c r="Q63" i="44"/>
  <c r="N17" i="46"/>
  <c r="M17" i="46"/>
  <c r="P17" i="46"/>
  <c r="O17" i="46"/>
  <c r="G40" i="36"/>
  <c r="H40" i="36" s="1"/>
  <c r="G41" i="36"/>
  <c r="H41" i="36" s="1"/>
  <c r="E48" i="33"/>
  <c r="R49" i="33"/>
  <c r="G42" i="35"/>
  <c r="H42" i="35" s="1"/>
  <c r="G43" i="35"/>
  <c r="H43" i="35" s="1"/>
  <c r="K14" i="1"/>
  <c r="M14" i="1" s="1"/>
  <c r="E30" i="6"/>
  <c r="AC36" i="40"/>
  <c r="W36" i="40"/>
  <c r="AA36" i="40"/>
  <c r="S36" i="40"/>
  <c r="G53" i="34"/>
  <c r="H53" i="34" s="1"/>
  <c r="G54" i="34"/>
  <c r="H54" i="34" s="1"/>
  <c r="E36" i="36"/>
  <c r="R37" i="36"/>
  <c r="I42" i="35"/>
  <c r="J42" i="35" s="1"/>
  <c r="G70" i="39"/>
  <c r="F72" i="39"/>
  <c r="E49" i="34"/>
  <c r="R50" i="34"/>
  <c r="G52" i="33"/>
  <c r="H52" i="33" s="1"/>
  <c r="G53" i="33"/>
  <c r="H53" i="33" s="1"/>
  <c r="E38" i="35"/>
  <c r="R39" i="35"/>
  <c r="G65" i="40"/>
  <c r="F67" i="40"/>
  <c r="F52" i="37"/>
  <c r="D42" i="59"/>
  <c r="T42" i="59"/>
  <c r="Q61" i="15"/>
  <c r="Q74" i="15"/>
  <c r="Q62" i="44"/>
  <c r="Q75" i="44"/>
  <c r="AE6" i="1"/>
  <c r="U8" i="68" l="1"/>
  <c r="F26" i="44"/>
  <c r="C26" i="44" s="1"/>
  <c r="F26" i="12"/>
  <c r="C27" i="12" s="1"/>
  <c r="D26" i="12" s="1"/>
  <c r="C32" i="12" s="1"/>
  <c r="D30" i="12" s="1"/>
  <c r="F21" i="43"/>
  <c r="C23" i="43" s="1"/>
  <c r="D21" i="43" s="1"/>
  <c r="G52" i="37"/>
  <c r="H65" i="40"/>
  <c r="G67" i="40"/>
  <c r="E43" i="35"/>
  <c r="F43" i="35" s="1"/>
  <c r="E42" i="35"/>
  <c r="F42" i="35" s="1"/>
  <c r="E54" i="34"/>
  <c r="F54" i="34" s="1"/>
  <c r="E53" i="34"/>
  <c r="F53" i="34" s="1"/>
  <c r="G72" i="39"/>
  <c r="H70" i="39"/>
  <c r="E40" i="36"/>
  <c r="F40" i="36" s="1"/>
  <c r="E41" i="36"/>
  <c r="F41" i="36" s="1"/>
  <c r="O14" i="1"/>
  <c r="P14" i="1" s="1"/>
  <c r="E53" i="33"/>
  <c r="F53" i="33" s="1"/>
  <c r="E52" i="33"/>
  <c r="F52" i="33" s="1"/>
  <c r="I4" i="6"/>
  <c r="G3" i="46" s="1"/>
  <c r="C9" i="12"/>
  <c r="K6" i="1"/>
  <c r="BA13" i="3"/>
  <c r="BB5" i="3"/>
  <c r="E35" i="46"/>
  <c r="G35" i="46"/>
  <c r="I35" i="46" s="1"/>
  <c r="E36" i="46"/>
  <c r="G36" i="46"/>
  <c r="I36" i="46" s="1"/>
  <c r="I53" i="33"/>
  <c r="J53" i="33" s="1"/>
  <c r="I54" i="34"/>
  <c r="J54" i="34" s="1"/>
  <c r="C38" i="35"/>
  <c r="C39" i="35"/>
  <c r="B3" i="35" s="1"/>
  <c r="B2" i="35" s="1"/>
  <c r="C49" i="34"/>
  <c r="C50" i="34"/>
  <c r="B3" i="34" s="1"/>
  <c r="B2" i="34" s="1"/>
  <c r="I43" i="35"/>
  <c r="J43" i="35" s="1"/>
  <c r="C37" i="36"/>
  <c r="B3" i="36" s="1"/>
  <c r="B2" i="36" s="1"/>
  <c r="C36" i="36"/>
  <c r="C49" i="33"/>
  <c r="B3" i="33" s="1"/>
  <c r="B2" i="33" s="1"/>
  <c r="C48" i="33"/>
  <c r="D9" i="12"/>
  <c r="K7" i="1"/>
  <c r="G13" i="3"/>
  <c r="H5" i="3"/>
  <c r="G37" i="46"/>
  <c r="I37" i="46" s="1"/>
  <c r="E37" i="46"/>
  <c r="E38" i="46"/>
  <c r="G38" i="46"/>
  <c r="I38" i="46" s="1"/>
  <c r="G33" i="46"/>
  <c r="I33" i="46" s="1"/>
  <c r="E33" i="46"/>
  <c r="G34" i="46"/>
  <c r="I34" i="46" s="1"/>
  <c r="E34" i="46"/>
  <c r="I41" i="36"/>
  <c r="J41" i="36" s="1"/>
  <c r="F7" i="15"/>
  <c r="M31" i="44"/>
  <c r="M29" i="15"/>
  <c r="F41" i="15"/>
  <c r="F9" i="44"/>
  <c r="F43" i="15"/>
  <c r="O7" i="68" l="1"/>
  <c r="P7" i="68" s="1"/>
  <c r="O15" i="68"/>
  <c r="P15" i="68" s="1"/>
  <c r="O21" i="68"/>
  <c r="P21" i="68" s="1"/>
  <c r="O12" i="68"/>
  <c r="P12" i="68" s="1"/>
  <c r="O18" i="68"/>
  <c r="P18" i="68" s="1"/>
  <c r="O22" i="68"/>
  <c r="P22" i="68" s="1"/>
  <c r="O13" i="68"/>
  <c r="P13" i="68" s="1"/>
  <c r="O19" i="68"/>
  <c r="P19" i="68" s="1"/>
  <c r="O10" i="68"/>
  <c r="P10" i="68" s="1"/>
  <c r="O14" i="68"/>
  <c r="P14" i="68" s="1"/>
  <c r="O20" i="68"/>
  <c r="P20" i="68" s="1"/>
  <c r="O8" i="68"/>
  <c r="P8" i="68" s="1"/>
  <c r="U7" i="68"/>
  <c r="F68" i="15"/>
  <c r="C8" i="44"/>
  <c r="C7" i="44" s="1"/>
  <c r="M9" i="44"/>
  <c r="J8" i="44" s="1"/>
  <c r="J7" i="44" s="1"/>
  <c r="M7" i="1"/>
  <c r="O7" i="1" s="1"/>
  <c r="M7" i="15"/>
  <c r="J6" i="15" s="1"/>
  <c r="J5" i="15" s="1"/>
  <c r="F49" i="15"/>
  <c r="C48" i="15" s="1"/>
  <c r="C47" i="15" s="1"/>
  <c r="C6" i="15"/>
  <c r="F70" i="15"/>
  <c r="E10" i="6"/>
  <c r="E8" i="6"/>
  <c r="E12" i="6"/>
  <c r="E14" i="6"/>
  <c r="E11" i="6"/>
  <c r="E13" i="6"/>
  <c r="E15" i="6"/>
  <c r="M6" i="1"/>
  <c r="Q16" i="1"/>
  <c r="AP16" i="1"/>
  <c r="F22" i="11" s="1"/>
  <c r="K16" i="1"/>
  <c r="H16" i="1"/>
  <c r="G16" i="1"/>
  <c r="C33" i="21"/>
  <c r="AB11" i="46"/>
  <c r="AB13" i="46" s="1"/>
  <c r="AJ11" i="46"/>
  <c r="AJ13" i="46" s="1"/>
  <c r="AF11" i="46"/>
  <c r="AF13" i="46" s="1"/>
  <c r="AG11" i="46"/>
  <c r="AG13" i="46" s="1"/>
  <c r="E22" i="46"/>
  <c r="AE11" i="46"/>
  <c r="AE13" i="46" s="1"/>
  <c r="AI11" i="46"/>
  <c r="AI13" i="46" s="1"/>
  <c r="AA11" i="46"/>
  <c r="AA13" i="46" s="1"/>
  <c r="C23" i="46"/>
  <c r="C21" i="46" s="1"/>
  <c r="AH11" i="46"/>
  <c r="AH13" i="46" s="1"/>
  <c r="AD11" i="46"/>
  <c r="AD13" i="46" s="1"/>
  <c r="Z11" i="46"/>
  <c r="Z13" i="46" s="1"/>
  <c r="F101" i="46"/>
  <c r="K101" i="46"/>
  <c r="E101" i="46"/>
  <c r="L101" i="46"/>
  <c r="B113" i="46"/>
  <c r="G101" i="46"/>
  <c r="J22" i="46"/>
  <c r="M101" i="46"/>
  <c r="Y11" i="46"/>
  <c r="Y13" i="46" s="1"/>
  <c r="H101" i="46"/>
  <c r="G22" i="46"/>
  <c r="H22" i="46"/>
  <c r="N101" i="46"/>
  <c r="F22" i="46"/>
  <c r="J101" i="46"/>
  <c r="I101" i="46"/>
  <c r="D101" i="46"/>
  <c r="N104" i="45"/>
  <c r="AC11" i="46"/>
  <c r="AC13" i="46" s="1"/>
  <c r="Z7" i="46"/>
  <c r="C101" i="46"/>
  <c r="I70" i="39"/>
  <c r="H72" i="39"/>
  <c r="H52" i="37"/>
  <c r="G5" i="3"/>
  <c r="B3" i="3" s="1"/>
  <c r="E13" i="3" s="1"/>
  <c r="AZ13" i="3"/>
  <c r="AZ5" i="3" s="1"/>
  <c r="BA5" i="3"/>
  <c r="I65" i="40"/>
  <c r="H67" i="40"/>
  <c r="C16" i="15"/>
  <c r="C18" i="44"/>
  <c r="O9" i="68" l="1"/>
  <c r="P9" i="68" s="1"/>
  <c r="O11" i="68"/>
  <c r="P11" i="68" s="1"/>
  <c r="O17" i="68"/>
  <c r="P17" i="68" s="1"/>
  <c r="O16" i="68"/>
  <c r="P16" i="68" s="1"/>
  <c r="P7" i="1"/>
  <c r="J28" i="44"/>
  <c r="J31" i="44" s="1"/>
  <c r="J26" i="44"/>
  <c r="J20" i="44"/>
  <c r="C34" i="44"/>
  <c r="C40" i="44"/>
  <c r="C107" i="46"/>
  <c r="C105" i="46"/>
  <c r="C106" i="46"/>
  <c r="C104" i="46"/>
  <c r="C103" i="46"/>
  <c r="C102" i="46"/>
  <c r="C109" i="46"/>
  <c r="H105" i="46"/>
  <c r="H109" i="46"/>
  <c r="H103" i="46"/>
  <c r="H106" i="46"/>
  <c r="H104" i="46"/>
  <c r="H102" i="46"/>
  <c r="H107" i="46"/>
  <c r="M103" i="46"/>
  <c r="M109" i="46"/>
  <c r="M104" i="46"/>
  <c r="M102" i="46"/>
  <c r="M107" i="46"/>
  <c r="M106" i="46"/>
  <c r="M105" i="46"/>
  <c r="I67" i="40"/>
  <c r="J65" i="40"/>
  <c r="E3" i="6"/>
  <c r="AY6" i="3"/>
  <c r="E571" i="3"/>
  <c r="E297"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0" i="3"/>
  <c r="AJ6" i="3"/>
  <c r="E236" i="3"/>
  <c r="E546" i="3"/>
  <c r="E474" i="3"/>
  <c r="E15" i="3"/>
  <c r="E171" i="3"/>
  <c r="E251" i="3"/>
  <c r="E354" i="3"/>
  <c r="E56" i="3"/>
  <c r="E531" i="3"/>
  <c r="E122" i="3"/>
  <c r="E495" i="3"/>
  <c r="E208" i="3"/>
  <c r="E344" i="3"/>
  <c r="E562" i="3"/>
  <c r="E366" i="3"/>
  <c r="E532" i="3"/>
  <c r="E330" i="3"/>
  <c r="E340" i="3"/>
  <c r="E350" i="3"/>
  <c r="E521" i="3"/>
  <c r="E496" i="3"/>
  <c r="E130" i="3"/>
  <c r="E352" i="3"/>
  <c r="E563" i="3"/>
  <c r="E254" i="3"/>
  <c r="E112" i="3"/>
  <c r="E341" i="3"/>
  <c r="E268" i="3"/>
  <c r="E316" i="3"/>
  <c r="E175" i="3"/>
  <c r="E318" i="3"/>
  <c r="E565" i="3"/>
  <c r="E380" i="3"/>
  <c r="E503" i="3"/>
  <c r="AO6" i="3"/>
  <c r="E395" i="3"/>
  <c r="E443" i="3"/>
  <c r="E265" i="3"/>
  <c r="E194" i="3"/>
  <c r="AM6" i="3"/>
  <c r="E78" i="3"/>
  <c r="E337" i="3"/>
  <c r="E390" i="3"/>
  <c r="E158" i="3"/>
  <c r="E296" i="3"/>
  <c r="E472" i="3"/>
  <c r="E127" i="3"/>
  <c r="E266" i="3"/>
  <c r="E215" i="3"/>
  <c r="E548" i="3"/>
  <c r="Z6" i="3"/>
  <c r="E454" i="3"/>
  <c r="AK6" i="3"/>
  <c r="E223" i="3"/>
  <c r="E205" i="3"/>
  <c r="E399" i="3"/>
  <c r="E478" i="3"/>
  <c r="E317" i="3"/>
  <c r="E357" i="3"/>
  <c r="E179" i="3"/>
  <c r="AS6" i="3"/>
  <c r="E444" i="3"/>
  <c r="E383" i="3"/>
  <c r="W6" i="3"/>
  <c r="E190" i="3"/>
  <c r="E420" i="3"/>
  <c r="E233" i="3"/>
  <c r="E203" i="3"/>
  <c r="E402" i="3"/>
  <c r="E172" i="3"/>
  <c r="E255" i="3"/>
  <c r="E417" i="3"/>
  <c r="E145" i="3"/>
  <c r="E279" i="3"/>
  <c r="E347" i="3"/>
  <c r="E400" i="3"/>
  <c r="E58" i="3"/>
  <c r="E197" i="3"/>
  <c r="E285" i="3"/>
  <c r="E61" i="3"/>
  <c r="E433" i="3"/>
  <c r="E529" i="3"/>
  <c r="E300" i="3"/>
  <c r="E379" i="3"/>
  <c r="E403" i="3"/>
  <c r="E217" i="3"/>
  <c r="E177" i="3"/>
  <c r="E307" i="3"/>
  <c r="E90" i="3"/>
  <c r="E210" i="3"/>
  <c r="E106" i="3"/>
  <c r="E169" i="3"/>
  <c r="E226" i="3"/>
  <c r="E163" i="3"/>
  <c r="E351" i="3"/>
  <c r="AL6" i="3"/>
  <c r="E368" i="3"/>
  <c r="E510" i="3"/>
  <c r="E504" i="3"/>
  <c r="E406" i="3"/>
  <c r="E244" i="3"/>
  <c r="E137" i="3"/>
  <c r="E301" i="3"/>
  <c r="E356" i="3"/>
  <c r="E86" i="3"/>
  <c r="E28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533" i="3"/>
  <c r="E37" i="3"/>
  <c r="E303" i="3"/>
  <c r="AT6" i="3"/>
  <c r="E467" i="3"/>
  <c r="E67" i="3"/>
  <c r="E214" i="3"/>
  <c r="E486" i="3"/>
  <c r="E543" i="3"/>
  <c r="E264" i="3"/>
  <c r="E369" i="3"/>
  <c r="V6" i="3"/>
  <c r="E105" i="3"/>
  <c r="AG6" i="3"/>
  <c r="E505" i="3"/>
  <c r="E419" i="3"/>
  <c r="E302" i="3"/>
  <c r="E386" i="3"/>
  <c r="E287" i="3"/>
  <c r="E188" i="3"/>
  <c r="E306" i="3"/>
  <c r="E180" i="3"/>
  <c r="E551" i="3"/>
  <c r="E246" i="3"/>
  <c r="E385" i="3"/>
  <c r="E95" i="3"/>
  <c r="E498" i="3"/>
  <c r="E298" i="3"/>
  <c r="E361" i="3"/>
  <c r="E315" i="3"/>
  <c r="E323" i="3"/>
  <c r="E159" i="3"/>
  <c r="E501" i="3"/>
  <c r="E384" i="3"/>
  <c r="E310" i="3"/>
  <c r="E487" i="3"/>
  <c r="AB6" i="3"/>
  <c r="S6" i="3"/>
  <c r="E377" i="3"/>
  <c r="E358" i="3"/>
  <c r="E20" i="3"/>
  <c r="E413" i="3"/>
  <c r="E68" i="3"/>
  <c r="E135" i="3"/>
  <c r="E147" i="3"/>
  <c r="E22" i="3"/>
  <c r="E439" i="3"/>
  <c r="E459" i="3"/>
  <c r="E117" i="3"/>
  <c r="E231" i="3"/>
  <c r="E470" i="3"/>
  <c r="E349" i="3"/>
  <c r="E149" i="3"/>
  <c r="E295" i="3"/>
  <c r="E249" i="3"/>
  <c r="E89" i="3"/>
  <c r="E549" i="3"/>
  <c r="E201" i="3"/>
  <c r="E460" i="3"/>
  <c r="E170" i="3"/>
  <c r="I3" i="6"/>
  <c r="E213" i="3"/>
  <c r="E536" i="3"/>
  <c r="E397" i="3"/>
  <c r="E462" i="3"/>
  <c r="E47" i="3"/>
  <c r="E545" i="3"/>
  <c r="E184" i="3"/>
  <c r="E473" i="3"/>
  <c r="N6"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335" i="3"/>
  <c r="E518" i="3"/>
  <c r="E167" i="3"/>
  <c r="E515" i="3"/>
  <c r="E494" i="3"/>
  <c r="E461" i="3"/>
  <c r="E328" i="3"/>
  <c r="E155" i="3"/>
  <c r="E346" i="3"/>
  <c r="E541" i="3"/>
  <c r="E557" i="3"/>
  <c r="E411" i="3"/>
  <c r="E156" i="3"/>
  <c r="E49" i="3"/>
  <c r="E193" i="3"/>
  <c r="E104" i="3"/>
  <c r="E534" i="3"/>
  <c r="AD6" i="3"/>
  <c r="E327" i="3"/>
  <c r="E200" i="3"/>
  <c r="E389" i="3"/>
  <c r="E143" i="3"/>
  <c r="E367" i="3"/>
  <c r="E80" i="3"/>
  <c r="E141" i="3"/>
  <c r="E34" i="3"/>
  <c r="E550" i="3"/>
  <c r="E560" i="3"/>
  <c r="E261" i="3"/>
  <c r="E107" i="3"/>
  <c r="E393" i="3"/>
  <c r="E480" i="3"/>
  <c r="E517" i="3"/>
  <c r="AQ6" i="3"/>
  <c r="E235" i="3"/>
  <c r="E120" i="3"/>
  <c r="E555" i="3"/>
  <c r="E499" i="3"/>
  <c r="E173" i="3"/>
  <c r="E260" i="3"/>
  <c r="E153" i="3"/>
  <c r="E14" i="3"/>
  <c r="E378" i="3"/>
  <c r="E342" i="3"/>
  <c r="E572" i="3"/>
  <c r="E227" i="3"/>
  <c r="E71" i="3"/>
  <c r="E382" i="3"/>
  <c r="E481" i="3"/>
  <c r="E23" i="3"/>
  <c r="E280" i="3"/>
  <c r="E270" i="3"/>
  <c r="E157" i="3"/>
  <c r="E161" i="3"/>
  <c r="E492" i="3"/>
  <c r="E311" i="3"/>
  <c r="E424" i="3"/>
  <c r="E164" i="3"/>
  <c r="E262" i="3"/>
  <c r="E274" i="3"/>
  <c r="E547" i="3"/>
  <c r="E33" i="3"/>
  <c r="E119" i="3"/>
  <c r="E97" i="3"/>
  <c r="E232" i="3"/>
  <c r="E507" i="3"/>
  <c r="L6" i="3"/>
  <c r="E116" i="3"/>
  <c r="E465" i="3"/>
  <c r="E243" i="3"/>
  <c r="E448" i="3"/>
  <c r="E121" i="3"/>
  <c r="E123" i="3"/>
  <c r="E76" i="3"/>
  <c r="E271" i="3"/>
  <c r="E493" i="3"/>
  <c r="E81" i="3"/>
  <c r="E524" i="3"/>
  <c r="E212" i="3"/>
  <c r="E182" i="3"/>
  <c r="E312" i="3"/>
  <c r="E512" i="3"/>
  <c r="E567" i="3"/>
  <c r="E26" i="3"/>
  <c r="E17" i="3"/>
  <c r="E509" i="3"/>
  <c r="E561" i="3"/>
  <c r="E114" i="3"/>
  <c r="E93" i="3"/>
  <c r="E55" i="3"/>
  <c r="E570" i="3"/>
  <c r="E409" i="3"/>
  <c r="E131" i="3"/>
  <c r="E304" i="3"/>
  <c r="E165" i="3"/>
  <c r="E404" i="3"/>
  <c r="E30" i="3"/>
  <c r="E218" i="3"/>
  <c r="E110" i="3"/>
  <c r="E174" i="3"/>
  <c r="E98" i="3"/>
  <c r="E398" i="3"/>
  <c r="E85" i="3"/>
  <c r="E139" i="3"/>
  <c r="E556" i="3"/>
  <c r="E527" i="3"/>
  <c r="E248" i="3"/>
  <c r="AR6" i="3"/>
  <c r="E513" i="3"/>
  <c r="E72" i="3"/>
  <c r="E331" i="3"/>
  <c r="E150" i="3"/>
  <c r="E502" i="3"/>
  <c r="E286" i="3"/>
  <c r="E320" i="3"/>
  <c r="E284" i="3"/>
  <c r="E181" i="3"/>
  <c r="E338" i="3"/>
  <c r="E497" i="3"/>
  <c r="E553" i="3"/>
  <c r="E138" i="3"/>
  <c r="E252" i="3"/>
  <c r="E523" i="3"/>
  <c r="E250" i="3"/>
  <c r="E427" i="3"/>
  <c r="E94" i="3"/>
  <c r="E299" i="3"/>
  <c r="E62" i="3"/>
  <c r="E441" i="3"/>
  <c r="E28" i="3"/>
  <c r="E407" i="3"/>
  <c r="E111" i="3"/>
  <c r="E288" i="3"/>
  <c r="E220" i="3"/>
  <c r="E162" i="3"/>
  <c r="E191" i="3"/>
  <c r="E558" i="3"/>
  <c r="E432" i="3"/>
  <c r="E118" i="3"/>
  <c r="E522" i="3"/>
  <c r="E488" i="3"/>
  <c r="E326" i="3"/>
  <c r="AN6" i="3"/>
  <c r="E464" i="3"/>
  <c r="E450" i="3"/>
  <c r="E263" i="3"/>
  <c r="E99" i="3"/>
  <c r="E32" i="3"/>
  <c r="Q6" i="3"/>
  <c r="AE6" i="3"/>
  <c r="E275" i="3"/>
  <c r="E372" i="3"/>
  <c r="E309" i="3"/>
  <c r="E224" i="3"/>
  <c r="E24" i="3"/>
  <c r="E108" i="3"/>
  <c r="E19" i="3"/>
  <c r="E267" i="3"/>
  <c r="E371" i="3"/>
  <c r="E322" i="3"/>
  <c r="E542" i="3"/>
  <c r="E348" i="3"/>
  <c r="E394" i="3"/>
  <c r="E375" i="3"/>
  <c r="E36" i="3"/>
  <c r="E428" i="3"/>
  <c r="E374" i="3"/>
  <c r="E442" i="3"/>
  <c r="E129" i="3"/>
  <c r="E136" i="3"/>
  <c r="E291" i="3"/>
  <c r="E336" i="3"/>
  <c r="E65" i="3"/>
  <c r="E440" i="3"/>
  <c r="E314" i="3"/>
  <c r="E183" i="3"/>
  <c r="E42" i="3"/>
  <c r="E483" i="3"/>
  <c r="E273" i="3"/>
  <c r="E544" i="3"/>
  <c r="E381" i="3"/>
  <c r="AA6" i="3"/>
  <c r="E230" i="3"/>
  <c r="E168" i="3"/>
  <c r="E39" i="3"/>
  <c r="E453" i="3"/>
  <c r="E229" i="3"/>
  <c r="E436" i="3"/>
  <c r="E364" i="3"/>
  <c r="E240" i="3"/>
  <c r="E209" i="3"/>
  <c r="E82" i="3"/>
  <c r="E447" i="3"/>
  <c r="E189" i="3"/>
  <c r="E154" i="3"/>
  <c r="E66" i="3"/>
  <c r="E508" i="3"/>
  <c r="E35" i="3"/>
  <c r="E329" i="3"/>
  <c r="E192" i="3"/>
  <c r="E282" i="3"/>
  <c r="E237" i="3"/>
  <c r="E100" i="3"/>
  <c r="E63" i="3"/>
  <c r="E422" i="3"/>
  <c r="E332" i="3"/>
  <c r="E445" i="3"/>
  <c r="E365" i="3"/>
  <c r="E345" i="3"/>
  <c r="E362" i="3"/>
  <c r="E489" i="3"/>
  <c r="E45" i="3"/>
  <c r="E269" i="3"/>
  <c r="E566" i="3"/>
  <c r="E519" i="3"/>
  <c r="E278" i="3"/>
  <c r="E103" i="3"/>
  <c r="E415" i="3"/>
  <c r="E293" i="3"/>
  <c r="E88" i="3"/>
  <c r="E355" i="3"/>
  <c r="E339" i="3"/>
  <c r="E516" i="3"/>
  <c r="E476" i="3"/>
  <c r="E59" i="3"/>
  <c r="E186" i="3"/>
  <c r="E101" i="3"/>
  <c r="E429" i="3"/>
  <c r="E74" i="3"/>
  <c r="E277" i="3"/>
  <c r="E514" i="3"/>
  <c r="E18" i="3"/>
  <c r="E506" i="3"/>
  <c r="E530" i="3"/>
  <c r="E484" i="3"/>
  <c r="E538" i="3"/>
  <c r="E485" i="3"/>
  <c r="E16" i="3"/>
  <c r="E511" i="3"/>
  <c r="E528" i="3"/>
  <c r="E490" i="3"/>
  <c r="E535" i="3"/>
  <c r="E520" i="3"/>
  <c r="E564" i="3"/>
  <c r="E482" i="3"/>
  <c r="E500" i="3"/>
  <c r="E569" i="3"/>
  <c r="I6" i="3"/>
  <c r="I52" i="37"/>
  <c r="J70" i="39"/>
  <c r="I72" i="39"/>
  <c r="D102" i="46"/>
  <c r="D103" i="46"/>
  <c r="D104" i="46"/>
  <c r="D109" i="46"/>
  <c r="D106" i="46"/>
  <c r="D107" i="46"/>
  <c r="D105" i="46"/>
  <c r="J107" i="46"/>
  <c r="J103" i="46"/>
  <c r="J105" i="46"/>
  <c r="J106" i="46"/>
  <c r="J102" i="46"/>
  <c r="J109" i="46"/>
  <c r="J104" i="46"/>
  <c r="N102" i="46"/>
  <c r="N109" i="46"/>
  <c r="N106" i="46"/>
  <c r="N107" i="46"/>
  <c r="N104" i="46"/>
  <c r="N103" i="46"/>
  <c r="N105" i="46"/>
  <c r="G102" i="46"/>
  <c r="G109" i="46"/>
  <c r="G104" i="46"/>
  <c r="G106" i="46"/>
  <c r="G107" i="46"/>
  <c r="G103" i="46"/>
  <c r="G105" i="46"/>
  <c r="L102" i="46"/>
  <c r="L104" i="46"/>
  <c r="L109" i="46"/>
  <c r="L103" i="46"/>
  <c r="L106" i="46"/>
  <c r="L105" i="46"/>
  <c r="L107" i="46"/>
  <c r="K107" i="46"/>
  <c r="K105" i="46"/>
  <c r="K109" i="46"/>
  <c r="K106" i="46"/>
  <c r="K103" i="46"/>
  <c r="K104" i="46"/>
  <c r="K102" i="46"/>
  <c r="F33" i="21"/>
  <c r="J33" i="21"/>
  <c r="H33" i="21"/>
  <c r="O6" i="1"/>
  <c r="O16" i="1" s="1"/>
  <c r="M16" i="1"/>
  <c r="E60" i="40"/>
  <c r="E65" i="39"/>
  <c r="F65" i="39" s="1"/>
  <c r="E61" i="40"/>
  <c r="E66" i="39"/>
  <c r="F66" i="39" s="1"/>
  <c r="E53" i="40"/>
  <c r="F27" i="6"/>
  <c r="F31" i="6" s="1"/>
  <c r="E58" i="39"/>
  <c r="E16" i="6"/>
  <c r="C59" i="15"/>
  <c r="C65" i="15"/>
  <c r="I109" i="46"/>
  <c r="I102" i="46"/>
  <c r="I107" i="46"/>
  <c r="I103" i="46"/>
  <c r="I106" i="46"/>
  <c r="I104" i="46"/>
  <c r="I105" i="46"/>
  <c r="I117" i="46"/>
  <c r="J117" i="46" s="1"/>
  <c r="K117" i="46" s="1"/>
  <c r="L117" i="46" s="1"/>
  <c r="M117" i="46" s="1"/>
  <c r="B116" i="46"/>
  <c r="C116" i="46" s="1"/>
  <c r="G118" i="46"/>
  <c r="H118" i="46" s="1"/>
  <c r="D117" i="46"/>
  <c r="E117" i="46" s="1"/>
  <c r="F117" i="46" s="1"/>
  <c r="G117" i="46" s="1"/>
  <c r="H117" i="46" s="1"/>
  <c r="I115" i="46"/>
  <c r="J115" i="46" s="1"/>
  <c r="K115" i="46" s="1"/>
  <c r="L115" i="46" s="1"/>
  <c r="M115" i="46" s="1"/>
  <c r="I118" i="46"/>
  <c r="J118" i="46" s="1"/>
  <c r="K118" i="46" s="1"/>
  <c r="L118" i="46" s="1"/>
  <c r="M118" i="46" s="1"/>
  <c r="B115" i="46"/>
  <c r="B118" i="46"/>
  <c r="C118" i="46" s="1"/>
  <c r="D116" i="46"/>
  <c r="E116" i="46" s="1"/>
  <c r="F116" i="46" s="1"/>
  <c r="G116" i="46" s="1"/>
  <c r="H116" i="46" s="1"/>
  <c r="I116" i="46"/>
  <c r="J116" i="46" s="1"/>
  <c r="K116" i="46" s="1"/>
  <c r="L116" i="46" s="1"/>
  <c r="M116" i="46" s="1"/>
  <c r="D118" i="46"/>
  <c r="E118" i="46" s="1"/>
  <c r="F118" i="46" s="1"/>
  <c r="D115" i="46"/>
  <c r="E115" i="46" s="1"/>
  <c r="F115" i="46" s="1"/>
  <c r="G115" i="46" s="1"/>
  <c r="H115" i="46" s="1"/>
  <c r="B117" i="46"/>
  <c r="C117" i="46" s="1"/>
  <c r="E106" i="46"/>
  <c r="E109" i="46"/>
  <c r="E102" i="46"/>
  <c r="E104" i="46"/>
  <c r="E103" i="46"/>
  <c r="E105" i="46"/>
  <c r="E107" i="46"/>
  <c r="F103" i="46"/>
  <c r="F102" i="46"/>
  <c r="F104" i="46"/>
  <c r="F105" i="46"/>
  <c r="F107" i="46"/>
  <c r="F106" i="46"/>
  <c r="F109" i="46"/>
  <c r="C29" i="46"/>
  <c r="D22" i="46"/>
  <c r="F12" i="40"/>
  <c r="J12" i="40"/>
  <c r="F12" i="39"/>
  <c r="H12" i="40"/>
  <c r="H12" i="39"/>
  <c r="J12" i="39"/>
  <c r="F33" i="12"/>
  <c r="C34" i="12" s="1"/>
  <c r="D33" i="12" s="1"/>
  <c r="F18" i="11"/>
  <c r="C18" i="11" s="1"/>
  <c r="C19" i="11" s="1"/>
  <c r="F24" i="43"/>
  <c r="C26" i="43" s="1"/>
  <c r="D24" i="43" s="1"/>
  <c r="E62" i="40"/>
  <c r="E67" i="39"/>
  <c r="F67" i="39" s="1"/>
  <c r="E58" i="40"/>
  <c r="E63" i="39"/>
  <c r="F63" i="39" s="1"/>
  <c r="E59" i="40"/>
  <c r="E64" i="39"/>
  <c r="F64" i="39" s="1"/>
  <c r="C10" i="15"/>
  <c r="C5" i="15" s="1"/>
  <c r="J26" i="15"/>
  <c r="J29" i="15" s="1"/>
  <c r="J18" i="15"/>
  <c r="J24" i="15"/>
  <c r="L52" i="44"/>
  <c r="P23" i="68" l="1"/>
  <c r="H6" i="3"/>
  <c r="L58" i="44"/>
  <c r="L61" i="44" s="1"/>
  <c r="Q69" i="44"/>
  <c r="Q67" i="44"/>
  <c r="Q58" i="44"/>
  <c r="Q49" i="44"/>
  <c r="Q55" i="44" s="1"/>
  <c r="E27" i="6"/>
  <c r="C38" i="15"/>
  <c r="C32" i="15"/>
  <c r="C20" i="11"/>
  <c r="C21" i="11" s="1"/>
  <c r="C22" i="11" s="1"/>
  <c r="C23" i="11" s="1"/>
  <c r="B2" i="11" s="1"/>
  <c r="W12" i="39"/>
  <c r="AC12" i="39"/>
  <c r="AB12" i="40"/>
  <c r="U12" i="40"/>
  <c r="AC12" i="40"/>
  <c r="W12" i="40"/>
  <c r="C115" i="46"/>
  <c r="D113" i="46" s="1"/>
  <c r="L16" i="1"/>
  <c r="C13" i="43"/>
  <c r="AB33" i="21"/>
  <c r="T48" i="21" s="1"/>
  <c r="G48" i="21" s="1"/>
  <c r="U33" i="21"/>
  <c r="AA33" i="21"/>
  <c r="R48" i="21" s="1"/>
  <c r="S33" i="21"/>
  <c r="J72" i="39"/>
  <c r="K70" i="39"/>
  <c r="AC6" i="3"/>
  <c r="L38" i="9"/>
  <c r="B14" i="66" s="1"/>
  <c r="D16" i="12"/>
  <c r="E6" i="6"/>
  <c r="D16" i="43"/>
  <c r="C16" i="43" s="1"/>
  <c r="D46" i="9"/>
  <c r="D45" i="9"/>
  <c r="D10" i="11"/>
  <c r="C21" i="4"/>
  <c r="O5" i="54" s="1"/>
  <c r="B45" i="63" s="1"/>
  <c r="S3" i="46"/>
  <c r="T3" i="46" s="1"/>
  <c r="V3" i="46" s="1"/>
  <c r="S5" i="46"/>
  <c r="T5" i="46" s="1"/>
  <c r="V5" i="46" s="1"/>
  <c r="S6" i="46"/>
  <c r="T6" i="46" s="1"/>
  <c r="V6" i="46" s="1"/>
  <c r="S7" i="46"/>
  <c r="T7" i="46" s="1"/>
  <c r="V7" i="46" s="1"/>
  <c r="S2" i="46"/>
  <c r="T2" i="46" s="1"/>
  <c r="V2" i="46" s="1"/>
  <c r="S4" i="46"/>
  <c r="T4" i="46" s="1"/>
  <c r="V4" i="46" s="1"/>
  <c r="U12" i="39"/>
  <c r="AB12" i="39"/>
  <c r="S12" i="39"/>
  <c r="AA12" i="39"/>
  <c r="S12" i="40"/>
  <c r="AA12" i="40"/>
  <c r="C30" i="46"/>
  <c r="E30" i="46" s="1"/>
  <c r="C27" i="46" s="1"/>
  <c r="E29" i="46"/>
  <c r="E68" i="39"/>
  <c r="F58" i="39"/>
  <c r="F68" i="39" s="1"/>
  <c r="B2" i="39" s="1"/>
  <c r="E63" i="40"/>
  <c r="N16" i="1"/>
  <c r="C29" i="43" s="1"/>
  <c r="P6" i="1"/>
  <c r="P16" i="1" s="1"/>
  <c r="C13" i="12" s="1"/>
  <c r="AC33" i="21"/>
  <c r="V48" i="21" s="1"/>
  <c r="I48" i="21" s="1"/>
  <c r="W33" i="21"/>
  <c r="J52" i="37"/>
  <c r="D3"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5" i="3"/>
  <c r="BL6" i="3"/>
  <c r="AY154" i="3"/>
  <c r="AY160" i="3"/>
  <c r="AY75" i="3"/>
  <c r="AY277" i="3"/>
  <c r="AY384" i="3"/>
  <c r="AY425" i="3"/>
  <c r="AY202" i="3"/>
  <c r="AY286" i="3"/>
  <c r="AY398" i="3"/>
  <c r="AY169" i="3"/>
  <c r="AY348" i="3"/>
  <c r="AY72" i="3"/>
  <c r="AY241" i="3"/>
  <c r="AY30" i="3"/>
  <c r="AY542" i="3"/>
  <c r="AY382" i="3"/>
  <c r="AY555"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220" i="3"/>
  <c r="BR6" i="3"/>
  <c r="AY497" i="3"/>
  <c r="AY285" i="3"/>
  <c r="AY404" i="3"/>
  <c r="AY327" i="3"/>
  <c r="AY213" i="3"/>
  <c r="AY502" i="3"/>
  <c r="AY110" i="3"/>
  <c r="AY298" i="3"/>
  <c r="AY403" i="3"/>
  <c r="AY514" i="3"/>
  <c r="AY454" i="3"/>
  <c r="AY499" i="3"/>
  <c r="AY391" i="3"/>
  <c r="AY507" i="3"/>
  <c r="AY64" i="3"/>
  <c r="AY42" i="3"/>
  <c r="AY175" i="3"/>
  <c r="AY467" i="3"/>
  <c r="AY479" i="3"/>
  <c r="AY364" i="3"/>
  <c r="AY238" i="3"/>
  <c r="AY115" i="3"/>
  <c r="AY230" i="3"/>
  <c r="AY420" i="3"/>
  <c r="AY143" i="3"/>
  <c r="AY308" i="3"/>
  <c r="AY516" i="3"/>
  <c r="AY276" i="3"/>
  <c r="AY436" i="3"/>
  <c r="AY113" i="3"/>
  <c r="AY192" i="3"/>
  <c r="AY478" i="3"/>
  <c r="AY418" i="3"/>
  <c r="AY434" i="3"/>
  <c r="AY289" i="3"/>
  <c r="AY93" i="3"/>
  <c r="AY130" i="3"/>
  <c r="AY125" i="3"/>
  <c r="AY551" i="3"/>
  <c r="AY167" i="3"/>
  <c r="AY180" i="3"/>
  <c r="AY292" i="3"/>
  <c r="AY530" i="3"/>
  <c r="AY97" i="3"/>
  <c r="AY198" i="3"/>
  <c r="AY77" i="3"/>
  <c r="AY158" i="3"/>
  <c r="AY218" i="3"/>
  <c r="AY309" i="3"/>
  <c r="AY392" i="3"/>
  <c r="AY176" i="3"/>
  <c r="AY356" i="3"/>
  <c r="AY44" i="3"/>
  <c r="AY288" i="3"/>
  <c r="AY318" i="3"/>
  <c r="BA6" i="3"/>
  <c r="AY283" i="3"/>
  <c r="AY446" i="3"/>
  <c r="AY380" i="3"/>
  <c r="AY211" i="3"/>
  <c r="AY396" i="3"/>
  <c r="AY406" i="3"/>
  <c r="AY303" i="3"/>
  <c r="AY127" i="3"/>
  <c r="AY498" i="3"/>
  <c r="AY518" i="3"/>
  <c r="AY415" i="3"/>
  <c r="AY503" i="3"/>
  <c r="AY208" i="3"/>
  <c r="AY78" i="3"/>
  <c r="AY153" i="3"/>
  <c r="AY375" i="3"/>
  <c r="AY559" i="3"/>
  <c r="AY563" i="3"/>
  <c r="AY357" i="3"/>
  <c r="AY84" i="3"/>
  <c r="AY377" i="3"/>
  <c r="AY164" i="3"/>
  <c r="AY177" i="3"/>
  <c r="AY524" i="3"/>
  <c r="AY300" i="3"/>
  <c r="AY515" i="3"/>
  <c r="AY264" i="3"/>
  <c r="AY139" i="3"/>
  <c r="AY70" i="3"/>
  <c r="BK6" i="3"/>
  <c r="AY435" i="3"/>
  <c r="AY132" i="3"/>
  <c r="AY188" i="3"/>
  <c r="AY157" i="3"/>
  <c r="AY528" i="3"/>
  <c r="AY236" i="3"/>
  <c r="BD6" i="3"/>
  <c r="AY567" i="3"/>
  <c r="AY538" i="3"/>
  <c r="AY534" i="3"/>
  <c r="AY557" i="3"/>
  <c r="AY387" i="3"/>
  <c r="AY410" i="3"/>
  <c r="AY56" i="3"/>
  <c r="AY512" i="3"/>
  <c r="AY313" i="3"/>
  <c r="AY473" i="3"/>
  <c r="AY541" i="3"/>
  <c r="AY439" i="3"/>
  <c r="AY477" i="3"/>
  <c r="AY452" i="3"/>
  <c r="AY87" i="3"/>
  <c r="AY109" i="3"/>
  <c r="AY142" i="3"/>
  <c r="AY34" i="3"/>
  <c r="AY290" i="3"/>
  <c r="AY443" i="3"/>
  <c r="AY46" i="3"/>
  <c r="AY219" i="3"/>
  <c r="AY569" i="3"/>
  <c r="AY148" i="3"/>
  <c r="AY371" i="3"/>
  <c r="AY147" i="3"/>
  <c r="AY561" i="3"/>
  <c r="AY162" i="3"/>
  <c r="AY22" i="3"/>
  <c r="AY562" i="3"/>
  <c r="AY221" i="3"/>
  <c r="AY245" i="3"/>
  <c r="AY32" i="3"/>
  <c r="AY456" i="3"/>
  <c r="AY112" i="3"/>
  <c r="AY247" i="3"/>
  <c r="AY20" i="3"/>
  <c r="AY299" i="3"/>
  <c r="AY447" i="3"/>
  <c r="AY185" i="3"/>
  <c r="AY17" i="3"/>
  <c r="AY68" i="3"/>
  <c r="AY133" i="3"/>
  <c r="AY468" i="3"/>
  <c r="BI6" i="3"/>
  <c r="AY469" i="3"/>
  <c r="AY263" i="3"/>
  <c r="AY231" i="3"/>
  <c r="J67" i="40"/>
  <c r="K65" i="40"/>
  <c r="F7" i="67"/>
  <c r="E6" i="3" l="1"/>
  <c r="L47" i="44"/>
  <c r="Q59" i="44"/>
  <c r="Q64" i="44" s="1"/>
  <c r="Q68" i="44"/>
  <c r="Q77" i="44" s="1"/>
  <c r="K20" i="6"/>
  <c r="K25" i="6"/>
  <c r="M25" i="6" s="1"/>
  <c r="I25" i="6" s="1"/>
  <c r="S25" i="6" s="1"/>
  <c r="K19" i="6"/>
  <c r="K22" i="6"/>
  <c r="M22" i="6" s="1"/>
  <c r="I22" i="6" s="1"/>
  <c r="S22" i="6" s="1"/>
  <c r="E31" i="6"/>
  <c r="K21" i="6"/>
  <c r="M21" i="6" s="1"/>
  <c r="I21" i="6" s="1"/>
  <c r="S21" i="6" s="1"/>
  <c r="K24" i="6"/>
  <c r="M24" i="6" s="1"/>
  <c r="I24" i="6" s="1"/>
  <c r="S24" i="6" s="1"/>
  <c r="K23" i="6"/>
  <c r="M23" i="6" s="1"/>
  <c r="I23" i="6" s="1"/>
  <c r="S23" i="6" s="1"/>
  <c r="K26" i="6"/>
  <c r="M26" i="6" s="1"/>
  <c r="I26" i="6" s="1"/>
  <c r="S26" i="6" s="1"/>
  <c r="E4" i="67"/>
  <c r="C14" i="12"/>
  <c r="C17" i="12"/>
  <c r="C26" i="46"/>
  <c r="D22" i="12"/>
  <c r="C22" i="12" s="1"/>
  <c r="C20" i="12" s="1"/>
  <c r="D13" i="11"/>
  <c r="C13" i="11" s="1"/>
  <c r="B15" i="66"/>
  <c r="B1" i="66" s="1"/>
  <c r="R49" i="21"/>
  <c r="E48" i="21"/>
  <c r="I53" i="21" s="1"/>
  <c r="J53" i="21" s="1"/>
  <c r="G52" i="21"/>
  <c r="H52" i="21" s="1"/>
  <c r="G53" i="21"/>
  <c r="H53" i="21" s="1"/>
  <c r="L65" i="40"/>
  <c r="K67" i="40"/>
  <c r="K38" i="9"/>
  <c r="C14" i="66" s="1"/>
  <c r="D21" i="6"/>
  <c r="D23" i="6"/>
  <c r="D25" i="6"/>
  <c r="D29" i="6"/>
  <c r="D19" i="6"/>
  <c r="D20" i="6"/>
  <c r="D22" i="6"/>
  <c r="D24" i="6"/>
  <c r="D26" i="6"/>
  <c r="D28" i="6"/>
  <c r="D30" i="6" s="1"/>
  <c r="C22" i="4"/>
  <c r="D13" i="6"/>
  <c r="D14" i="6"/>
  <c r="D11" i="6"/>
  <c r="H22" i="6"/>
  <c r="F45" i="9"/>
  <c r="F46" i="9"/>
  <c r="D8" i="6"/>
  <c r="D9" i="6"/>
  <c r="D5" i="6"/>
  <c r="E45" i="9"/>
  <c r="D10" i="6"/>
  <c r="D6" i="6"/>
  <c r="D12" i="6"/>
  <c r="D15" i="6"/>
  <c r="E46" i="9"/>
  <c r="K52" i="37"/>
  <c r="L52" i="37" s="1"/>
  <c r="M52" i="37" s="1"/>
  <c r="N52" i="37" s="1"/>
  <c r="O52" i="37" s="1"/>
  <c r="F7" i="37" s="1"/>
  <c r="H7" i="37"/>
  <c r="J7" i="37"/>
  <c r="I52" i="21"/>
  <c r="J52" i="21" s="1"/>
  <c r="B3" i="39"/>
  <c r="B5" i="39"/>
  <c r="B4" i="39"/>
  <c r="C16" i="12"/>
  <c r="D19" i="12"/>
  <c r="C19" i="12" s="1"/>
  <c r="L70" i="39"/>
  <c r="K72" i="39"/>
  <c r="C17" i="43"/>
  <c r="C14" i="43"/>
  <c r="B3" i="11"/>
  <c r="B5" i="11"/>
  <c r="B4" i="11"/>
  <c r="E7" i="67"/>
  <c r="H21" i="6" l="1"/>
  <c r="H25" i="6"/>
  <c r="H23" i="6"/>
  <c r="R23" i="6" s="1"/>
  <c r="C18" i="43"/>
  <c r="C19" i="43" s="1"/>
  <c r="C25" i="43" s="1"/>
  <c r="C24" i="43" s="1"/>
  <c r="H26" i="6"/>
  <c r="R26" i="6" s="1"/>
  <c r="H24" i="6"/>
  <c r="R24" i="6" s="1"/>
  <c r="R22" i="6"/>
  <c r="C18" i="12"/>
  <c r="C23" i="12" s="1"/>
  <c r="M19" i="6"/>
  <c r="S6" i="1"/>
  <c r="K27" i="6"/>
  <c r="S7" i="1"/>
  <c r="M20" i="6"/>
  <c r="I20" i="6" s="1"/>
  <c r="E3" i="67"/>
  <c r="AA7" i="37"/>
  <c r="R42" i="37" s="1"/>
  <c r="S7" i="37"/>
  <c r="C7" i="66"/>
  <c r="C8" i="66"/>
  <c r="AC7" i="37"/>
  <c r="V42" i="37" s="1"/>
  <c r="I42" i="37" s="1"/>
  <c r="W7" i="37"/>
  <c r="D16" i="6"/>
  <c r="C48" i="21"/>
  <c r="C49" i="21"/>
  <c r="B3" i="21" s="1"/>
  <c r="B2" i="21" s="1"/>
  <c r="L72" i="39"/>
  <c r="M70" i="39"/>
  <c r="U7" i="37"/>
  <c r="AB7" i="37"/>
  <c r="T42" i="37" s="1"/>
  <c r="G42" i="37" s="1"/>
  <c r="A6" i="64"/>
  <c r="N5" i="54"/>
  <c r="B43" i="63" s="1"/>
  <c r="A20" i="51"/>
  <c r="B15" i="63" s="1"/>
  <c r="A20" i="64"/>
  <c r="A6" i="51"/>
  <c r="B7" i="63" s="1"/>
  <c r="D27" i="6"/>
  <c r="D31" i="6" s="1"/>
  <c r="R25" i="6"/>
  <c r="R21" i="6"/>
  <c r="C15" i="66"/>
  <c r="B2" i="66" s="1"/>
  <c r="M65" i="40"/>
  <c r="L67" i="40"/>
  <c r="E53" i="21"/>
  <c r="F53" i="21" s="1"/>
  <c r="E52" i="21"/>
  <c r="F52" i="21" s="1"/>
  <c r="B2" i="46"/>
  <c r="C17" i="15"/>
  <c r="C19" i="44"/>
  <c r="B7" i="67"/>
  <c r="C22" i="43" l="1"/>
  <c r="C21" i="43" s="1"/>
  <c r="C28" i="43" s="1"/>
  <c r="C30" i="43" s="1"/>
  <c r="C32" i="43" s="1"/>
  <c r="B2" i="43" s="1"/>
  <c r="B4" i="43" s="1"/>
  <c r="S16" i="1"/>
  <c r="T6" i="1" s="1"/>
  <c r="S20" i="6"/>
  <c r="H20" i="6"/>
  <c r="R20" i="6" s="1"/>
  <c r="R7" i="1" s="1"/>
  <c r="I19" i="6"/>
  <c r="M27" i="6"/>
  <c r="B2" i="67"/>
  <c r="D8" i="66"/>
  <c r="D7" i="66"/>
  <c r="I46" i="37"/>
  <c r="J46" i="37" s="1"/>
  <c r="R43" i="37"/>
  <c r="E42" i="37"/>
  <c r="I6" i="6"/>
  <c r="I5" i="6"/>
  <c r="C13" i="40" s="1"/>
  <c r="G46" i="37"/>
  <c r="H46" i="37" s="1"/>
  <c r="G47" i="37"/>
  <c r="H47" i="37" s="1"/>
  <c r="M72" i="39"/>
  <c r="N70" i="39"/>
  <c r="N72" i="39" s="1"/>
  <c r="D4" i="46"/>
  <c r="B3" i="46"/>
  <c r="B4" i="46"/>
  <c r="N65" i="40"/>
  <c r="N67" i="40" s="1"/>
  <c r="M67" i="40"/>
  <c r="M23" i="44"/>
  <c r="F37" i="44"/>
  <c r="C14" i="15"/>
  <c r="B3" i="43" l="1"/>
  <c r="B5" i="43"/>
  <c r="J22" i="44"/>
  <c r="C36" i="44"/>
  <c r="C15" i="15"/>
  <c r="C18" i="15"/>
  <c r="H19" i="6"/>
  <c r="S19" i="6"/>
  <c r="S27" i="6" s="1"/>
  <c r="I27" i="6"/>
  <c r="T7" i="1"/>
  <c r="T12" i="1"/>
  <c r="T8" i="1"/>
  <c r="T11" i="1"/>
  <c r="T9" i="1"/>
  <c r="T13" i="1"/>
  <c r="T10" i="1"/>
  <c r="E46" i="37"/>
  <c r="F46" i="37" s="1"/>
  <c r="E47" i="37"/>
  <c r="F47" i="37" s="1"/>
  <c r="B4" i="67"/>
  <c r="B3" i="67"/>
  <c r="J9" i="40"/>
  <c r="F9" i="40"/>
  <c r="J9" i="39"/>
  <c r="F9" i="39"/>
  <c r="H9" i="39"/>
  <c r="F13" i="40"/>
  <c r="H13" i="40"/>
  <c r="J13" i="40"/>
  <c r="H9" i="40"/>
  <c r="C42" i="37"/>
  <c r="C43" i="37"/>
  <c r="B3" i="37" s="1"/>
  <c r="B2" i="37" s="1"/>
  <c r="I47" i="37"/>
  <c r="J47" i="37" s="1"/>
  <c r="C16" i="44"/>
  <c r="C19" i="15" l="1"/>
  <c r="C20" i="15" s="1"/>
  <c r="C26" i="15" s="1"/>
  <c r="T16" i="1"/>
  <c r="C17" i="44"/>
  <c r="C20" i="44"/>
  <c r="H27" i="6"/>
  <c r="R19" i="6"/>
  <c r="W13" i="40"/>
  <c r="AC13" i="40"/>
  <c r="S13" i="40"/>
  <c r="AA13" i="40"/>
  <c r="AA9" i="39"/>
  <c r="S9" i="39"/>
  <c r="S9" i="40"/>
  <c r="AA9" i="40"/>
  <c r="R44" i="40" s="1"/>
  <c r="U9" i="40"/>
  <c r="AB9" i="40"/>
  <c r="AB13" i="40"/>
  <c r="U13" i="40"/>
  <c r="U9" i="39"/>
  <c r="AB9" i="39"/>
  <c r="AC9" i="39"/>
  <c r="W9" i="39"/>
  <c r="AC9" i="40"/>
  <c r="W9" i="40"/>
  <c r="T44" i="40" l="1"/>
  <c r="G44" i="40" s="1"/>
  <c r="C23" i="15"/>
  <c r="C21" i="44"/>
  <c r="C22" i="44" s="1"/>
  <c r="C29" i="15"/>
  <c r="C36" i="15" s="1"/>
  <c r="C25" i="44"/>
  <c r="V44" i="40"/>
  <c r="I44" i="40" s="1"/>
  <c r="C28" i="44"/>
  <c r="R6" i="1"/>
  <c r="R27" i="6"/>
  <c r="C33" i="15"/>
  <c r="G48" i="40"/>
  <c r="H48" i="40" s="1"/>
  <c r="E44" i="40"/>
  <c r="F35" i="15"/>
  <c r="M21" i="15"/>
  <c r="G49" i="40" l="1"/>
  <c r="H49" i="40" s="1"/>
  <c r="I48" i="40"/>
  <c r="J48" i="40" s="1"/>
  <c r="J19" i="15"/>
  <c r="R45" i="40"/>
  <c r="C44" i="40" s="1"/>
  <c r="J14" i="15"/>
  <c r="J13" i="15" s="1"/>
  <c r="J23" i="15" s="1"/>
  <c r="C13" i="15"/>
  <c r="C37" i="15" s="1"/>
  <c r="I49" i="40"/>
  <c r="J49" i="40" s="1"/>
  <c r="Q50" i="15"/>
  <c r="C56" i="15"/>
  <c r="C60" i="15" s="1"/>
  <c r="C34" i="15"/>
  <c r="C31" i="15" s="1"/>
  <c r="F62" i="15"/>
  <c r="C61" i="15" s="1"/>
  <c r="J20" i="15"/>
  <c r="R16" i="1"/>
  <c r="C31" i="44"/>
  <c r="E48" i="40"/>
  <c r="F48" i="40" s="1"/>
  <c r="E49" i="40"/>
  <c r="F49" i="40" s="1"/>
  <c r="C63" i="15"/>
  <c r="C45" i="40"/>
  <c r="Q71" i="15" l="1"/>
  <c r="C55" i="15"/>
  <c r="C64" i="15" s="1"/>
  <c r="J17" i="15"/>
  <c r="J22" i="15"/>
  <c r="J35" i="15"/>
  <c r="C58" i="15"/>
  <c r="C30" i="15"/>
  <c r="C39" i="15" s="1"/>
  <c r="Q70" i="15" s="1"/>
  <c r="Q69" i="15" s="1"/>
  <c r="J21" i="44"/>
  <c r="J19" i="44" s="1"/>
  <c r="C38" i="44"/>
  <c r="Q51" i="44"/>
  <c r="C15" i="44"/>
  <c r="J16" i="44"/>
  <c r="C35" i="44"/>
  <c r="C33" i="44" s="1"/>
  <c r="B53" i="40"/>
  <c r="F53" i="40" s="1"/>
  <c r="B54" i="40"/>
  <c r="F54" i="40" s="1"/>
  <c r="B55" i="40"/>
  <c r="F55" i="40" s="1"/>
  <c r="B56" i="40"/>
  <c r="F56" i="40" s="1"/>
  <c r="B57" i="40"/>
  <c r="F57" i="40" s="1"/>
  <c r="B58" i="40"/>
  <c r="F58" i="40" s="1"/>
  <c r="B59" i="40"/>
  <c r="F59" i="40" s="1"/>
  <c r="B60" i="40"/>
  <c r="F60" i="40" s="1"/>
  <c r="B61" i="40"/>
  <c r="F61" i="40" s="1"/>
  <c r="B62" i="40"/>
  <c r="F62" i="40" s="1"/>
  <c r="C57" i="15"/>
  <c r="C66" i="15" s="1"/>
  <c r="C67" i="15" s="1"/>
  <c r="L51" i="15"/>
  <c r="J16" i="15" l="1"/>
  <c r="J25" i="15" s="1"/>
  <c r="C40" i="15"/>
  <c r="B2" i="15" s="1"/>
  <c r="J39" i="15"/>
  <c r="J40" i="15" s="1"/>
  <c r="J24" i="44"/>
  <c r="J15" i="44"/>
  <c r="J25" i="44" s="1"/>
  <c r="C43" i="44"/>
  <c r="Q72" i="44"/>
  <c r="C39" i="44"/>
  <c r="C32" i="44" s="1"/>
  <c r="C42" i="44" s="1"/>
  <c r="Q68" i="15"/>
  <c r="C46" i="15"/>
  <c r="C70" i="15"/>
  <c r="F63" i="40"/>
  <c r="B2" i="40" s="1"/>
  <c r="C19" i="9"/>
  <c r="Q57" i="15" l="1"/>
  <c r="Q63" i="15" s="1"/>
  <c r="J42" i="15"/>
  <c r="J43" i="15" s="1"/>
  <c r="Q66" i="15"/>
  <c r="Q76" i="15" s="1"/>
  <c r="C43" i="15"/>
  <c r="Q48" i="15"/>
  <c r="Q54" i="15" s="1"/>
  <c r="J18" i="44"/>
  <c r="J27" i="44" s="1"/>
  <c r="Q71" i="44"/>
  <c r="Q70" i="44" s="1"/>
  <c r="C44" i="44"/>
  <c r="C45" i="44" s="1"/>
  <c r="B2" i="44" s="1"/>
  <c r="L43" i="9"/>
  <c r="C10" i="12"/>
  <c r="B3" i="15"/>
  <c r="C8" i="12" s="1"/>
  <c r="D10" i="12" s="1"/>
  <c r="B5" i="40"/>
  <c r="B3" i="40"/>
  <c r="B4" i="40"/>
  <c r="C21" i="9"/>
  <c r="C20" i="9"/>
  <c r="B4" i="44" l="1"/>
  <c r="B3" i="44"/>
  <c r="B5" i="44"/>
  <c r="C6" i="12"/>
  <c r="C24" i="12" l="1"/>
  <c r="C29" i="12"/>
  <c r="C28" i="12" l="1"/>
  <c r="C26" i="12" s="1"/>
  <c r="C31" i="12" s="1"/>
  <c r="C30" i="12" s="1"/>
  <c r="C35" i="12"/>
  <c r="C33" i="12" s="1"/>
  <c r="C36" i="12" l="1"/>
  <c r="B2" i="12" s="1"/>
  <c r="B3" i="12" s="1"/>
  <c r="D20" i="9"/>
  <c r="D19" i="9"/>
  <c r="B5" i="12" l="1"/>
  <c r="B4" i="12"/>
  <c r="G19" i="9"/>
  <c r="G22" i="9" s="1"/>
  <c r="L44" i="9"/>
  <c r="D22" i="9"/>
  <c r="G20" i="9"/>
  <c r="D21" i="9"/>
  <c r="M5" i="68" l="1"/>
  <c r="N5" i="68" s="1"/>
  <c r="N43" i="9"/>
  <c r="G21" i="9"/>
  <c r="C32" i="9"/>
  <c r="C42" i="9" s="1"/>
  <c r="M6" i="68"/>
  <c r="N6" i="68" s="1"/>
  <c r="O38" i="9" l="1"/>
  <c r="K25" i="9" s="1"/>
  <c r="C33" i="9"/>
  <c r="D42" i="9" s="1"/>
  <c r="Q5" i="54" s="1"/>
  <c r="B47" i="63" s="1"/>
  <c r="O43" i="9"/>
  <c r="C34" i="9"/>
  <c r="E42" i="9" s="1"/>
  <c r="P5" i="54" s="1"/>
  <c r="B46" i="63" s="1"/>
  <c r="C35" i="9"/>
  <c r="F42" i="9" s="1"/>
  <c r="M38" i="9"/>
  <c r="K27" i="9" s="1"/>
  <c r="Q6" i="68"/>
  <c r="R6" i="68" s="1"/>
  <c r="M7" i="68"/>
  <c r="N7" i="68" s="1"/>
  <c r="M9" i="68"/>
  <c r="N9" i="68" s="1"/>
  <c r="Q9" i="68" s="1"/>
  <c r="R9" i="68" s="1"/>
  <c r="M11" i="68"/>
  <c r="N11" i="68" s="1"/>
  <c r="Q11" i="68" s="1"/>
  <c r="R11" i="68" s="1"/>
  <c r="M13" i="68"/>
  <c r="N13" i="68" s="1"/>
  <c r="Q13" i="68" s="1"/>
  <c r="R13" i="68" s="1"/>
  <c r="M15" i="68"/>
  <c r="N15" i="68" s="1"/>
  <c r="Q15" i="68" s="1"/>
  <c r="R15" i="68" s="1"/>
  <c r="M17" i="68"/>
  <c r="N17" i="68" s="1"/>
  <c r="Q17" i="68" s="1"/>
  <c r="R17" i="68" s="1"/>
  <c r="M19" i="68"/>
  <c r="N19" i="68" s="1"/>
  <c r="Q19" i="68" s="1"/>
  <c r="R19" i="68" s="1"/>
  <c r="M21" i="68"/>
  <c r="N21" i="68" s="1"/>
  <c r="Q21" i="68" s="1"/>
  <c r="R21" i="68" s="1"/>
  <c r="M12" i="68"/>
  <c r="N12" i="68" s="1"/>
  <c r="Q12" i="68" s="1"/>
  <c r="R12" i="68" s="1"/>
  <c r="M14" i="68"/>
  <c r="N14" i="68" s="1"/>
  <c r="Q14" i="68" s="1"/>
  <c r="R14" i="68" s="1"/>
  <c r="M16" i="68"/>
  <c r="N16" i="68" s="1"/>
  <c r="Q16" i="68" s="1"/>
  <c r="R16" i="68" s="1"/>
  <c r="M20" i="68"/>
  <c r="N20" i="68" s="1"/>
  <c r="Q20" i="68" s="1"/>
  <c r="R20" i="68" s="1"/>
  <c r="M22" i="68"/>
  <c r="N22" i="68" s="1"/>
  <c r="Q22" i="68" s="1"/>
  <c r="R22" i="68" s="1"/>
  <c r="M8" i="68"/>
  <c r="N8" i="68" s="1"/>
  <c r="M10" i="68"/>
  <c r="N10" i="68" s="1"/>
  <c r="Q10" i="68" s="1"/>
  <c r="R10" i="68" s="1"/>
  <c r="M18" i="68"/>
  <c r="N18" i="68" s="1"/>
  <c r="Q18" i="68" s="1"/>
  <c r="R18" i="68" s="1"/>
  <c r="R5" i="54"/>
  <c r="B48" i="63" s="1"/>
  <c r="N68" i="9"/>
  <c r="C44" i="9"/>
  <c r="D63" i="9"/>
  <c r="D14" i="66"/>
  <c r="R5" i="68"/>
  <c r="Q8" i="68" l="1"/>
  <c r="R8" i="68" s="1"/>
  <c r="Q7" i="68"/>
  <c r="R7" i="68" s="1"/>
  <c r="K26" i="9"/>
  <c r="N38" i="9"/>
  <c r="K28" i="9" s="1"/>
  <c r="Q5" i="68"/>
  <c r="N23" i="68"/>
  <c r="D70" i="9"/>
  <c r="C103" i="9"/>
  <c r="C90" i="9"/>
  <c r="D77" i="9"/>
  <c r="N75" i="9" s="1"/>
  <c r="C111" i="9"/>
  <c r="C104" i="9" s="1"/>
  <c r="D71" i="9"/>
  <c r="D66" i="9" s="1"/>
  <c r="N72" i="9" s="1"/>
  <c r="C82" i="9"/>
  <c r="C81" i="9" s="1"/>
  <c r="C85" i="9" s="1"/>
  <c r="C86" i="9" s="1"/>
  <c r="D72" i="9" s="1"/>
  <c r="C96" i="9"/>
  <c r="C91" i="9" s="1"/>
  <c r="E14" i="66"/>
  <c r="F14" i="66"/>
  <c r="D44" i="9"/>
  <c r="G14" i="66"/>
  <c r="B6" i="66" s="1"/>
  <c r="O39" i="9"/>
  <c r="E44" i="9"/>
  <c r="F44" i="9"/>
  <c r="N69" i="9"/>
  <c r="Q23" i="68" l="1"/>
  <c r="Q28" i="68" s="1"/>
  <c r="C113" i="9"/>
  <c r="R6" i="54"/>
  <c r="B50" i="63" s="1"/>
  <c r="K29" i="9"/>
  <c r="K30" i="9" s="1"/>
  <c r="M83" i="9"/>
  <c r="N83" i="9" s="1"/>
  <c r="M84" i="9"/>
  <c r="N84" i="9" s="1"/>
  <c r="M85" i="9"/>
  <c r="N85" i="9" s="1"/>
  <c r="M86" i="9"/>
  <c r="N86" i="9" s="1"/>
  <c r="M87" i="9"/>
  <c r="N87" i="9" s="1"/>
  <c r="M88" i="9"/>
  <c r="N88" i="9" s="1"/>
  <c r="D6" i="66"/>
  <c r="C6" i="66"/>
  <c r="C97" i="9"/>
  <c r="Q25" i="68" l="1"/>
  <c r="R25" i="68" s="1"/>
  <c r="D15" i="66"/>
  <c r="F15" i="66" s="1"/>
  <c r="C114" i="9"/>
  <c r="E114" i="9" s="1"/>
  <c r="E115" i="9" s="1"/>
  <c r="C98" i="9"/>
  <c r="E98" i="9" s="1"/>
  <c r="E99" i="9" s="1"/>
  <c r="N89" i="9"/>
  <c r="O89" i="9" s="1"/>
  <c r="B5" i="66" l="1"/>
  <c r="C5" i="66" s="1"/>
  <c r="E15" i="66"/>
  <c r="D5" i="66"/>
  <c r="C99" i="9"/>
  <c r="C115" i="9"/>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D27" authorId="0" shapeId="0">
      <text>
        <r>
          <rPr>
            <b/>
            <sz val="9"/>
            <color indexed="81"/>
            <rFont val="宋体"/>
            <family val="3"/>
            <charset val="134"/>
          </rPr>
          <t>sony:</t>
        </r>
        <r>
          <rPr>
            <sz val="9"/>
            <color indexed="81"/>
            <rFont val="宋体"/>
            <family val="3"/>
            <charset val="134"/>
          </rPr>
          <t xml:space="preserve">
倒减法
</t>
        </r>
      </text>
    </comment>
    <comment ref="E27" authorId="0" shapeId="0">
      <text>
        <r>
          <rPr>
            <b/>
            <sz val="9"/>
            <color indexed="81"/>
            <rFont val="宋体"/>
            <family val="3"/>
            <charset val="134"/>
          </rPr>
          <t>sony:</t>
        </r>
        <r>
          <rPr>
            <sz val="9"/>
            <color indexed="81"/>
            <rFont val="宋体"/>
            <family val="3"/>
            <charset val="134"/>
          </rPr>
          <t xml:space="preserve">
求和</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<sst xmlns="http://schemas.openxmlformats.org/spreadsheetml/2006/main" count="7744" uniqueCount="3444">
  <si>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</si>
  <si>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</si>
  <si>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</si>
  <si>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</si>
  <si>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</si>
  <si>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</si>
  <si>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</si>
  <si>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</si>
  <si>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</si>
  <si>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</si>
  <si>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</si>
  <si>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</si>
  <si>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</si>
  <si>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</si>
  <si>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</si>
  <si>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</si>
  <si>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</si>
  <si>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</si>
  <si>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</si>
  <si>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</si>
  <si>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</si>
  <si>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</si>
  <si>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</si>
  <si>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</si>
  <si>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</si>
  <si>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</si>
  <si>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</si>
  <si>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</si>
  <si>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</si>
  <si>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</si>
  <si>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</si>
  <si>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</si>
  <si>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</si>
  <si>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</si>
  <si>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</si>
  <si>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</si>
  <si>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</si>
  <si>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</si>
  <si>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</si>
  <si>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</si>
  <si>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</si>
  <si>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</si>
  <si>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</si>
  <si>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</si>
  <si>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</si>
  <si>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</si>
  <si>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</si>
  <si>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</si>
  <si>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</si>
  <si>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</si>
  <si>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</si>
  <si>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</si>
  <si>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</si>
  <si>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</si>
  <si>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</si>
  <si>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</si>
  <si>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</si>
  <si>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</si>
  <si>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</si>
  <si>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</si>
  <si>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</si>
  <si>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</si>
  <si>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</si>
  <si>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</si>
  <si>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</si>
  <si>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</si>
  <si>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</si>
  <si>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</si>
  <si>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</si>
  <si>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</si>
  <si>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</si>
  <si>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</si>
  <si>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</si>
  <si>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</si>
  <si>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</si>
  <si>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</si>
  <si>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</si>
  <si>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</si>
  <si>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</si>
  <si>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</si>
  <si>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</si>
  <si>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</si>
  <si>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</si>
  <si>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</si>
  <si>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</si>
  <si>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</si>
  <si>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</si>
  <si>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</si>
  <si>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</si>
  <si>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</si>
  <si>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</si>
  <si>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</si>
  <si>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</si>
  <si>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</si>
  <si>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</si>
  <si>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</si>
  <si>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</si>
  <si>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</si>
  <si>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</si>
  <si>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</si>
  <si>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</si>
  <si>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</si>
  <si>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</si>
  <si>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</si>
  <si>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</si>
  <si>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</si>
  <si>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</si>
  <si>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</si>
  <si>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</si>
  <si>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</si>
  <si>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</si>
  <si>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</si>
  <si>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</si>
  <si>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</si>
  <si>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</si>
  <si>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</si>
  <si>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</si>
  <si>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</si>
  <si>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</si>
  <si>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</si>
  <si>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</si>
  <si>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</si>
  <si>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</si>
  <si>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</si>
  <si>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</si>
  <si>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</si>
  <si>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</si>
  <si>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</si>
  <si>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</si>
  <si>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</si>
  <si>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</si>
  <si>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</si>
  <si>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</si>
  <si>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</si>
  <si>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</si>
  <si>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</si>
  <si>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</si>
  <si>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</si>
  <si>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</si>
  <si>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</si>
  <si>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</si>
  <si>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</si>
  <si>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</si>
  <si>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</si>
  <si>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</si>
  <si>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</si>
  <si>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</si>
  <si>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</si>
  <si>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</si>
  <si>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</si>
  <si>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</si>
  <si>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</si>
  <si>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</si>
  <si>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</si>
  <si>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</si>
  <si>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</si>
  <si>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</si>
  <si>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</si>
  <si>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</si>
  <si>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</si>
  <si>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</si>
  <si>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</si>
  <si>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</si>
  <si>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</si>
  <si>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</si>
  <si>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</si>
  <si>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</si>
  <si>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</si>
  <si>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</si>
  <si>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</si>
  <si>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</si>
  <si>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</si>
  <si>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</si>
  <si>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</si>
  <si>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</si>
  <si>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</si>
  <si>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</si>
  <si>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</si>
  <si>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</si>
  <si>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</si>
  <si>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</si>
  <si>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</si>
  <si>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</si>
  <si>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</si>
  <si>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</si>
  <si>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</si>
  <si>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</si>
  <si>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</si>
  <si>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</si>
  <si>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</si>
  <si>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</si>
  <si>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</si>
  <si>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</si>
  <si>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</si>
  <si>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</si>
  <si>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</si>
  <si>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</si>
  <si>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</si>
  <si>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</si>
  <si>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</si>
  <si>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</si>
  <si>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</si>
  <si>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</si>
  <si>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</si>
  <si>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</si>
  <si>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</si>
  <si>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</si>
  <si>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</si>
  <si>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</si>
  <si>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</si>
  <si>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</si>
  <si>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</si>
  <si>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</si>
  <si>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</si>
  <si>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</si>
  <si>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</si>
  <si>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</si>
  <si>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</si>
  <si>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</si>
  <si>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</si>
  <si>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</si>
  <si>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</si>
  <si>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</si>
  <si>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</si>
  <si>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</si>
  <si>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</si>
  <si>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</si>
  <si>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</si>
  <si>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</si>
  <si>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</si>
  <si>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</si>
  <si>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</si>
  <si>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</si>
  <si>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</si>
  <si>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</si>
  <si>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</si>
  <si>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</si>
  <si>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</si>
  <si>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</si>
  <si>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</si>
  <si>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</si>
  <si>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</si>
  <si>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</si>
  <si>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</si>
  <si>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</si>
  <si>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</si>
  <si>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</si>
  <si>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</si>
  <si>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</si>
  <si>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</si>
  <si>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</si>
  <si>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</si>
  <si>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</si>
  <si>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</si>
  <si>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</si>
  <si>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</si>
  <si>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</si>
  <si>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</si>
  <si>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</si>
  <si>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</si>
  <si>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</si>
  <si>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</si>
  <si>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</si>
  <si>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</si>
  <si>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</si>
  <si>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</si>
  <si>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</si>
  <si>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</si>
  <si>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</si>
  <si>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</si>
  <si>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</si>
  <si>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</si>
  <si>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</si>
  <si>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</si>
  <si>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</si>
  <si>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</si>
  <si>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</si>
  <si>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</si>
  <si>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</si>
  <si>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</si>
  <si>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</si>
  <si>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</si>
  <si>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</si>
  <si>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</si>
  <si>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</si>
  <si>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</si>
  <si>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</si>
  <si>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</si>
  <si>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</si>
  <si>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</si>
  <si>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</si>
  <si>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</si>
  <si>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</si>
  <si>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</si>
  <si>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</si>
  <si>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</si>
  <si>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</si>
  <si>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</si>
  <si>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</si>
  <si>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</si>
  <si>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</si>
  <si>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</si>
  <si>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</si>
  <si>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</si>
  <si>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</si>
  <si>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</si>
  <si>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</si>
  <si>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</si>
  <si>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</si>
  <si>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</si>
  <si>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</si>
  <si>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</si>
  <si>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</si>
  <si>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</si>
  <si>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</si>
  <si>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</si>
  <si>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</si>
  <si>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</si>
  <si>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</si>
  <si>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</si>
  <si>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</si>
  <si>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</si>
  <si>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</si>
  <si>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</si>
  <si>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</si>
  <si>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</si>
  <si>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</si>
  <si>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</si>
  <si>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</si>
  <si>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</si>
  <si>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</si>
  <si>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</si>
  <si>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</si>
  <si>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</si>
  <si>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</si>
  <si>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</si>
  <si>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</si>
  <si>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</si>
  <si>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</si>
  <si>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</si>
  <si>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</si>
  <si>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</si>
  <si>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</si>
  <si>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</si>
  <si>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</si>
  <si>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</si>
  <si>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</si>
  <si>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</si>
  <si>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</si>
  <si>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</si>
  <si>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</si>
  <si>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</si>
  <si>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</si>
  <si>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</si>
  <si>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</si>
  <si>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</si>
  <si>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</si>
  <si>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</si>
  <si>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</si>
  <si>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</si>
  <si>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</si>
  <si>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</si>
  <si>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</si>
  <si>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</si>
  <si>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</si>
  <si>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</si>
  <si>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</si>
  <si>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</si>
  <si>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</si>
  <si>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</si>
  <si>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</si>
  <si>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</si>
  <si>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</si>
  <si>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</si>
  <si>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</si>
  <si>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</si>
  <si>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</si>
  <si>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</si>
  <si>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</si>
  <si>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</si>
  <si>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</si>
  <si>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</si>
  <si>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</si>
  <si>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</si>
  <si>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</si>
  <si>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</si>
  <si>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</si>
  <si>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</si>
  <si>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</si>
  <si>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</si>
  <si>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</si>
  <si>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</si>
  <si>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</si>
  <si>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</si>
  <si>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</si>
  <si>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</si>
  <si>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</si>
  <si>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</si>
  <si>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</si>
  <si>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</si>
  <si>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</si>
  <si>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</si>
  <si>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</si>
  <si>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</si>
  <si>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</si>
  <si>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</si>
  <si>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</si>
  <si>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</si>
  <si>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</si>
  <si>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</si>
  <si>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</si>
  <si>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</si>
  <si>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</si>
  <si>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</si>
  <si>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</si>
  <si>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</si>
  <si>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</si>
  <si>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</si>
  <si>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</si>
  <si>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</si>
  <si>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</si>
  <si>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</si>
  <si>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</si>
  <si>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</si>
  <si>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</si>
  <si>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</si>
  <si>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</si>
  <si>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</si>
  <si>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</si>
  <si>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</si>
  <si>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</si>
  <si>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</si>
  <si>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</si>
  <si>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</si>
  <si>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</si>
  <si>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</si>
  <si>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</si>
  <si>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</si>
  <si>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</si>
  <si>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</si>
  <si>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</si>
  <si>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</si>
  <si>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</si>
  <si>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</si>
  <si>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</si>
  <si>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</si>
  <si>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</si>
  <si>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</si>
  <si>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</si>
  <si>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</si>
  <si>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</si>
  <si>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</si>
  <si>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</si>
  <si>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</si>
  <si>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</si>
  <si>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</si>
  <si>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</si>
  <si>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</si>
  <si>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</si>
  <si>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</si>
  <si>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</si>
  <si>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</si>
  <si>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</si>
  <si>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</si>
  <si>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</si>
  <si>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</si>
  <si>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</si>
  <si>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</si>
  <si>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</si>
  <si>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</si>
  <si>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</si>
  <si>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</si>
  <si>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</si>
  <si>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</si>
  <si>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</si>
  <si>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</si>
  <si>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</si>
  <si>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</si>
  <si>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</si>
  <si>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</si>
  <si>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</si>
  <si>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</si>
  <si>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</si>
  <si>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</si>
  <si>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</si>
  <si>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</si>
  <si>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</si>
  <si>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</si>
  <si>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</si>
  <si>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</si>
  <si>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</si>
  <si>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</si>
  <si>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</si>
  <si>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</si>
  <si>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</si>
  <si>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</si>
  <si>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</si>
  <si>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</si>
  <si>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</si>
  <si>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</si>
  <si>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</si>
  <si>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</si>
  <si>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</si>
  <si>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</si>
  <si>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</si>
  <si>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</si>
  <si>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</si>
  <si>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</si>
  <si>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</si>
  <si>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</si>
  <si>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</si>
  <si>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</si>
  <si>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</si>
  <si>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</si>
  <si>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</si>
  <si>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</si>
  <si>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</si>
  <si>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</si>
  <si>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</si>
  <si>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</si>
  <si>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</si>
  <si>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</si>
  <si>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</si>
  <si>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</si>
  <si>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</si>
  <si>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</si>
  <si>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</si>
  <si>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</si>
  <si>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</si>
  <si>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</si>
  <si>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</si>
  <si>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</si>
  <si>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</si>
  <si>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</si>
  <si>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</si>
  <si>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</si>
  <si>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</si>
  <si>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</si>
  <si>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</si>
  <si>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</si>
  <si>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</si>
  <si>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</si>
  <si>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</si>
  <si>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</si>
  <si>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</si>
  <si>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</si>
  <si>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</si>
  <si>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</si>
  <si>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</si>
  <si>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</si>
  <si>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</si>
  <si>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</si>
  <si>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</si>
  <si>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</si>
  <si>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</si>
  <si>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</si>
  <si>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</si>
  <si>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</si>
  <si>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</si>
  <si>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</si>
  <si>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</si>
  <si>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</si>
  <si>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</si>
  <si>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</si>
  <si>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</si>
  <si>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</si>
  <si>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</si>
  <si>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</si>
  <si>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</si>
  <si>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</si>
  <si>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</si>
  <si>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</si>
  <si>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</si>
  <si>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</si>
  <si>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</si>
  <si>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</si>
  <si>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</si>
  <si>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</si>
  <si>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</si>
  <si>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</si>
  <si>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</si>
  <si>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</si>
  <si>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</si>
  <si>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</si>
  <si>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</si>
  <si>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</si>
  <si>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</si>
  <si>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</si>
  <si>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</si>
  <si>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</si>
  <si>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</si>
  <si>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</si>
  <si>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</si>
  <si>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</si>
  <si>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</si>
  <si>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</si>
  <si>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</si>
  <si>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</si>
  <si>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</si>
  <si>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</si>
  <si>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</si>
  <si>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</si>
  <si>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</si>
  <si>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</si>
  <si>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</si>
  <si>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</si>
  <si>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</si>
  <si>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</si>
  <si>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</si>
  <si>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</si>
  <si>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</si>
  <si>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</si>
  <si>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</si>
  <si>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</si>
  <si>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</si>
  <si>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</si>
  <si>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</si>
  <si>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</si>
  <si>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</si>
  <si>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</si>
  <si>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</si>
  <si>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</si>
  <si>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</si>
  <si>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</si>
  <si>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</si>
  <si>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</si>
  <si>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</si>
  <si>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</si>
  <si>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</si>
  <si>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</si>
  <si>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</si>
  <si>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</si>
  <si>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</si>
  <si>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</si>
  <si>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</si>
  <si>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</si>
  <si>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</si>
  <si>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</si>
  <si>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</si>
  <si>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</si>
  <si>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</si>
  <si>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</si>
  <si>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</si>
  <si>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</si>
  <si>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</si>
  <si>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</si>
  <si>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</si>
  <si>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</si>
  <si>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</si>
  <si>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</si>
  <si>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</si>
  <si>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</si>
  <si>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</si>
  <si>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</si>
  <si>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</si>
  <si>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</si>
  <si>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</si>
  <si>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</si>
  <si>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</si>
  <si>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</si>
  <si>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</si>
  <si>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</si>
  <si>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</si>
  <si>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</si>
  <si>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</si>
  <si>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</si>
  <si>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</si>
  <si>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</si>
  <si>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</si>
  <si>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</si>
  <si>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</si>
  <si>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</si>
  <si>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</si>
  <si>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</si>
  <si>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</si>
  <si>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</si>
  <si>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</si>
  <si>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</si>
  <si>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</si>
  <si>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</si>
  <si>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</si>
  <si>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</si>
  <si>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</si>
  <si>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</si>
  <si>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</si>
  <si>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</si>
  <si>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</si>
  <si>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</si>
  <si>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</si>
  <si>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</si>
  <si>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</si>
  <si>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</si>
  <si>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</si>
  <si>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</si>
  <si>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</si>
  <si>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</si>
  <si>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</si>
  <si>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</si>
  <si>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</si>
  <si>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</si>
  <si>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</si>
  <si>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</si>
  <si>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</si>
  <si>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</si>
  <si>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</si>
  <si>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</si>
  <si>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</si>
  <si>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</si>
  <si>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</si>
  <si>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</si>
  <si>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</si>
  <si>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</si>
  <si>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</si>
  <si>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</si>
  <si>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</si>
  <si>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</si>
  <si>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</si>
  <si>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</si>
  <si>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</si>
  <si>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</si>
  <si>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</si>
  <si>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</si>
  <si>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</si>
  <si>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</si>
  <si>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</si>
  <si>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</si>
  <si>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</si>
  <si>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</si>
  <si>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</si>
  <si>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</si>
  <si>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</si>
  <si>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</si>
  <si>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</si>
  <si>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</si>
  <si>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</si>
  <si>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</si>
  <si>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</si>
  <si>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</si>
  <si>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</si>
  <si>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</si>
  <si>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</si>
  <si>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</si>
  <si>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</si>
  <si>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</si>
  <si>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</si>
  <si>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</si>
  <si>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</si>
  <si>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</si>
  <si>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</si>
  <si>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</si>
  <si>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</si>
  <si>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</si>
  <si>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</si>
  <si>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</si>
  <si>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</si>
  <si>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</si>
  <si>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</si>
  <si>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</si>
  <si>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</si>
  <si>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</si>
  <si>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</si>
  <si>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</si>
  <si>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</si>
  <si>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</si>
  <si>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</si>
  <si>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</si>
  <si>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</si>
  <si>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</si>
  <si>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</si>
  <si>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</si>
  <si>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</si>
  <si>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</si>
  <si>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</si>
  <si>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</si>
  <si>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</si>
  <si>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</si>
  <si>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</si>
  <si>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</si>
  <si>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</si>
  <si>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</si>
  <si>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</si>
  <si>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</si>
  <si>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</si>
  <si>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</si>
  <si>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</si>
  <si>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</si>
  <si>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</si>
  <si>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</si>
  <si>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</si>
  <si>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</si>
  <si>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</si>
  <si>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</si>
  <si>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</si>
  <si>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</si>
  <si>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</si>
  <si>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</si>
  <si>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</si>
  <si>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</si>
  <si>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</si>
  <si>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</si>
  <si>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</si>
  <si>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</si>
  <si>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</si>
  <si>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</si>
  <si>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</si>
  <si>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</si>
  <si>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</si>
  <si>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</si>
  <si>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</si>
  <si>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</si>
  <si>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</si>
  <si>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</si>
  <si>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</si>
  <si>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</si>
  <si>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</si>
  <si>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</si>
  <si>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</si>
  <si>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</si>
  <si>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</si>
  <si>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</si>
  <si>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</si>
  <si>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</si>
  <si>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</si>
  <si>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</si>
  <si>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</si>
  <si>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</si>
  <si>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</si>
  <si>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</si>
  <si>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</si>
  <si>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</si>
  <si>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</si>
  <si>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</si>
  <si>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</si>
  <si>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</si>
  <si>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</si>
  <si>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</si>
  <si>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</si>
  <si>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</si>
  <si>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</si>
  <si>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</si>
  <si>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</si>
  <si>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</si>
  <si>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</si>
  <si>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</si>
  <si>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</si>
  <si>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</si>
  <si>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</si>
  <si>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</si>
  <si>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</si>
  <si>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</si>
  <si>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</si>
  <si>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</si>
  <si>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</si>
  <si>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</si>
  <si>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</si>
  <si>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</si>
  <si>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</si>
  <si>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</si>
  <si>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</si>
  <si>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</si>
  <si>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</si>
  <si>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</si>
  <si>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</si>
  <si>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</si>
  <si>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</si>
  <si>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</si>
  <si>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</si>
  <si>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</si>
  <si>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</si>
  <si>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</si>
  <si>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</si>
  <si>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</si>
  <si>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</si>
  <si>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</si>
  <si>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</si>
  <si>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</si>
  <si>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</si>
  <si>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</si>
  <si>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</si>
  <si>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</si>
  <si>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</si>
  <si>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</si>
  <si>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</si>
  <si>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</si>
  <si>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</si>
  <si>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</si>
  <si>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</si>
  <si>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</si>
  <si>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</si>
  <si>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</si>
  <si>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</si>
  <si>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</si>
  <si>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</si>
  <si>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</si>
  <si>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</si>
  <si>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</si>
  <si>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</si>
  <si>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</si>
  <si>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</si>
  <si>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</si>
  <si>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</si>
  <si>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</si>
  <si>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</si>
  <si>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</si>
  <si>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</si>
  <si>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</si>
  <si>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</si>
  <si>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</si>
  <si>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</si>
  <si>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</si>
  <si>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</si>
  <si>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</si>
  <si>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</si>
  <si>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</si>
  <si>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</si>
  <si>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</si>
  <si>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</si>
  <si>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</si>
  <si>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</si>
  <si>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</si>
  <si>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</si>
  <si>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</si>
  <si>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</si>
  <si>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</si>
  <si>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</si>
  <si>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</si>
  <si>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</si>
  <si>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</si>
  <si>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</si>
  <si>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</si>
  <si>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</si>
  <si>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</si>
  <si>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</si>
  <si>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</si>
  <si>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</si>
  <si>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</si>
  <si>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</si>
  <si>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</si>
  <si>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</si>
  <si>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</si>
  <si>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</si>
  <si>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</si>
  <si>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</si>
  <si>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</si>
  <si>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</si>
  <si>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</si>
  <si>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</si>
  <si>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</si>
  <si>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</si>
  <si>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</si>
  <si>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</si>
  <si>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</si>
  <si>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</si>
  <si>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</si>
  <si>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</si>
  <si>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</si>
  <si>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</si>
  <si>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</si>
  <si>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</si>
  <si>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</si>
  <si>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</si>
  <si>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</si>
  <si>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</si>
  <si>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</si>
  <si>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</si>
  <si>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</si>
  <si>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</si>
  <si>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</si>
  <si>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</si>
  <si>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</si>
  <si>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</si>
  <si>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</si>
  <si>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</si>
  <si>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</si>
  <si>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</si>
  <si>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</si>
  <si>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</si>
  <si>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</si>
  <si>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</si>
  <si>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</si>
  <si>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</si>
  <si>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</si>
  <si>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</si>
  <si>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</si>
  <si>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</si>
  <si>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</si>
  <si>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</si>
  <si>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</si>
  <si>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</si>
  <si>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</si>
  <si>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</si>
  <si>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</si>
  <si>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</si>
  <si>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</si>
  <si>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</si>
  <si>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</si>
  <si>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</si>
  <si>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</si>
  <si>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</si>
  <si>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</si>
  <si>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</si>
  <si>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</si>
  <si>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</si>
  <si>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</si>
  <si>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</si>
  <si>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</si>
  <si>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</si>
  <si>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</si>
  <si>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</si>
  <si>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</si>
  <si>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</si>
  <si>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</si>
  <si>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</si>
  <si>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</si>
  <si>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</si>
  <si>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</si>
  <si>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</si>
  <si>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</si>
  <si>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</si>
  <si>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</si>
  <si>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</si>
  <si>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</si>
  <si>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</si>
  <si>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</si>
  <si>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</si>
  <si>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</si>
  <si>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</si>
  <si>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</si>
  <si>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</si>
  <si>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</si>
  <si>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</si>
  <si>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</si>
  <si>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</si>
  <si>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</si>
  <si>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</si>
  <si>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</si>
  <si>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</si>
  <si>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</si>
  <si>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</si>
  <si>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</si>
  <si>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</si>
  <si>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</si>
  <si>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</si>
  <si>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</si>
  <si>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</si>
  <si>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</si>
  <si>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</si>
  <si>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</si>
  <si>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</si>
  <si>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</si>
  <si>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</si>
  <si>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</si>
  <si>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</si>
  <si>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</si>
  <si>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</si>
  <si>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</si>
  <si>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</si>
  <si>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</si>
  <si>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</si>
  <si>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</si>
  <si>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</si>
  <si>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</si>
  <si>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</si>
  <si>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</si>
  <si>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</si>
  <si>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</si>
  <si>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</si>
  <si>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</si>
  <si>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</si>
  <si>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</si>
  <si>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</si>
  <si>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</si>
  <si>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</si>
  <si>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</si>
  <si>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</si>
  <si>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</si>
  <si>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</si>
  <si>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</si>
  <si>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</si>
  <si>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</si>
  <si>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</si>
  <si>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</si>
  <si>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</si>
  <si>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</si>
  <si>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</si>
  <si>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</si>
  <si>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</si>
  <si>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</si>
  <si>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</si>
  <si>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</si>
  <si>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</si>
  <si>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</si>
  <si>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</si>
  <si>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</si>
  <si>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</si>
  <si>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</si>
  <si>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</si>
  <si>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</si>
  <si>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</si>
  <si>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</si>
  <si>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</si>
  <si>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</si>
  <si>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</si>
  <si>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</si>
  <si>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</si>
  <si>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</si>
  <si>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</si>
  <si>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</si>
  <si>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</si>
  <si>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</si>
  <si>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</si>
  <si>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</si>
  <si>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</si>
  <si>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</si>
  <si>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</si>
  <si>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</si>
  <si>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</si>
  <si>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</si>
  <si>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</si>
  <si>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</si>
  <si>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</si>
  <si>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</si>
  <si>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</si>
  <si>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</si>
  <si>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</si>
  <si>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</si>
  <si>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</si>
  <si>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</si>
  <si>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</si>
  <si>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</si>
  <si>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</si>
  <si>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</si>
  <si>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</si>
  <si>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</si>
  <si>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</si>
  <si>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</si>
  <si>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</si>
  <si>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</si>
  <si>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</si>
  <si>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</si>
  <si>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</si>
  <si>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</si>
  <si>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</si>
  <si>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</si>
  <si>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</si>
  <si>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</si>
  <si>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</si>
  <si>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</si>
  <si>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</si>
  <si>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</si>
  <si>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</si>
  <si>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</si>
  <si>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</si>
  <si>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</si>
  <si>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</si>
  <si>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</si>
  <si>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</si>
  <si>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</si>
  <si>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</si>
  <si>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</si>
  <si>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</si>
  <si>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</si>
  <si>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</si>
  <si>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</si>
  <si>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</si>
  <si>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</si>
  <si>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</si>
  <si>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</si>
  <si>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</si>
  <si>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</si>
  <si>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</si>
  <si>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</si>
  <si>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</si>
  <si>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</si>
  <si>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</si>
  <si>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</si>
  <si>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</si>
  <si>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</si>
  <si>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</si>
  <si>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</si>
  <si>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</si>
  <si>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</si>
  <si>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</si>
  <si>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</si>
  <si>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</si>
  <si>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</si>
  <si>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</si>
  <si>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</si>
  <si>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</si>
  <si>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</si>
  <si>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</si>
  <si>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</si>
  <si>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</si>
  <si>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</si>
  <si>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</si>
  <si>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</si>
  <si>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</si>
  <si>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</si>
  <si>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</si>
  <si>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</si>
  <si>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</si>
  <si>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</si>
  <si>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</si>
  <si>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</si>
  <si>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</si>
  <si>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</si>
  <si>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</si>
  <si>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</si>
  <si>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</si>
  <si>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</si>
  <si>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</si>
  <si>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</si>
  <si>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</si>
  <si>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</si>
  <si>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</si>
  <si>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</si>
  <si>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</si>
  <si>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</si>
  <si>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</si>
  <si>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</si>
  <si>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</si>
  <si>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</si>
  <si>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</si>
  <si>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</si>
  <si>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</si>
  <si>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</si>
  <si>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</si>
  <si>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</si>
  <si>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</si>
  <si>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</si>
  <si>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</si>
  <si>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</si>
  <si>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</si>
  <si>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</si>
  <si>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</si>
  <si>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</si>
  <si>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</si>
  <si>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</si>
  <si>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</si>
  <si>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</si>
  <si>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</si>
  <si>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</si>
  <si>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</si>
  <si>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</si>
  <si>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</si>
  <si>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</si>
  <si>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</si>
  <si>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</si>
  <si>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</si>
  <si>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</si>
  <si>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</si>
  <si>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</si>
  <si>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</si>
  <si>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</si>
  <si>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</si>
  <si>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</si>
  <si>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</si>
  <si>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</si>
  <si>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</si>
  <si>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</si>
  <si>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</si>
  <si>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</si>
  <si>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</si>
  <si>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</si>
  <si>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</si>
  <si>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</si>
  <si>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</si>
  <si>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</si>
  <si>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</si>
  <si>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</si>
  <si>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</si>
  <si>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</si>
  <si>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</si>
  <si>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</si>
  <si>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</si>
  <si>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</si>
  <si>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</si>
  <si>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</si>
  <si>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</si>
  <si>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</si>
  <si>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</si>
  <si>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</si>
  <si>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</si>
  <si>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</si>
  <si>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</si>
  <si>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</si>
  <si>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</si>
  <si>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</si>
  <si>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</si>
  <si>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</si>
  <si>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</si>
  <si>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</si>
  <si>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</si>
  <si>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</si>
  <si>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</si>
  <si>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</si>
  <si>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</si>
  <si>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</si>
  <si>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</si>
  <si>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</si>
  <si>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</si>
  <si>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</si>
  <si>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</si>
  <si>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</si>
  <si>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</si>
  <si>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</si>
  <si>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</si>
  <si>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</si>
  <si>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</si>
  <si>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</si>
  <si>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</si>
  <si>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</si>
  <si>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</si>
  <si>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</si>
  <si>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</si>
  <si>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</si>
  <si>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</si>
  <si>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</si>
  <si>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</si>
  <si>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</si>
  <si>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</si>
  <si>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</si>
  <si>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</si>
  <si>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</si>
  <si>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</si>
  <si>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</si>
  <si>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</si>
  <si>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</si>
  <si>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</si>
  <si>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</si>
  <si>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</si>
  <si>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</si>
  <si>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</si>
  <si>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</si>
  <si>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</si>
  <si>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</si>
  <si>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</si>
  <si>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</si>
  <si>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</si>
  <si>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</si>
  <si>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</si>
  <si>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</si>
  <si>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</si>
  <si>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</si>
  <si>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</si>
  <si>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</si>
  <si>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</si>
  <si>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</si>
  <si>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</si>
  <si>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</si>
  <si>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</si>
  <si>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</si>
  <si>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</si>
  <si>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</si>
  <si>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</si>
  <si>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</si>
  <si>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</si>
  <si>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</si>
  <si>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</si>
  <si>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</si>
  <si>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</si>
  <si>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</si>
  <si>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</si>
  <si>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</si>
  <si>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</si>
  <si>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</si>
  <si>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</si>
  <si>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</si>
  <si>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</si>
  <si>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</si>
  <si>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</si>
  <si>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</si>
  <si>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</si>
  <si>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</si>
  <si>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</si>
  <si>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</si>
  <si>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</si>
  <si>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</si>
  <si>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</si>
  <si>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</si>
  <si>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</si>
  <si>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</si>
  <si>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</si>
  <si>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</si>
  <si>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</si>
  <si>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</si>
  <si>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</si>
  <si>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</si>
  <si>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</si>
  <si>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</si>
  <si>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</si>
  <si>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</si>
  <si>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</si>
  <si>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</si>
  <si>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</si>
  <si>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</si>
  <si>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</si>
  <si>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</si>
  <si>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</si>
  <si>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</si>
  <si>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</si>
  <si>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</si>
  <si>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</si>
  <si>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</si>
  <si>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</si>
  <si>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</si>
  <si>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</si>
  <si>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</si>
  <si>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</si>
  <si>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</si>
  <si>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</si>
  <si>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</si>
  <si>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</si>
  <si>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</si>
  <si>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</si>
  <si>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</si>
  <si>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</si>
  <si>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</si>
  <si>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</si>
  <si>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</si>
  <si>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</si>
  <si>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</si>
  <si>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</si>
  <si>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</si>
  <si>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</si>
  <si>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</si>
  <si>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</si>
  <si>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</si>
  <si>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</si>
  <si>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</si>
  <si>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</si>
  <si>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</si>
  <si>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</si>
  <si>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</si>
  <si>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</si>
  <si>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</si>
  <si>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</si>
  <si>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</si>
  <si>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</si>
  <si>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</si>
  <si>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</si>
  <si>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</si>
  <si>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</si>
  <si>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</si>
  <si>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</si>
  <si>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</si>
  <si>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</si>
  <si>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</si>
  <si>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</si>
  <si>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</si>
  <si>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</si>
  <si>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</si>
  <si>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</si>
  <si>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</si>
  <si>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</si>
  <si>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</si>
  <si>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</si>
  <si>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</si>
  <si>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</si>
  <si>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</si>
  <si>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</si>
  <si>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</si>
  <si>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</si>
  <si>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</si>
  <si>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</si>
  <si>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</si>
  <si>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</si>
  <si>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</si>
  <si>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</si>
  <si>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</si>
  <si>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</si>
  <si>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</si>
  <si>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</si>
  <si>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</si>
  <si>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</si>
  <si>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</si>
  <si>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</si>
  <si>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</si>
  <si>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</si>
  <si>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</si>
  <si>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</si>
  <si>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</si>
  <si>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</si>
  <si>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</si>
  <si>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</si>
  <si>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</si>
  <si>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</si>
  <si>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</si>
  <si>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</si>
  <si>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</si>
  <si>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</si>
  <si>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</si>
  <si>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</si>
  <si>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</si>
  <si>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</si>
  <si>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</si>
  <si>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</si>
  <si>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</si>
  <si>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</si>
  <si>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</si>
  <si>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</si>
  <si>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</si>
  <si>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</si>
  <si>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</si>
  <si>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</si>
  <si>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</si>
  <si>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</si>
  <si>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</si>
  <si>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</si>
  <si>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</si>
  <si>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</si>
  <si>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</si>
  <si>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</si>
  <si>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</si>
  <si>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</si>
  <si>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</si>
  <si>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</si>
  <si>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</si>
  <si>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</si>
  <si>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</si>
  <si>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</si>
  <si>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</si>
  <si>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</si>
  <si>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</si>
  <si>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</si>
  <si>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</si>
  <si>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</si>
  <si>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</si>
  <si>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</si>
  <si>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</si>
  <si>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</si>
  <si>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</si>
  <si>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</si>
  <si>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</si>
  <si>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</si>
  <si>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</si>
  <si>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</si>
  <si>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</si>
  <si>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</si>
  <si>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</si>
  <si>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</si>
  <si>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</si>
  <si>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</si>
  <si>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</si>
  <si>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</si>
  <si>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</si>
  <si>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</si>
  <si>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</si>
  <si>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</si>
  <si>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</si>
  <si>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</si>
  <si>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</si>
  <si>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</si>
  <si>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</si>
  <si>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</si>
  <si>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</si>
  <si>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</si>
  <si>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</si>
  <si>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</si>
  <si>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</si>
  <si>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</si>
  <si>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</si>
  <si>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</si>
  <si>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</si>
  <si>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</si>
  <si>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</si>
  <si>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</si>
  <si>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</si>
  <si>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</si>
  <si>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</si>
  <si>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</si>
  <si>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</si>
  <si>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</si>
  <si>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</si>
  <si>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</si>
  <si>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</si>
  <si>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</si>
  <si>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</si>
  <si>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</si>
  <si>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</si>
  <si>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</si>
  <si>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</si>
  <si>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</si>
  <si>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</si>
  <si>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</si>
  <si>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</si>
  <si>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</si>
  <si>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</si>
  <si>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</si>
  <si>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</si>
  <si>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</si>
  <si>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</si>
  <si>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</si>
  <si>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</si>
  <si>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</si>
  <si>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</si>
  <si>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</si>
  <si>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</si>
  <si>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</si>
  <si>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</si>
  <si>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</si>
  <si>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</si>
  <si>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</si>
  <si>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</si>
  <si>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</si>
  <si>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</si>
  <si>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</si>
  <si>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</si>
  <si>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</si>
  <si>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</si>
  <si>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</si>
  <si>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</si>
  <si>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</si>
  <si>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</si>
  <si>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</si>
  <si>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</si>
  <si>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</si>
  <si>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</si>
  <si>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</si>
  <si>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</si>
  <si>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</si>
  <si>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</si>
  <si>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</si>
  <si>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</si>
  <si>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</si>
  <si>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</si>
  <si>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</si>
  <si>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</si>
  <si>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</si>
  <si>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</si>
  <si>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</si>
  <si>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</si>
  <si>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</si>
  <si>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</si>
  <si>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</si>
  <si>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</si>
  <si>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</si>
  <si>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</si>
  <si>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</si>
  <si>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</si>
  <si>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</si>
  <si>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</si>
  <si>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</si>
  <si>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</si>
  <si>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</si>
  <si>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</si>
  <si>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</si>
  <si>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</si>
  <si>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</si>
  <si>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</si>
  <si>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</si>
  <si>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</si>
  <si>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</si>
  <si>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</si>
  <si>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</si>
  <si>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</si>
  <si>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</si>
  <si>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</si>
  <si>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</si>
  <si>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</si>
  <si>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</si>
  <si>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</si>
  <si>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</si>
  <si>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</si>
  <si>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</si>
  <si>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</si>
  <si>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</si>
  <si>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</si>
  <si>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</si>
  <si>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</si>
  <si>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</si>
  <si>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</si>
  <si>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</si>
  <si>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</si>
  <si>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</si>
  <si>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</si>
  <si>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</si>
  <si>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</si>
  <si>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</si>
  <si>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</si>
  <si>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</si>
  <si>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</si>
  <si>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</si>
  <si>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</si>
  <si>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</si>
  <si>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</si>
  <si>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</si>
  <si>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</si>
  <si>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</si>
  <si>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</si>
  <si>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</si>
  <si>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</si>
  <si>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</si>
  <si>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</si>
  <si>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</si>
  <si>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</si>
  <si>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</si>
  <si>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</si>
  <si>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</si>
  <si>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</si>
  <si>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</si>
  <si>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</si>
  <si>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</si>
  <si>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</si>
  <si>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</si>
  <si>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</si>
  <si>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</si>
  <si>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</si>
  <si>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</si>
  <si>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</si>
  <si>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</si>
  <si>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</si>
  <si>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</si>
  <si>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</si>
  <si>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</si>
  <si>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</si>
  <si>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</si>
  <si>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</si>
  <si>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</si>
  <si>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</si>
  <si>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</si>
  <si>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</si>
  <si>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</si>
  <si>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</si>
  <si>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</si>
  <si>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</si>
  <si>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</si>
  <si>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</si>
  <si>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</si>
  <si>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</si>
  <si>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</si>
  <si>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</si>
  <si>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</si>
  <si>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</si>
  <si>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</si>
  <si>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</si>
  <si>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</si>
  <si>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</si>
  <si>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</si>
  <si>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</si>
  <si>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</si>
  <si>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</si>
  <si>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</si>
  <si>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</si>
  <si>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</si>
  <si>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</si>
  <si>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</si>
  <si>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</si>
  <si>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</si>
  <si>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</si>
  <si>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</si>
  <si>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</si>
  <si>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</si>
  <si>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</si>
  <si>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</si>
  <si>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</si>
  <si>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</si>
  <si>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</si>
  <si>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</si>
  <si>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</si>
  <si>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</si>
  <si>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</si>
  <si>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</si>
  <si>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</si>
  <si>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</si>
  <si>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</si>
  <si>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</si>
  <si>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</si>
  <si>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</si>
  <si>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</si>
  <si>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</si>
  <si>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</si>
  <si>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</si>
  <si>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</si>
  <si>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</si>
  <si>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</si>
  <si>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</si>
  <si>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</si>
  <si>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</si>
  <si>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</si>
  <si>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</si>
  <si>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</si>
  <si>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</si>
  <si>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</si>
  <si>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</si>
  <si>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</si>
  <si>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</si>
  <si>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</si>
  <si>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</si>
  <si>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</si>
  <si>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</si>
  <si>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</si>
  <si>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</si>
  <si>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</si>
  <si>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</si>
  <si>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</si>
  <si>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</si>
  <si>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</si>
  <si>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</si>
  <si>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</si>
  <si>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</si>
  <si>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</si>
  <si>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</si>
  <si>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</si>
  <si>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</si>
  <si>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</si>
  <si>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</si>
  <si>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</si>
  <si>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</si>
  <si>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</si>
  <si>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</si>
  <si>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</si>
  <si>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</si>
  <si>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</si>
  <si>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</si>
  <si>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</si>
  <si>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</si>
  <si>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</si>
  <si>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</si>
  <si>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</si>
  <si>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</si>
  <si>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</si>
  <si>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</si>
  <si>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</si>
  <si>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</si>
  <si>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</si>
  <si>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</si>
  <si>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</si>
  <si>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</si>
  <si>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</si>
  <si>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</si>
  <si>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</si>
  <si>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</si>
  <si>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</si>
  <si>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</si>
  <si>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</si>
  <si>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</si>
  <si>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</si>
  <si>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</si>
  <si>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</si>
  <si>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</si>
  <si>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</si>
  <si>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</si>
  <si>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</si>
  <si>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</si>
  <si>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</si>
  <si>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</si>
  <si>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</si>
  <si>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</si>
  <si>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</si>
  <si>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</si>
  <si>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</si>
  <si>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</si>
  <si>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</si>
  <si>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</si>
  <si>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</si>
  <si>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</si>
  <si>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</si>
  <si>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</si>
  <si>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</si>
  <si>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</si>
  <si>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</si>
  <si>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</si>
  <si>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</si>
  <si>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</si>
  <si>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</si>
  <si>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</si>
  <si>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</si>
  <si>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</si>
  <si>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</si>
  <si>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</si>
  <si>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</si>
  <si>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</si>
  <si>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</si>
  <si>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</si>
  <si>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</si>
  <si>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</si>
  <si>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</si>
  <si>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</si>
  <si>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</si>
  <si>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</si>
  <si>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</si>
  <si>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</si>
  <si>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</si>
  <si>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</si>
  <si>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</si>
  <si>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</si>
  <si>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</si>
  <si>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</si>
  <si>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</si>
  <si>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</si>
  <si>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</si>
  <si>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</si>
  <si>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</si>
  <si>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</si>
  <si>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</si>
  <si>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</si>
  <si>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</si>
  <si>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</si>
  <si>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</si>
  <si>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</si>
  <si>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</si>
  <si>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</si>
  <si>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</si>
  <si>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</si>
  <si>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</si>
  <si>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</si>
  <si>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</si>
  <si>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</si>
  <si>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</si>
  <si>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</si>
  <si>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</si>
  <si>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</si>
  <si>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</si>
  <si>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</si>
  <si>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</si>
  <si>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</si>
  <si>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</si>
  <si>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</si>
  <si>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</si>
  <si>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</si>
  <si>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</si>
  <si>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</si>
  <si>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</si>
  <si>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</si>
  <si>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</si>
  <si>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</si>
  <si>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</si>
  <si>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</si>
  <si>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</si>
  <si>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</si>
  <si>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</si>
  <si>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</si>
  <si>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</si>
  <si>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</si>
  <si>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</si>
  <si>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</si>
  <si>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</si>
  <si>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</si>
  <si>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</si>
  <si>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</si>
  <si>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</si>
  <si>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</si>
  <si>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</si>
  <si>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</si>
  <si>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</si>
  <si>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</si>
  <si>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</si>
  <si>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</si>
  <si>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</si>
  <si>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</si>
  <si>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</si>
  <si>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</si>
  <si>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</si>
  <si>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</si>
  <si>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</si>
  <si>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</si>
  <si>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</si>
  <si>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</si>
  <si>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</si>
  <si>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</si>
  <si>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</si>
  <si>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</si>
  <si>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</si>
  <si>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</si>
  <si>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</si>
  <si>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</si>
  <si>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</si>
  <si>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</si>
  <si>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</si>
  <si>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</si>
  <si>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</si>
  <si>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</si>
  <si>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</si>
  <si>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</si>
  <si>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</si>
  <si>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</si>
  <si>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</si>
  <si>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</si>
  <si>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</si>
  <si>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</si>
  <si>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</si>
  <si>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</si>
  <si>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</si>
  <si>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</si>
  <si>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</si>
  <si>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</si>
  <si>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</si>
  <si>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</si>
  <si>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</si>
  <si>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</si>
  <si>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</si>
  <si>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</si>
  <si>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</si>
  <si>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</si>
  <si>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</si>
  <si>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</si>
  <si>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</si>
  <si>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</si>
  <si>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</si>
  <si>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</si>
  <si>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</si>
  <si>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</si>
  <si>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</si>
  <si>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</si>
  <si>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</si>
  <si>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</si>
  <si>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</si>
  <si>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</si>
  <si>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</si>
  <si>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</si>
  <si>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</si>
  <si>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</si>
  <si>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</si>
  <si>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</si>
  <si>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</si>
  <si>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</si>
  <si>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</si>
  <si>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</si>
  <si>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</si>
  <si>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</si>
  <si>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</si>
  <si>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</si>
  <si>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</si>
  <si>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</si>
  <si>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</si>
  <si>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</si>
  <si>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</si>
  <si>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</si>
  <si>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</si>
  <si>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</si>
  <si>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</si>
  <si>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</si>
  <si>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</si>
  <si>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</si>
  <si>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</si>
  <si>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</si>
  <si>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</si>
  <si>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</si>
  <si>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</si>
  <si>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</si>
  <si>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</si>
  <si>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</si>
  <si>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</si>
  <si>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</si>
  <si>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</si>
  <si>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</si>
  <si>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</si>
  <si>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</si>
  <si>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</si>
  <si>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</si>
  <si>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</si>
  <si>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</si>
  <si>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</si>
  <si>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</si>
  <si>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</si>
  <si>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</si>
  <si>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</si>
  <si>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</si>
  <si>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</si>
  <si>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</si>
  <si>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</si>
  <si>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</si>
  <si>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</si>
  <si>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</si>
  <si>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</si>
  <si>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</si>
  <si>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</si>
  <si>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</si>
  <si>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</si>
  <si>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</si>
  <si>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</si>
  <si>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</si>
  <si>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</si>
  <si>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</si>
  <si>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</si>
  <si>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</si>
  <si>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</si>
  <si>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</si>
  <si>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</si>
  <si>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</si>
  <si>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</si>
  <si>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</si>
  <si>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</si>
  <si>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</si>
  <si>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</si>
  <si>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</si>
  <si>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</si>
  <si>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</si>
  <si>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</si>
  <si>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</si>
  <si>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</si>
  <si>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</si>
  <si>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</si>
  <si>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</si>
  <si>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</si>
  <si>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</si>
  <si>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</si>
  <si>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</si>
  <si>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</si>
  <si>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</si>
  <si>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</si>
  <si>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</si>
  <si>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</si>
  <si>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</si>
  <si>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</si>
  <si>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</si>
  <si>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</si>
  <si>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</si>
  <si>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</si>
  <si>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</si>
  <si>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</si>
  <si>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</si>
  <si>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</si>
  <si>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</si>
  <si>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</si>
  <si>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</si>
  <si>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</si>
  <si>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</si>
  <si>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</si>
  <si>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</si>
  <si>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</si>
  <si>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</si>
  <si>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</si>
  <si>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</si>
  <si>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</si>
  <si>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</si>
  <si>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</si>
  <si>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</si>
  <si>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</si>
  <si>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</si>
  <si>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</si>
  <si>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</si>
  <si>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</si>
  <si>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</si>
  <si>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</si>
  <si>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</si>
  <si>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</si>
  <si>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</si>
  <si>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</si>
  <si>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</si>
  <si>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</si>
  <si>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</si>
  <si>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</si>
  <si>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</si>
  <si>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</si>
  <si>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</si>
  <si>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</si>
  <si>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</si>
  <si>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</si>
  <si>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</si>
  <si>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</si>
  <si>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</si>
  <si>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</si>
  <si>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</si>
  <si>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</si>
  <si>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</si>
  <si>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</si>
  <si>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</si>
  <si>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</si>
  <si>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</si>
  <si>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</si>
  <si>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</si>
  <si>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</si>
  <si>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</si>
  <si>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</si>
  <si>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</si>
  <si>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</si>
  <si>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</si>
  <si>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</si>
  <si>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</si>
  <si>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</si>
  <si>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</si>
  <si>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</si>
  <si>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</si>
  <si>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</si>
  <si>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</si>
  <si>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</si>
  <si>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</si>
  <si>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</si>
  <si>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</si>
  <si>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</si>
  <si>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</si>
  <si>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</si>
  <si>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</si>
  <si>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</si>
  <si>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</si>
  <si>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</si>
  <si>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</si>
  <si>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</si>
  <si>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</si>
  <si>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</si>
  <si>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</si>
  <si>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</si>
  <si>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</si>
  <si>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</si>
  <si>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</si>
  <si>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</si>
  <si>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</si>
  <si>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</si>
  <si>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</si>
  <si>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</si>
  <si>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</si>
  <si>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</si>
  <si>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</si>
  <si>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</si>
  <si>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</si>
  <si>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</si>
  <si>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</si>
  <si>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</si>
  <si>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</si>
  <si>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</si>
  <si>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</si>
  <si>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</si>
  <si>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</si>
  <si>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</si>
  <si>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</si>
  <si>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</si>
  <si>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</si>
  <si>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</si>
  <si>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</si>
  <si>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</si>
  <si>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</si>
  <si>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</si>
  <si>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</si>
  <si>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</si>
  <si>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</si>
  <si>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</si>
  <si>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</si>
  <si>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</si>
  <si>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</si>
  <si>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</si>
  <si>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</si>
  <si>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</si>
  <si>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</si>
  <si>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</si>
  <si>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</si>
  <si>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</si>
  <si>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</si>
  <si>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</si>
  <si>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</si>
  <si>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</si>
  <si>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</si>
  <si>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</si>
  <si>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</si>
  <si>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</si>
  <si>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</si>
  <si>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</si>
  <si>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</si>
  <si>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</si>
  <si>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</si>
  <si>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</si>
  <si>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</si>
  <si>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</si>
  <si>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</si>
  <si>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</si>
  <si>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</si>
  <si>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</si>
  <si>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</si>
  <si>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</si>
  <si>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</si>
  <si>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</si>
  <si>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</si>
  <si>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</si>
  <si>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</si>
  <si>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</si>
  <si>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</si>
  <si>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</si>
  <si>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</si>
  <si>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</si>
  <si>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</si>
  <si>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</si>
  <si>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</si>
  <si>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</si>
  <si>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</si>
  <si>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</si>
  <si>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</si>
  <si>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</si>
  <si>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</si>
  <si>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</si>
  <si>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</si>
  <si>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</si>
  <si>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</si>
  <si>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</si>
  <si>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</si>
  <si>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</si>
  <si>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</si>
  <si>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</si>
  <si>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</si>
  <si>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</si>
  <si>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</si>
  <si>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</si>
  <si>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</si>
  <si>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</si>
  <si>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</si>
  <si>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</si>
  <si>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</si>
  <si>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</si>
  <si>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</si>
  <si>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</si>
  <si>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</si>
  <si>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</si>
  <si>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</si>
  <si>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</si>
  <si>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</si>
  <si>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</si>
  <si>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</si>
  <si>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</si>
  <si>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</si>
  <si>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</si>
  <si>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</si>
  <si>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</si>
  <si>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</si>
  <si>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</si>
  <si>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</si>
  <si>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</si>
  <si>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</si>
  <si>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</si>
  <si>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</si>
  <si>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</si>
  <si>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</si>
  <si>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</si>
  <si>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</si>
  <si>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</si>
  <si>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</si>
  <si>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</si>
  <si>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</si>
  <si>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</si>
  <si>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</si>
  <si>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</si>
  <si>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</si>
  <si>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</si>
  <si>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</si>
  <si>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</si>
  <si>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</si>
  <si>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</si>
  <si>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</si>
  <si>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</si>
  <si>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</si>
  <si>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</si>
  <si>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</si>
  <si>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</si>
  <si>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</si>
  <si>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</si>
  <si>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</si>
  <si>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</si>
  <si>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</si>
  <si>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</si>
  <si>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</si>
  <si>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</si>
  <si>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</si>
  <si>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</si>
  <si>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</si>
  <si>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</si>
  <si>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</si>
  <si>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</si>
  <si>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</si>
  <si>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</si>
  <si>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</si>
  <si>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</si>
  <si>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</si>
  <si>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</si>
  <si>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</si>
  <si>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</si>
  <si>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</si>
  <si>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</si>
  <si>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</si>
  <si>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</si>
  <si>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</si>
  <si>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</si>
  <si>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</si>
  <si>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</si>
  <si>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</si>
  <si>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</si>
  <si>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</si>
  <si>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</si>
  <si>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</si>
  <si>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</si>
  <si>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</si>
  <si>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</si>
  <si>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</si>
  <si>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</si>
  <si>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</si>
  <si>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</si>
  <si>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</si>
  <si>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</si>
  <si>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</si>
  <si>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</si>
  <si>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</si>
  <si>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</si>
  <si>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</si>
  <si>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</si>
  <si>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</si>
  <si>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</si>
  <si>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</si>
  <si>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</si>
  <si>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</si>
  <si>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</si>
  <si>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</si>
  <si>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</si>
  <si>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</si>
  <si>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</si>
  <si>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</si>
  <si>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</si>
  <si>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</si>
  <si>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</si>
  <si>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</si>
  <si>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</si>
  <si>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</si>
  <si>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</si>
  <si>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</si>
  <si>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</si>
  <si>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</si>
  <si>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</si>
  <si>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</si>
  <si>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</si>
  <si>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</si>
  <si>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</si>
  <si>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</si>
  <si>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</si>
  <si>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</si>
  <si>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</si>
  <si>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</si>
  <si>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</si>
  <si>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</si>
  <si>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</si>
  <si>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</si>
  <si>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</si>
  <si>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</si>
  <si>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</si>
  <si>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</si>
  <si>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</si>
  <si>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</si>
  <si>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</si>
  <si>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</si>
  <si>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</si>
  <si>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</si>
  <si>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</si>
  <si>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</si>
  <si>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</si>
  <si>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</si>
  <si>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</si>
  <si>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</si>
  <si>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</si>
  <si>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</si>
  <si>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</si>
  <si>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</si>
  <si>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</si>
  <si>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</si>
  <si>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</si>
  <si>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</si>
  <si>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</si>
  <si>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</si>
  <si>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</si>
  <si>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</si>
  <si>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</si>
  <si>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</si>
  <si>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</si>
  <si>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</si>
  <si>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</si>
  <si>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</si>
  <si>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</si>
  <si>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</si>
  <si>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</si>
  <si>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</si>
  <si>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</si>
  <si>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</si>
  <si>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</si>
  <si>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</si>
  <si>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</si>
  <si>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</si>
  <si>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</si>
  <si>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</si>
  <si>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</si>
  <si>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</si>
  <si>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</si>
  <si>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</si>
  <si>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</si>
  <si>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</si>
  <si>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</si>
  <si>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</si>
  <si>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</si>
  <si>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</si>
  <si>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</si>
  <si>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</si>
  <si>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</si>
  <si>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</si>
  <si>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</si>
  <si>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</si>
  <si>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</si>
  <si>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</si>
  <si>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</si>
  <si>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</si>
  <si>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</si>
  <si>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</si>
  <si>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</si>
  <si>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</si>
  <si>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</si>
  <si>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</si>
  <si>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</si>
  <si>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</si>
  <si>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</si>
  <si>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</si>
  <si>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</si>
  <si>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</si>
  <si>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</si>
  <si>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</si>
  <si>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</si>
  <si>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</si>
  <si>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</si>
  <si>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</si>
  <si>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</si>
  <si>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</si>
  <si>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</si>
  <si>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</si>
  <si>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</si>
  <si>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</si>
  <si>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</si>
  <si>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</si>
  <si>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</si>
  <si>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</si>
  <si>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</si>
  <si>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</si>
  <si>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</si>
  <si>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</si>
  <si>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</si>
  <si>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</si>
  <si>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</si>
  <si>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</si>
  <si>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</si>
  <si>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</si>
  <si>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</si>
  <si>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</si>
  <si>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</si>
  <si>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</si>
  <si>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</si>
  <si>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</si>
  <si>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</si>
  <si>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</si>
  <si>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</si>
  <si>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</si>
  <si>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</si>
  <si>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</si>
  <si>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</si>
  <si>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</si>
  <si>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</si>
  <si>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</si>
  <si>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</si>
  <si>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</si>
  <si>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</si>
  <si>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</si>
  <si>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</si>
  <si>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</si>
  <si>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</si>
  <si>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</si>
  <si>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</si>
  <si>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</si>
  <si>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</si>
  <si>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</si>
  <si>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</si>
  <si>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</si>
  <si>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</si>
  <si>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</si>
  <si>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</si>
  <si>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</si>
  <si>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</si>
  <si>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</si>
  <si>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</si>
  <si>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</si>
  <si>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</si>
  <si>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</si>
  <si>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</si>
  <si>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</si>
  <si>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</si>
  <si>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</si>
  <si>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</si>
  <si>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</si>
  <si>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</si>
  <si>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</si>
  <si>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</si>
  <si>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</si>
  <si>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</si>
  <si>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</si>
  <si>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</si>
  <si>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</si>
  <si>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</si>
  <si>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</si>
  <si>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</si>
  <si>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</si>
  <si>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</si>
  <si>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</si>
  <si>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</si>
  <si>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</si>
  <si>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</si>
  <si>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</si>
  <si>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</si>
  <si>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</si>
  <si>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</si>
  <si>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</si>
  <si>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</si>
  <si>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</si>
  <si>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</si>
  <si>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</si>
  <si>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</si>
  <si>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</si>
  <si>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</si>
  <si>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</si>
  <si>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</si>
  <si>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</si>
  <si>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</si>
  <si>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</si>
  <si>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</si>
  <si>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</si>
  <si>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</si>
  <si>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</si>
  <si>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</si>
  <si>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</si>
  <si>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</si>
  <si>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</si>
  <si>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</si>
  <si>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</si>
  <si>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</si>
  <si>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</si>
  <si>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</si>
  <si>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</si>
  <si>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</si>
  <si>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</si>
  <si>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</si>
  <si>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</si>
  <si>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</si>
  <si>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</si>
  <si>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</si>
  <si>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</si>
  <si>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</si>
  <si>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</si>
  <si>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</si>
  <si>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</si>
  <si>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</si>
  <si>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</si>
  <si>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</si>
  <si>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</si>
  <si>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</si>
  <si>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</si>
  <si>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</si>
  <si>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</si>
  <si>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</si>
  <si>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</si>
  <si>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</si>
  <si>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</si>
  <si>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</si>
  <si>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</si>
  <si>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</si>
  <si>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</si>
  <si>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</si>
  <si>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</si>
  <si>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</si>
  <si>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</si>
  <si>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</si>
  <si>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</si>
  <si>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</si>
  <si>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</si>
  <si>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</si>
  <si>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</si>
  <si>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</si>
  <si>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</si>
  <si>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</si>
  <si>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</si>
  <si>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</si>
  <si>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</si>
  <si>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</si>
  <si>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</si>
  <si>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</si>
  <si>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</si>
  <si>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</si>
  <si>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</si>
  <si>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</si>
  <si>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</si>
  <si>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</si>
  <si>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</si>
  <si>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</si>
  <si>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</si>
  <si>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</si>
  <si>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</si>
  <si>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</si>
  <si>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</si>
  <si>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</si>
  <si>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</si>
  <si>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</si>
  <si>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</si>
  <si>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</si>
  <si>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</si>
  <si>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</si>
  <si>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</si>
  <si>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</si>
  <si>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</si>
  <si>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</si>
  <si>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</si>
  <si>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</si>
  <si>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</si>
  <si>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</si>
  <si>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</si>
  <si>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</si>
  <si>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</si>
  <si>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</si>
  <si>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</si>
  <si>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</si>
  <si>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</si>
  <si>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</si>
  <si>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</si>
  <si>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</si>
  <si>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</si>
  <si>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</si>
  <si>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</si>
  <si>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</si>
  <si>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</si>
  <si>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</si>
  <si>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</si>
  <si>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</si>
  <si>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</si>
  <si>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</si>
  <si>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</si>
  <si>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</si>
  <si>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</si>
  <si>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</si>
  <si>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</si>
  <si>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</si>
  <si>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</si>
  <si>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</si>
  <si>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</si>
  <si>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</si>
  <si>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</si>
  <si>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</si>
  <si>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</si>
  <si>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</si>
  <si>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</si>
  <si>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</si>
  <si>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</si>
  <si>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</si>
  <si>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</si>
  <si>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</si>
  <si>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</si>
  <si>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</si>
  <si>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</si>
  <si>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</si>
  <si>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</si>
  <si>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</si>
  <si>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</si>
  <si>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</si>
  <si>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</si>
  <si>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</si>
  <si>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</si>
  <si>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</si>
  <si>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</si>
  <si>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</si>
  <si>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</si>
  <si>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</si>
  <si>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</si>
  <si>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</si>
  <si>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</si>
  <si>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</si>
  <si>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</si>
  <si>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</si>
  <si>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</si>
  <si>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</si>
  <si>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</si>
  <si>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</si>
  <si>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</si>
  <si>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</si>
  <si>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</si>
  <si>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</si>
  <si>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</si>
  <si>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</si>
  <si>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</si>
  <si>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</si>
  <si>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</si>
  <si>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</si>
  <si>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</si>
  <si>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</si>
  <si>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</si>
  <si>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</si>
  <si>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</si>
  <si>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</si>
  <si>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</si>
  <si>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</si>
  <si>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</si>
  <si>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</si>
  <si>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</si>
  <si>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</si>
  <si>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</si>
  <si>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</si>
  <si>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</si>
  <si>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</si>
  <si>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</si>
  <si>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</si>
  <si>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</si>
  <si>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</si>
  <si>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</si>
  <si>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</si>
  <si>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</si>
  <si>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</si>
  <si>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</si>
  <si>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</si>
  <si>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</si>
  <si>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</si>
  <si>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</si>
  <si>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</si>
  <si>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</si>
  <si>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</si>
  <si>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</si>
  <si>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</si>
  <si>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</si>
  <si>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</si>
  <si>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</si>
  <si>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</si>
  <si>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</si>
  <si>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</si>
  <si>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</si>
  <si>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</si>
  <si>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</si>
  <si>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</si>
  <si>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</si>
  <si>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</si>
  <si>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</si>
  <si>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</si>
  <si>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</si>
  <si>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</si>
  <si>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</si>
  <si>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</si>
  <si>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</si>
  <si>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</si>
  <si>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</si>
  <si>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</si>
  <si>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</si>
  <si>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</si>
  <si>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</si>
  <si>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</si>
  <si>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</si>
  <si>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</si>
  <si>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</si>
  <si>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</si>
  <si>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</si>
  <si>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</si>
  <si>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</si>
  <si>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</si>
  <si>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</si>
  <si>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</si>
  <si>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</si>
  <si>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</si>
  <si>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</si>
  <si>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</si>
  <si>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</si>
  <si>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</si>
  <si>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</si>
  <si>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</si>
  <si>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</si>
  <si>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</si>
  <si>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</si>
  <si>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</si>
  <si>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</si>
  <si>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</si>
  <si>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</si>
  <si>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</si>
  <si>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</si>
  <si>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</si>
  <si>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</si>
  <si>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</si>
  <si>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</si>
  <si>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</si>
  <si>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</si>
  <si>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</si>
  <si>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</si>
  <si>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</si>
  <si>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</si>
  <si>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</si>
  <si>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</si>
  <si>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</si>
  <si>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</si>
  <si>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</si>
  <si>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</si>
  <si>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</si>
  <si>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</si>
  <si>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</si>
  <si>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</si>
  <si>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</si>
  <si>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</si>
  <si>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</si>
  <si>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</si>
  <si>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</si>
  <si>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</si>
  <si>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</si>
  <si>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</si>
  <si>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</si>
  <si>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</si>
  <si>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</si>
  <si>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</si>
  <si>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</si>
  <si>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</si>
  <si>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</si>
  <si>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</si>
  <si>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</si>
  <si>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</si>
  <si>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</si>
  <si>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</si>
  <si>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</si>
  <si>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</si>
  <si>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</si>
  <si>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</si>
  <si>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</si>
  <si>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</si>
  <si>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</si>
  <si>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</si>
  <si>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</si>
  <si>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</si>
  <si>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</si>
  <si>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</si>
  <si>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</si>
  <si>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</si>
  <si>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</si>
  <si>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</si>
  <si>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</si>
  <si>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</si>
  <si>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</si>
  <si>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</si>
  <si>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</si>
  <si>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</si>
  <si>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</si>
  <si>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</si>
  <si>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</si>
  <si>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</si>
  <si>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</si>
  <si>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</si>
  <si>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</si>
  <si>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</si>
  <si>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</si>
  <si>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</si>
  <si>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</si>
  <si>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</si>
  <si>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</si>
  <si>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</si>
  <si>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</si>
  <si>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</si>
  <si>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</si>
  <si>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</si>
  <si>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</si>
  <si>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</si>
  <si>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</si>
  <si>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</si>
  <si>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</si>
  <si>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</si>
  <si>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</si>
  <si>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</si>
  <si>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</si>
  <si>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</si>
  <si>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</si>
  <si>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</si>
  <si>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</si>
  <si>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</si>
  <si>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</si>
  <si>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</si>
  <si>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</si>
  <si>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</si>
  <si>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</si>
  <si>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</si>
  <si>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</si>
  <si>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</si>
  <si>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</si>
  <si>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</si>
  <si>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</si>
  <si>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</si>
  <si>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</si>
  <si>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</si>
  <si>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</si>
  <si>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</si>
  <si>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珠海市恒信糖业有限公司</t>
    <phoneticPr fontId="6" type="noConversion"/>
  </si>
  <si>
    <t>华澳国际信托有限公司</t>
    <phoneticPr fontId="6" type="noConversion"/>
  </si>
  <si>
    <t>抵押</t>
  </si>
  <si>
    <t>抵押价格</t>
  </si>
  <si>
    <t>其他：</t>
  </si>
  <si>
    <t>珠海市</t>
  </si>
  <si>
    <t>广东省珠海市</t>
    <phoneticPr fontId="6" type="noConversion"/>
  </si>
  <si>
    <t>企业</t>
  </si>
  <si>
    <t>住宅</t>
    <phoneticPr fontId="6" type="noConversion"/>
  </si>
  <si>
    <t>企业介绍、《房地产权证》</t>
    <phoneticPr fontId="6" type="noConversion"/>
  </si>
  <si>
    <t>一致</t>
  </si>
  <si>
    <t>符合</t>
  </si>
  <si>
    <t>出让</t>
  </si>
  <si>
    <t>《国有土地使用证》[斗府国用（2002）字第04210300132号]</t>
    <phoneticPr fontId="6" type="noConversion"/>
  </si>
  <si>
    <t>《国有土地使用证》[斗府国用（2002）字第04210300132号]</t>
    <phoneticPr fontId="3" type="noConversion"/>
  </si>
  <si>
    <t>企业介绍、《房地产权证》</t>
    <phoneticPr fontId="6" type="noConversion"/>
  </si>
  <si>
    <t>否</t>
  </si>
  <si>
    <t>场地平整</t>
  </si>
  <si>
    <t>平整</t>
  </si>
  <si>
    <t>通路</t>
  </si>
  <si>
    <t>通电</t>
  </si>
  <si>
    <t>通讯</t>
  </si>
  <si>
    <t>通上水</t>
  </si>
  <si>
    <t>通下水</t>
  </si>
  <si>
    <t>证号</t>
    <phoneticPr fontId="233" type="noConversion"/>
  </si>
  <si>
    <t>坐落</t>
    <phoneticPr fontId="233" type="noConversion"/>
  </si>
  <si>
    <t>地号</t>
    <phoneticPr fontId="233" type="noConversion"/>
  </si>
  <si>
    <t>建筑面积</t>
    <phoneticPr fontId="233" type="noConversion"/>
  </si>
  <si>
    <t>占地面积</t>
    <phoneticPr fontId="233" type="noConversion"/>
  </si>
  <si>
    <t>用途</t>
    <phoneticPr fontId="233" type="noConversion"/>
  </si>
  <si>
    <t>备注</t>
    <phoneticPr fontId="233" type="noConversion"/>
  </si>
  <si>
    <t>土地终止日期</t>
    <phoneticPr fontId="233" type="noConversion"/>
  </si>
  <si>
    <t>楼层</t>
    <phoneticPr fontId="233" type="noConversion"/>
  </si>
  <si>
    <t>建筑结构</t>
    <phoneticPr fontId="233" type="noConversion"/>
  </si>
  <si>
    <t>面积为剔除地上建筑物占地后的数据</t>
    <phoneticPr fontId="233" type="noConversion"/>
  </si>
  <si>
    <t>混合</t>
    <phoneticPr fontId="233" type="noConversion"/>
  </si>
  <si>
    <t>框架</t>
    <phoneticPr fontId="233" type="noConversion"/>
  </si>
  <si>
    <t>仓储</t>
    <phoneticPr fontId="233" type="noConversion"/>
  </si>
  <si>
    <t>混合楼</t>
    <phoneticPr fontId="233" type="noConversion"/>
  </si>
  <si>
    <t>框架楼</t>
    <phoneticPr fontId="233" type="noConversion"/>
  </si>
  <si>
    <r>
      <t>混合楼与框架楼1</t>
    </r>
    <r>
      <rPr>
        <sz val="11"/>
        <color theme="1"/>
        <rFont val="宋体"/>
        <family val="3"/>
        <charset val="134"/>
        <scheme val="minor"/>
      </rPr>
      <t>:1</t>
    </r>
    <phoneticPr fontId="233" type="noConversion"/>
  </si>
  <si>
    <t>地上</t>
  </si>
  <si>
    <t>低密度</t>
  </si>
  <si>
    <t>低密度</t>
    <phoneticPr fontId="14" type="noConversion"/>
  </si>
  <si>
    <t>混合住宅楼</t>
  </si>
  <si>
    <t>已部分缴纳</t>
  </si>
  <si>
    <t>五通</t>
  </si>
  <si>
    <t>六通</t>
  </si>
  <si>
    <t>双面临街</t>
  </si>
  <si>
    <t>支路</t>
  </si>
  <si>
    <t>支路</t>
    <phoneticPr fontId="21" type="noConversion"/>
  </si>
  <si>
    <t>项目全部</t>
  </si>
  <si>
    <t>土地</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</si>
  <si>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</si>
  <si>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</si>
  <si>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</si>
  <si>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</si>
  <si>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</si>
  <si>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</si>
  <si>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</si>
  <si>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</si>
  <si>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</si>
  <si>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</si>
  <si>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</si>
  <si>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</si>
  <si>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</si>
  <si>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</si>
  <si>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2015-12-30</t>
  </si>
  <si>
    <t>正常</t>
  </si>
  <si>
    <r>
      <rPr>
        <sz val="11"/>
        <rFont val="仿宋_GB2312"/>
        <family val="3"/>
        <charset val="134"/>
      </rPr>
      <t>项目位置</t>
    </r>
    <phoneticPr fontId="3" type="noConversion"/>
  </si>
  <si>
    <r>
      <rPr>
        <sz val="11"/>
        <rFont val="仿宋_GB2312"/>
        <family val="3"/>
        <charset val="134"/>
      </rPr>
      <t>项目位置</t>
    </r>
    <phoneticPr fontId="3" type="noConversion"/>
  </si>
  <si>
    <t>乾务糖厂住宅地</t>
    <phoneticPr fontId="3" type="noConversion"/>
  </si>
  <si>
    <t>超高溢价率</t>
  </si>
  <si>
    <t>超高溢价率</t>
    <phoneticPr fontId="26" type="noConversion"/>
  </si>
  <si>
    <t>高溢价率</t>
    <phoneticPr fontId="26" type="noConversion"/>
  </si>
  <si>
    <t>低溢价率</t>
  </si>
  <si>
    <t>低溢价率</t>
    <phoneticPr fontId="26" type="noConversion"/>
  </si>
  <si>
    <t>住宅、商业</t>
  </si>
  <si>
    <t>住宅、商业</t>
    <phoneticPr fontId="26" type="noConversion"/>
  </si>
  <si>
    <t>住宅</t>
    <phoneticPr fontId="26" type="noConversion"/>
  </si>
  <si>
    <t>有</t>
    <phoneticPr fontId="26" type="noConversion"/>
  </si>
  <si>
    <t>无</t>
    <phoneticPr fontId="26" type="noConversion"/>
  </si>
  <si>
    <t>楼面地价</t>
  </si>
  <si>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</si>
  <si>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</si>
  <si>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</si>
  <si>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</si>
  <si>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</si>
  <si>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</si>
  <si>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</si>
  <si>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</si>
  <si>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</si>
  <si>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</si>
  <si>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</si>
  <si>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</si>
  <si>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</si>
  <si>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</si>
  <si>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</si>
  <si>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</si>
  <si>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</si>
  <si>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</si>
  <si>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</si>
  <si>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一般</t>
  </si>
  <si>
    <t>一般</t>
    <phoneticPr fontId="26" type="noConversion"/>
  </si>
  <si>
    <t>70</t>
    <phoneticPr fontId="26" type="noConversion"/>
  </si>
  <si>
    <t>无</t>
    <phoneticPr fontId="26" type="noConversion"/>
  </si>
  <si>
    <t>有</t>
    <phoneticPr fontId="26" type="noConversion"/>
  </si>
  <si>
    <t>有</t>
    <phoneticPr fontId="26" type="noConversion"/>
  </si>
  <si>
    <t>较好</t>
  </si>
  <si>
    <t>好</t>
  </si>
  <si>
    <t>平沙镇中心区域</t>
    <phoneticPr fontId="26" type="noConversion"/>
  </si>
  <si>
    <t>斗门区中心区域</t>
    <phoneticPr fontId="26" type="noConversion"/>
  </si>
  <si>
    <t>斗门区偏远区域</t>
    <phoneticPr fontId="26" type="noConversion"/>
  </si>
  <si>
    <r>
      <t xml:space="preserve"> </t>
    </r>
    <r>
      <rPr>
        <sz val="11"/>
        <rFont val="宋体"/>
        <family val="3"/>
        <charset val="134"/>
      </rPr>
      <t>较一致</t>
    </r>
    <phoneticPr fontId="26"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</si>
  <si>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</si>
  <si>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</si>
  <si>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住宅</t>
    <phoneticPr fontId="21" type="noConversion"/>
  </si>
  <si>
    <t>50-60（含）</t>
  </si>
  <si>
    <t>60-70（含）</t>
  </si>
  <si>
    <t>快速</t>
    <phoneticPr fontId="21" type="noConversion"/>
  </si>
  <si>
    <t>主干道</t>
    <phoneticPr fontId="21" type="noConversion"/>
  </si>
  <si>
    <t>次干道</t>
    <phoneticPr fontId="21" type="noConversion"/>
  </si>
  <si>
    <t>支路</t>
    <phoneticPr fontId="21" type="noConversion"/>
  </si>
  <si>
    <t>低密度</t>
    <phoneticPr fontId="21" type="noConversion"/>
  </si>
  <si>
    <t>小高层</t>
  </si>
  <si>
    <t>小高层</t>
    <phoneticPr fontId="21" type="noConversion"/>
  </si>
  <si>
    <t>高层</t>
  </si>
  <si>
    <t>高层</t>
    <phoneticPr fontId="21" type="noConversion"/>
  </si>
  <si>
    <t>钢混</t>
  </si>
  <si>
    <t>钢混</t>
    <phoneticPr fontId="21" type="noConversion"/>
  </si>
  <si>
    <t>框架</t>
    <phoneticPr fontId="21" type="noConversion"/>
  </si>
  <si>
    <t>混合</t>
  </si>
  <si>
    <t>混合</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</si>
  <si>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</si>
  <si>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</si>
  <si>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</si>
  <si>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</si>
  <si>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</si>
  <si>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</si>
  <si>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</si>
  <si>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</si>
  <si>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</si>
  <si>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</si>
  <si>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</si>
  <si>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</si>
  <si>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</si>
  <si>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普通</t>
  </si>
  <si>
    <t>普通</t>
    <phoneticPr fontId="21" type="noConversion"/>
  </si>
  <si>
    <t>专业</t>
  </si>
  <si>
    <t>专业</t>
    <phoneticPr fontId="21" type="noConversion"/>
  </si>
  <si>
    <t>六通</t>
    <phoneticPr fontId="21" type="noConversion"/>
  </si>
  <si>
    <t>五通</t>
    <phoneticPr fontId="21" type="noConversion"/>
  </si>
  <si>
    <t>四通</t>
    <phoneticPr fontId="21" type="noConversion"/>
  </si>
  <si>
    <t>三通</t>
    <phoneticPr fontId="21" type="noConversion"/>
  </si>
  <si>
    <t>诚丰雅园</t>
    <phoneticPr fontId="3" type="noConversion"/>
  </si>
  <si>
    <r>
      <rPr>
        <sz val="11"/>
        <rFont val="仿宋_GB2312"/>
        <family val="3"/>
        <charset val="134"/>
      </rPr>
      <t>估价对象名称</t>
    </r>
    <phoneticPr fontId="3" type="noConversion"/>
  </si>
  <si>
    <t>支路</t>
    <phoneticPr fontId="21" type="noConversion"/>
  </si>
  <si>
    <t>支路</t>
    <phoneticPr fontId="21" type="noConversion"/>
  </si>
  <si>
    <t>平沙镇核心区域</t>
    <phoneticPr fontId="21" type="noConversion"/>
  </si>
  <si>
    <t>斗门区偏远区域</t>
    <phoneticPr fontId="21" type="noConversion"/>
  </si>
  <si>
    <t>平沙九号</t>
    <phoneticPr fontId="3" type="noConversion"/>
  </si>
  <si>
    <t>平沙奥园广场冠军城</t>
    <phoneticPr fontId="3" type="noConversion"/>
  </si>
  <si>
    <t>平沙镇核心区域</t>
    <phoneticPr fontId="21" type="noConversion"/>
  </si>
  <si>
    <t>次干道</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</si>
  <si>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</si>
  <si>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土地楼面单价</t>
    <phoneticPr fontId="233" type="noConversion"/>
  </si>
  <si>
    <t>土地总价</t>
    <phoneticPr fontId="233" type="noConversion"/>
  </si>
  <si>
    <t>建筑物单价</t>
    <phoneticPr fontId="233" type="noConversion"/>
  </si>
  <si>
    <t>建筑物总价</t>
    <phoneticPr fontId="233" type="noConversion"/>
  </si>
  <si>
    <t>房地产总价</t>
    <phoneticPr fontId="233" type="noConversion"/>
  </si>
  <si>
    <t>房地产单价</t>
    <phoneticPr fontId="233" type="noConversion"/>
  </si>
  <si>
    <t>结果一览表</t>
    <phoneticPr fontId="233" type="noConversion"/>
  </si>
  <si>
    <t>混合</t>
    <phoneticPr fontId="233" type="noConversion"/>
  </si>
  <si>
    <t>框架</t>
    <phoneticPr fontId="233" type="noConversion"/>
  </si>
  <si>
    <t>建筑物单价</t>
    <phoneticPr fontId="233" type="noConversion"/>
  </si>
  <si>
    <t>——</t>
    <phoneticPr fontId="233" type="noConversion"/>
  </si>
  <si>
    <t>——</t>
    <phoneticPr fontId="233" type="noConversion"/>
  </si>
  <si>
    <t>斗门区乾务镇糖厂内2宗工业用地</t>
    <phoneticPr fontId="6" type="noConversion"/>
  </si>
  <si>
    <t>工业项目</t>
  </si>
  <si>
    <t>谨慎原则，按现有建筑物容积率反算</t>
    <phoneticPr fontId="3" type="noConversion"/>
  </si>
  <si>
    <t>工业</t>
    <phoneticPr fontId="233" type="noConversion"/>
  </si>
  <si>
    <t>粤房地证字第C0697987号</t>
    <phoneticPr fontId="233" type="noConversion"/>
  </si>
  <si>
    <t>锅炉车间</t>
    <phoneticPr fontId="233" type="noConversion"/>
  </si>
  <si>
    <t>2103039-1</t>
    <phoneticPr fontId="233" type="noConversion"/>
  </si>
  <si>
    <t>厂房</t>
    <phoneticPr fontId="233" type="noConversion"/>
  </si>
  <si>
    <t>粤房地证字第C0697990号</t>
    <phoneticPr fontId="233" type="noConversion"/>
  </si>
  <si>
    <t>办公大楼</t>
    <phoneticPr fontId="233" type="noConversion"/>
  </si>
  <si>
    <t>2103039-2</t>
    <phoneticPr fontId="233" type="noConversion"/>
  </si>
  <si>
    <t>办公</t>
    <phoneticPr fontId="233" type="noConversion"/>
  </si>
  <si>
    <t>粤房地证字第C0697999号</t>
    <phoneticPr fontId="233" type="noConversion"/>
  </si>
  <si>
    <t>仓库（糖）</t>
    <phoneticPr fontId="233" type="noConversion"/>
  </si>
  <si>
    <t>2103039-3</t>
    <phoneticPr fontId="233" type="noConversion"/>
  </si>
  <si>
    <t>仓储</t>
    <phoneticPr fontId="233" type="noConversion"/>
  </si>
  <si>
    <t>粤房地证字第C0697986号</t>
    <phoneticPr fontId="233" type="noConversion"/>
  </si>
  <si>
    <t>酒精车间</t>
    <phoneticPr fontId="233" type="noConversion"/>
  </si>
  <si>
    <t>2103039-4</t>
    <phoneticPr fontId="233" type="noConversion"/>
  </si>
  <si>
    <t>厂房</t>
    <phoneticPr fontId="233" type="noConversion"/>
  </si>
  <si>
    <t>粤房地证字第C0697984号</t>
    <phoneticPr fontId="233" type="noConversion"/>
  </si>
  <si>
    <t>农务办公室</t>
    <phoneticPr fontId="233" type="noConversion"/>
  </si>
  <si>
    <t>2103039-5</t>
    <phoneticPr fontId="233" type="noConversion"/>
  </si>
  <si>
    <t>粤房地证字第C0697430号</t>
    <phoneticPr fontId="233" type="noConversion"/>
  </si>
  <si>
    <t>机修车间</t>
    <phoneticPr fontId="233" type="noConversion"/>
  </si>
  <si>
    <t>2103039-6</t>
    <phoneticPr fontId="233" type="noConversion"/>
  </si>
  <si>
    <t>粤房地证字第C0697985号</t>
    <phoneticPr fontId="233" type="noConversion"/>
  </si>
  <si>
    <t>仓库</t>
    <phoneticPr fontId="233" type="noConversion"/>
  </si>
  <si>
    <t>2103039-7</t>
    <phoneticPr fontId="233" type="noConversion"/>
  </si>
  <si>
    <t>粤房地证字第C0697998号</t>
    <phoneticPr fontId="233" type="noConversion"/>
  </si>
  <si>
    <t>6000KW车间</t>
    <phoneticPr fontId="233" type="noConversion"/>
  </si>
  <si>
    <t>2103039-8</t>
    <phoneticPr fontId="233" type="noConversion"/>
  </si>
  <si>
    <t>厂房</t>
    <phoneticPr fontId="233" type="noConversion"/>
  </si>
  <si>
    <t>粤房地证字第C0697992号</t>
    <phoneticPr fontId="233" type="noConversion"/>
  </si>
  <si>
    <t>仪表化验室</t>
    <phoneticPr fontId="233" type="noConversion"/>
  </si>
  <si>
    <t>2103039-9</t>
    <phoneticPr fontId="233" type="noConversion"/>
  </si>
  <si>
    <t>粤房地证字第C0697991号</t>
    <phoneticPr fontId="233" type="noConversion"/>
  </si>
  <si>
    <t>压榨制糖车间</t>
    <phoneticPr fontId="233" type="noConversion"/>
  </si>
  <si>
    <t>2103039-10</t>
    <phoneticPr fontId="233" type="noConversion"/>
  </si>
  <si>
    <t>粤房地证字第C0740612号</t>
    <phoneticPr fontId="233" type="noConversion"/>
  </si>
  <si>
    <t>旧糖仓</t>
    <phoneticPr fontId="233" type="noConversion"/>
  </si>
  <si>
    <t>2103039-11</t>
    <phoneticPr fontId="233" type="noConversion"/>
  </si>
  <si>
    <t>粤房地证字第C0740611号</t>
    <phoneticPr fontId="233" type="noConversion"/>
  </si>
  <si>
    <t>新糖仓</t>
    <phoneticPr fontId="233" type="noConversion"/>
  </si>
  <si>
    <t>2103039-12</t>
    <phoneticPr fontId="233" type="noConversion"/>
  </si>
  <si>
    <t>粤房地证字第C0740610号</t>
    <phoneticPr fontId="233" type="noConversion"/>
  </si>
  <si>
    <t>配电间</t>
    <phoneticPr fontId="233" type="noConversion"/>
  </si>
  <si>
    <t>2103039-13</t>
    <phoneticPr fontId="233" type="noConversion"/>
  </si>
  <si>
    <t>粤房地证字第C0698431号</t>
    <phoneticPr fontId="233" type="noConversion"/>
  </si>
  <si>
    <t>捲板机房</t>
    <phoneticPr fontId="233" type="noConversion"/>
  </si>
  <si>
    <t>2103039-14</t>
    <phoneticPr fontId="233" type="noConversion"/>
  </si>
  <si>
    <t>粤房地证字第C0698432号</t>
    <phoneticPr fontId="233" type="noConversion"/>
  </si>
  <si>
    <t>农务结算室</t>
    <phoneticPr fontId="233" type="noConversion"/>
  </si>
  <si>
    <t>2103039-15</t>
    <phoneticPr fontId="233" type="noConversion"/>
  </si>
  <si>
    <t>粤房地证字第C0698433号</t>
    <phoneticPr fontId="233" type="noConversion"/>
  </si>
  <si>
    <t>水泵房</t>
    <phoneticPr fontId="233" type="noConversion"/>
  </si>
  <si>
    <t>2103039-16</t>
    <phoneticPr fontId="233" type="noConversion"/>
  </si>
  <si>
    <t>设定容积率</t>
    <phoneticPr fontId="233" type="noConversion"/>
  </si>
  <si>
    <t>工业地块</t>
    <phoneticPr fontId="233" type="noConversion"/>
  </si>
  <si>
    <t>工业地块1</t>
    <phoneticPr fontId="233" type="noConversion"/>
  </si>
  <si>
    <t>工业地块2</t>
    <phoneticPr fontId="233" type="noConversion"/>
  </si>
  <si>
    <t>工业</t>
    <phoneticPr fontId="233" type="noConversion"/>
  </si>
  <si>
    <t>纯土地</t>
    <phoneticPr fontId="233" type="noConversion"/>
  </si>
  <si>
    <t>框架</t>
  </si>
  <si>
    <t>混合</t>
    <phoneticPr fontId="233" type="noConversion"/>
  </si>
  <si>
    <t>珠海市富山工业园七星大道南侧、雷蛛大道东侧</t>
  </si>
  <si>
    <t>工业用地</t>
  </si>
  <si>
    <t>2018-03-15</t>
  </si>
  <si>
    <t>珠海市深联电路有限公司</t>
  </si>
  <si>
    <t>≥1且≤2</t>
  </si>
  <si>
    <t>2017-10-12</t>
  </si>
  <si>
    <t>广东高特高新材料有限公司</t>
  </si>
  <si>
    <t>珠海市斗门区白蕉镇新港片区新港大道东侧</t>
  </si>
  <si>
    <t>2017-09-22</t>
  </si>
  <si>
    <t>珠海绿兴冷链物流有限公司</t>
  </si>
  <si>
    <t>珠海强竞农业有限公司</t>
  </si>
  <si>
    <t>珠海市国通之山实业有限公司</t>
  </si>
  <si>
    <t>≥1且≤1.5</t>
  </si>
  <si>
    <t>珠海海龙生物科技有限公司</t>
  </si>
  <si>
    <t>珠海诚丰优品农业科技有限公司</t>
  </si>
  <si>
    <t>珠海市德海生物科技有限公司</t>
  </si>
  <si>
    <t>珠海市富山工业园高栏港高速东侧</t>
  </si>
  <si>
    <t>2017-05-10</t>
  </si>
  <si>
    <t>广东博科数控机械有限公司</t>
  </si>
  <si>
    <t>珠海市富山工业园雷蛛北片区七星大道南侧</t>
  </si>
  <si>
    <t>2017-04-27</t>
  </si>
  <si>
    <t>珠海康晋电气设备有限公司</t>
  </si>
  <si>
    <t>珠海市富山工业园珠峰大道南</t>
  </si>
  <si>
    <t>珠海立航磁电科技有限公司</t>
  </si>
  <si>
    <t>珠海市富山工业园珠峰大道北侧、工业大道东侧</t>
  </si>
  <si>
    <t>2017-04-12</t>
  </si>
  <si>
    <t>广东富源实业集团有限公司</t>
  </si>
  <si>
    <t>珠海市富山工业园珠峰大道南侧</t>
  </si>
  <si>
    <t>2017-03-30</t>
  </si>
  <si>
    <t>珠海恒宝健康科技有限公司</t>
  </si>
  <si>
    <t>2017-03-09</t>
  </si>
  <si>
    <t>广东南磁科技有限公司</t>
  </si>
  <si>
    <t>珠海新控车辆检测技术科技有限公司</t>
  </si>
  <si>
    <t>珠海市富山工业园雷蛛北片区</t>
  </si>
  <si>
    <t>2017-01-25</t>
  </si>
  <si>
    <t>广东海龙建筑科技有限公司</t>
  </si>
  <si>
    <t>珠海东重建筑科技有限公司</t>
  </si>
  <si>
    <t>珠海市斗门区新青科技工业园新伟中街以南、新青五路西侧</t>
  </si>
  <si>
    <t>2017-01-06</t>
  </si>
  <si>
    <t>珠海市运泰利发展有限公司</t>
  </si>
  <si>
    <t>珠海市富山工业园珠峰大道北</t>
  </si>
  <si>
    <t>2016-12-14</t>
  </si>
  <si>
    <t>珠海方正科技多层电路板有限公司</t>
  </si>
  <si>
    <t>珠海市富山工业园龙山片区新城大道东侧</t>
  </si>
  <si>
    <t>2016-05-11</t>
  </si>
  <si>
    <t>珠海市斗门区旭日陶瓷有限公司</t>
  </si>
  <si>
    <t>珠海市富山工业园龙山片区黄杨大道南侧</t>
  </si>
  <si>
    <t>珠海市通得电气设备有限公司</t>
  </si>
  <si>
    <t>珠海市富山工业园起步区高栏高速东侧</t>
  </si>
  <si>
    <t>2016-04-20</t>
  </si>
  <si>
    <t>珠海市富山工业园龙山片区黄杨大道北、连港大道西</t>
  </si>
  <si>
    <t>珠海市斗门福联造型材料实业有限公司</t>
  </si>
  <si>
    <t>珠海汇鑫源金属制品有限公司</t>
  </si>
  <si>
    <t>珠海市富山工业园乾务镇镇区珠峰大道南侧</t>
  </si>
  <si>
    <t>2015-10-23</t>
  </si>
  <si>
    <t>珠海金海环境技术有限公司</t>
  </si>
  <si>
    <t>2015-07-31</t>
  </si>
  <si>
    <t>珠海市富山工业园龙山片区龙山三路北侧</t>
  </si>
  <si>
    <t>2015-07-22</t>
  </si>
  <si>
    <t>珠海绍达电磁线有限公司</t>
  </si>
  <si>
    <t>珠海市富山工业园雷珠北片区七星大道北</t>
  </si>
  <si>
    <t>珠海龙腾软件科技有限公司</t>
  </si>
  <si>
    <t>珠海市富山工业园雷珠北片区七星大道南</t>
  </si>
  <si>
    <t>珠海修正健康科技有限公司</t>
  </si>
  <si>
    <t>珠海市富山工业园雷珠北片区七星大道南侧</t>
  </si>
  <si>
    <t>2015-07-15</t>
  </si>
  <si>
    <t>新兴重工集团有限公司</t>
  </si>
  <si>
    <t>金湾区三灶镇机场北路西侧、湖滨路北侧</t>
  </si>
  <si>
    <t>2018-04-18</t>
  </si>
  <si>
    <t>珠海市金航产业投资有限公司</t>
  </si>
  <si>
    <t>珠海高栏港经济区石油化工区平湾四路西南侧</t>
  </si>
  <si>
    <t>2018-04-11</t>
  </si>
  <si>
    <t>熵能创新材料(珠海)有限公司</t>
  </si>
  <si>
    <t>珠海高栏港经济区石油化工区平湾一路东北侧</t>
  </si>
  <si>
    <t>≥0.6且≤1.8</t>
  </si>
  <si>
    <t>易安爱富(珠海)科技有限公司</t>
  </si>
  <si>
    <t>珠海市平沙镇珠海大道西北侧</t>
  </si>
  <si>
    <t>2018-02-28</t>
  </si>
  <si>
    <t>珠海海星游艇制造有限公司</t>
  </si>
  <si>
    <t>珠海高栏港经济区石油化工区平湾三路东北侧</t>
  </si>
  <si>
    <t>2018-02-09</t>
  </si>
  <si>
    <t>珠海中力新能源材料有限公司</t>
  </si>
  <si>
    <t>珠海高栏港经济区装备制造区</t>
  </si>
  <si>
    <t>2018-01-17</t>
  </si>
  <si>
    <t>珠海市博雅新材料有限公司</t>
  </si>
  <si>
    <t>珠海荣唯信酶制剂有限公司</t>
  </si>
  <si>
    <t>珠海高栏港经济区装备制造区(南区)南水大道东南侧</t>
  </si>
  <si>
    <t>＞1.4且≤2</t>
  </si>
  <si>
    <t>景旺电子科技(珠海)有限公司</t>
  </si>
  <si>
    <t>珠海华玻光电技术有限公司</t>
  </si>
  <si>
    <t>珠海市平沙镇跃进路西南侧</t>
  </si>
  <si>
    <t>≥0.7且≤2</t>
  </si>
  <si>
    <t>珠海普乐美厨卫有限公司</t>
  </si>
  <si>
    <t>珠海高栏港经济区石油化工区石化五路(北四路)西北侧</t>
  </si>
  <si>
    <t>珠海理文新材料有限公司</t>
  </si>
  <si>
    <t>金湾区红旗镇珠海大道南侧</t>
  </si>
  <si>
    <t>2017-09-30</t>
  </si>
  <si>
    <t>珠海市广浩捷精密机械有限公司</t>
  </si>
  <si>
    <t>金湾区三灶镇机场西路西侧、定湾五路北侧</t>
  </si>
  <si>
    <t>≥1.4且≤1.6</t>
  </si>
  <si>
    <t>珠海逸鹏幕墙门窗有限公司</t>
  </si>
  <si>
    <t>金湾区三灶镇机场西路西侧、定湾九路北侧</t>
  </si>
  <si>
    <t>≥1.4且≤1.5</t>
  </si>
  <si>
    <t>珠海爱康美智能电器科技有限公司</t>
  </si>
  <si>
    <t>金湾区红旗镇青年路北侧、创业路东侧</t>
  </si>
  <si>
    <t>≥1且≤1.8</t>
  </si>
  <si>
    <t>珠海市椿田机械科技有限公司</t>
  </si>
  <si>
    <t>金湾区三灶镇大门路东侧、定湾二路北侧</t>
  </si>
  <si>
    <t>珠海西岸建材有限公司</t>
  </si>
  <si>
    <t>金湾区三灶镇机场西路西侧、定湾三路北侧</t>
  </si>
  <si>
    <t>珠海西蒙电器有限公司</t>
  </si>
  <si>
    <t>金湾区红旗镇机场高速西侧、青年路北侧</t>
  </si>
  <si>
    <t>珠海市一海医疗器械有限公司</t>
  </si>
  <si>
    <t>金湾区三灶镇胜利路西侧、定湾十一路南侧</t>
  </si>
  <si>
    <t>珠海艾月科技有限公司</t>
  </si>
  <si>
    <t>≥1且≤1.6</t>
  </si>
  <si>
    <t>珠海盈源电气有限公司</t>
  </si>
  <si>
    <t>金湾区三灶镇机场西路西侧、定湾十一路北侧</t>
  </si>
  <si>
    <t>珠海讯纳生物科技有限公司</t>
  </si>
  <si>
    <t>金湾区红旗镇河滨西路南侧、青年路北侧</t>
  </si>
  <si>
    <t>珠海市德贝电子科技有限公司</t>
  </si>
  <si>
    <t>金湾区三灶镇大门路东侧、定湾十路南侧</t>
  </si>
  <si>
    <t>2017-09-29</t>
  </si>
  <si>
    <t>珠海仕高玛机械设备有限公司</t>
  </si>
  <si>
    <t>金湾区三灶镇胜利路西侧、定湾十路南侧</t>
  </si>
  <si>
    <t>珠海汇高机械设备有限公司</t>
  </si>
  <si>
    <t>金湾区胜利路西侧、定湾九路南侧</t>
  </si>
  <si>
    <t>珠海澳德实业有限公司</t>
  </si>
  <si>
    <t>金湾区新能源专区湖滨路南侧、八堡路东侧</t>
  </si>
  <si>
    <t>珠海三锐精工科技有限公司</t>
  </si>
  <si>
    <t>金湾区新能源专区机场北路西侧、湖滨路南侧</t>
  </si>
  <si>
    <t>珠海市顺志机械制造有限公司</t>
  </si>
  <si>
    <t>金湾区三灶镇胜利路东侧、定湾十二路北侧</t>
  </si>
  <si>
    <t>珠海市伟伦节能科技有限公司</t>
  </si>
  <si>
    <t>金湾区井华东路北侧、明水路西侧</t>
  </si>
  <si>
    <t>小唯医疗科技(珠海)有限公司</t>
  </si>
  <si>
    <t>金湾区三灶镇胜利路西侧、定湾十路北侧</t>
  </si>
  <si>
    <t>珠海市正禾佳科技有限公司</t>
  </si>
  <si>
    <t>金湾区三灶镇定东三路南侧、机场西路东侧</t>
  </si>
  <si>
    <t>2017-09-27</t>
  </si>
  <si>
    <t>珠海正康伟宁药业有限公司</t>
  </si>
  <si>
    <t>珠海高栏港经济区石油化工区石化六路东南侧</t>
  </si>
  <si>
    <t>利安隆(珠海)新材料有限公司</t>
  </si>
  <si>
    <t>珠海高栏港经济区装备制造区南区新能路西北侧</t>
  </si>
  <si>
    <t>金湾区三灶镇湖滨路南侧、机场北路以西</t>
  </si>
  <si>
    <t>珠海市硕杰机械制造有限公司</t>
  </si>
  <si>
    <t>2017-09-21</t>
  </si>
  <si>
    <t>珠海兴立新能源有限公司</t>
  </si>
  <si>
    <t>珠海高栏港经济区石油化工区高栏港大道辅道东侧</t>
  </si>
  <si>
    <t>珠海市儒兴材料开发有限公司</t>
  </si>
  <si>
    <t>珠海高栏港经济区装备制造区(南区)三虎大道南侧</t>
  </si>
  <si>
    <t>珠海崇达电路技术有限公司</t>
  </si>
  <si>
    <t>珠海市平沙镇龙泉路西侧</t>
  </si>
  <si>
    <t>＞0.84且≤2</t>
  </si>
  <si>
    <t>珠海市合顺兴日化股份有限公司</t>
  </si>
  <si>
    <t>珠海市金湾区三灶镇机场北路以西、湖滨路南侧</t>
  </si>
  <si>
    <t>2017-09-20</t>
  </si>
  <si>
    <t>珠海汇茂环保科技有限公司</t>
  </si>
  <si>
    <t>珠海市金湾区红旗镇青年路南侧</t>
  </si>
  <si>
    <t>珠海嵘泰有色金属铸造有限公司</t>
  </si>
  <si>
    <t>珠海高栏港区石油化工区高栏港大道东南侧</t>
  </si>
  <si>
    <t>≥0.84且≤1.8</t>
  </si>
  <si>
    <t>2017-08-23</t>
  </si>
  <si>
    <t>珠海市三顺纳米新材料有限公司</t>
  </si>
  <si>
    <t>金湾区三灶镇机场西路东侧、定东二路南侧</t>
  </si>
  <si>
    <t>2017-07-26</t>
  </si>
  <si>
    <t>珠海市睿航医疗科技有限公司</t>
  </si>
  <si>
    <t>金湾红旗镇机场高速以东、珠海大道以南</t>
  </si>
  <si>
    <t>2017-07-19</t>
  </si>
  <si>
    <t>珠海可口可乐饮料有限公司</t>
  </si>
  <si>
    <t>珠海高栏港经济区高栏岛正咀山(铁炉湾西路东侧、铁炉湾北路西北侧)</t>
  </si>
  <si>
    <t>2017-07-12</t>
  </si>
  <si>
    <t>中海石油深海开发有限公司</t>
  </si>
  <si>
    <t>珠海高栏港经济区高栏岛正咀山(铁炉湾东路东侧)</t>
  </si>
  <si>
    <t>珠海高栏港经济区高栏岛正咀山</t>
  </si>
  <si>
    <t>金湾区红旗镇虹晖三路南侧、永安四路东侧</t>
  </si>
  <si>
    <t>≥1.0且≤1.8</t>
  </si>
  <si>
    <t>2017-06-28</t>
  </si>
  <si>
    <t>珠海瑞信重工设备有限公司</t>
  </si>
  <si>
    <t>珠海高栏港经济区石油化工区联景路西南侧</t>
  </si>
  <si>
    <t>2017-06-14</t>
  </si>
  <si>
    <t>长兴化学材料(珠海)有限公司</t>
  </si>
  <si>
    <t>金湾区三灶镇机场西路西侧</t>
  </si>
  <si>
    <t>2017-04-21</t>
  </si>
  <si>
    <t>珠海中珠来泰药业有限公司</t>
  </si>
  <si>
    <t>金湾区三灶镇定中路西侧、规划六路南侧</t>
  </si>
  <si>
    <t>海雅美生物技术(珠海)有限公司</t>
  </si>
  <si>
    <t>工业及配套</t>
    <phoneticPr fontId="3" type="noConversion"/>
  </si>
  <si>
    <t>混合楼</t>
  </si>
  <si>
    <t>混合楼</t>
    <phoneticPr fontId="7" type="noConversion"/>
  </si>
  <si>
    <t>框架楼</t>
  </si>
  <si>
    <t>不动产收益法</t>
  </si>
  <si>
    <t>周边路网密集程度一般，有一定数量公交车通过，停车较方便，总体考虑一般</t>
    <phoneticPr fontId="21" type="noConversion"/>
  </si>
  <si>
    <t>工业园区内，各配套设施齐备度一般，综合一般</t>
    <phoneticPr fontId="21" type="noConversion"/>
  </si>
  <si>
    <t>六通</t>
    <phoneticPr fontId="21" type="noConversion"/>
  </si>
  <si>
    <t>无大型污染，自然环境一般，综合一般</t>
    <phoneticPr fontId="21" type="noConversion"/>
  </si>
  <si>
    <t>一致</t>
    <phoneticPr fontId="21" type="noConversion"/>
  </si>
  <si>
    <t>比较法-工业</t>
  </si>
  <si>
    <t>乾务糖厂</t>
    <phoneticPr fontId="3" type="noConversion"/>
  </si>
  <si>
    <t>珠海市斗门区乾务镇沿河西路以东、乾湾路西侧</t>
    <phoneticPr fontId="233" type="noConversion"/>
  </si>
  <si>
    <t>珠海市平沙镇珠海大道西北侧</t>
    <phoneticPr fontId="233" type="noConversion"/>
  </si>
  <si>
    <t>珠海市平沙镇升平大道北侧</t>
    <phoneticPr fontId="233" type="noConversion"/>
  </si>
  <si>
    <t>工业</t>
    <phoneticPr fontId="28" type="noConversion"/>
  </si>
  <si>
    <t>快速路</t>
    <phoneticPr fontId="28" type="noConversion"/>
  </si>
  <si>
    <t>主干道</t>
    <phoneticPr fontId="28" type="noConversion"/>
  </si>
  <si>
    <t>次干道</t>
    <phoneticPr fontId="28" type="noConversion"/>
  </si>
  <si>
    <t>支路</t>
    <phoneticPr fontId="28" type="noConversion"/>
  </si>
  <si>
    <t>规则</t>
    <phoneticPr fontId="28" type="noConversion"/>
  </si>
  <si>
    <t>较规则</t>
    <phoneticPr fontId="28" type="noConversion"/>
  </si>
  <si>
    <t>较不规则</t>
    <phoneticPr fontId="28" type="noConversion"/>
  </si>
  <si>
    <t>不规则</t>
    <phoneticPr fontId="28" type="noConversion"/>
  </si>
  <si>
    <t>六通</t>
    <phoneticPr fontId="28" type="noConversion"/>
  </si>
  <si>
    <t>五通</t>
    <phoneticPr fontId="28" type="noConversion"/>
  </si>
  <si>
    <t>四通</t>
    <phoneticPr fontId="28" type="noConversion"/>
  </si>
  <si>
    <t>三通</t>
    <phoneticPr fontId="28" type="noConversion"/>
  </si>
  <si>
    <t>良好</t>
    <phoneticPr fontId="28" type="noConversion"/>
  </si>
  <si>
    <t>一般</t>
    <phoneticPr fontId="28" type="noConversion"/>
  </si>
  <si>
    <t>工业园内，聚集程度较好</t>
    <phoneticPr fontId="21" type="noConversion"/>
  </si>
  <si>
    <r>
      <rPr>
        <sz val="11"/>
        <rFont val="仿宋_GB2312"/>
        <family val="3"/>
        <charset val="134"/>
      </rPr>
      <t>项目位置</t>
    </r>
    <phoneticPr fontId="3" type="noConversion"/>
  </si>
  <si>
    <t>较差</t>
  </si>
  <si>
    <r>
      <rPr>
        <b/>
        <sz val="11"/>
        <rFont val="仿宋_GB2312"/>
        <family val="3"/>
        <charset val="134"/>
      </rPr>
      <t>估价对象工业用地比较价格（楼面单价，元</t>
    </r>
    <r>
      <rPr>
        <b/>
        <sz val="11"/>
        <rFont val="Arial"/>
        <family val="2"/>
      </rPr>
      <t>/</t>
    </r>
    <r>
      <rPr>
        <b/>
        <sz val="11"/>
        <rFont val="仿宋_GB2312"/>
        <family val="3"/>
        <charset val="134"/>
      </rPr>
      <t>平方米）</t>
    </r>
    <phoneticPr fontId="3" type="noConversion"/>
  </si>
  <si>
    <t>工业34.26</t>
    <phoneticPr fontId="6" type="noConversion"/>
  </si>
  <si>
    <t>押一</t>
  </si>
  <si>
    <t>砖混</t>
  </si>
  <si>
    <t>地</t>
    <phoneticPr fontId="233" type="noConversion"/>
  </si>
  <si>
    <t>地</t>
    <phoneticPr fontId="233" type="noConversion"/>
  </si>
  <si>
    <t>房</t>
    <phoneticPr fontId="233" type="noConversion"/>
  </si>
  <si>
    <t>标准厂房</t>
  </si>
  <si>
    <t>单位面积地价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</si>
</sst>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49" fontId="140" fillId="0" borderId="17" xfId="0" applyNumberFormat="1" applyFont="1" applyFill="1" applyBorder="1" applyAlignment="1" applyProtection="1">
      <alignment horizontal="left" vertical="center"/>
      <protection locked="0"/>
    </xf>
    <xf numFmtId="0" fontId="0" fillId="0" borderId="2" xfId="0" applyBorder="1" applyAlignment="1">
      <alignment horizontal="center" vertical="center"/>
    </xf>
    <xf numFmtId="0" fontId="145" fillId="0" borderId="2" xfId="0" applyFont="1" applyBorder="1" applyAlignment="1">
      <alignment horizontal="center" vertical="center"/>
    </xf>
    <xf numFmtId="177" fontId="0" fillId="0" borderId="2" xfId="0" applyNumberFormat="1" applyBorder="1" applyAlignment="1"/>
    <xf numFmtId="0" fontId="0" fillId="0" borderId="2" xfId="0" applyBorder="1" applyAlignment="1"/>
    <xf numFmtId="0" fontId="145" fillId="0" borderId="0" xfId="0" applyFont="1">
      <alignment vertical="center"/>
    </xf>
    <xf numFmtId="0" fontId="0" fillId="0" borderId="0" xfId="0" applyFont="1" applyFill="1" applyBorder="1" applyAlignment="1">
      <alignment horizontal="center" vertical="center" wrapText="1"/>
    </xf>
    <xf numFmtId="177" fontId="0" fillId="0" borderId="0" xfId="0" applyNumberFormat="1">
      <alignment vertical="center"/>
    </xf>
    <xf numFmtId="0" fontId="145" fillId="0" borderId="0" xfId="0" applyFont="1" applyFill="1" applyBorder="1" applyAlignment="1">
      <alignment horizontal="center" vertical="center" wrapText="1"/>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177" fontId="0" fillId="0" borderId="2" xfId="0" applyNumberFormat="1" applyBorder="1" applyAlignment="1">
      <alignment horizontal="center" vertical="center"/>
    </xf>
    <xf numFmtId="0" fontId="0" fillId="0" borderId="2" xfId="0" applyFill="1" applyBorder="1" applyAlignment="1">
      <alignment horizontal="center" vertical="center"/>
    </xf>
    <xf numFmtId="177" fontId="0" fillId="0" borderId="2" xfId="0" applyNumberFormat="1" applyFill="1" applyBorder="1" applyAlignment="1">
      <alignment horizontal="center" vertical="center"/>
    </xf>
    <xf numFmtId="0" fontId="0" fillId="0" borderId="21" xfId="0" applyBorder="1" applyAlignment="1">
      <alignment vertical="center" wrapText="1"/>
    </xf>
    <xf numFmtId="0" fontId="145" fillId="0" borderId="10"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9" borderId="0" xfId="0" applyFill="1" applyAlignment="1">
      <alignment horizontal="center" vertical="center"/>
    </xf>
    <xf numFmtId="0" fontId="0" fillId="6" borderId="0" xfId="0" applyFill="1" applyAlignment="1">
      <alignment horizontal="center" vertical="center"/>
    </xf>
    <xf numFmtId="2" fontId="0" fillId="0" borderId="2" xfId="0" applyNumberFormat="1" applyBorder="1" applyAlignment="1">
      <alignment horizontal="center" vertical="center"/>
    </xf>
    <xf numFmtId="10" fontId="71" fillId="9" borderId="2" xfId="0" applyNumberFormat="1" applyFont="1" applyFill="1" applyBorder="1" applyAlignment="1" applyProtection="1">
      <alignment horizontal="center" vertical="center"/>
      <protection locked="0"/>
    </xf>
    <xf numFmtId="0" fontId="144" fillId="0" borderId="46" xfId="0" applyNumberFormat="1" applyFont="1" applyFill="1" applyBorder="1" applyAlignment="1" applyProtection="1">
      <alignment horizontal="center" vertical="center" wrapText="1"/>
      <protection locked="0"/>
    </xf>
    <xf numFmtId="0" fontId="145" fillId="9" borderId="0" xfId="0" applyFont="1" applyFill="1" applyAlignment="1">
      <alignment horizontal="center" vertical="center"/>
    </xf>
    <xf numFmtId="0" fontId="144" fillId="0" borderId="51" xfId="0" applyNumberFormat="1" applyFont="1" applyFill="1" applyBorder="1" applyAlignment="1" applyProtection="1">
      <alignment horizontal="center" vertical="center" wrapText="1"/>
      <protection locked="0"/>
    </xf>
    <xf numFmtId="185" fontId="83" fillId="5" borderId="56" xfId="0" applyNumberFormat="1" applyFont="1" applyFill="1" applyBorder="1" applyAlignment="1" applyProtection="1">
      <alignment horizontal="center" vertical="center" wrapText="1"/>
    </xf>
    <xf numFmtId="0" fontId="83" fillId="5" borderId="56" xfId="0" applyFont="1" applyFill="1" applyBorder="1" applyAlignment="1" applyProtection="1">
      <alignment horizontal="center" vertical="center" wrapText="1"/>
    </xf>
    <xf numFmtId="185" fontId="83" fillId="5" borderId="60" xfId="0" applyNumberFormat="1" applyFont="1" applyFill="1" applyBorder="1" applyAlignment="1" applyProtection="1">
      <alignment horizontal="center" vertical="center" wrapText="1"/>
    </xf>
    <xf numFmtId="0" fontId="83" fillId="5" borderId="48" xfId="0" applyFont="1" applyFill="1" applyBorder="1" applyAlignment="1" applyProtection="1">
      <alignment horizontal="center" vertical="center" wrapText="1"/>
    </xf>
    <xf numFmtId="0" fontId="83" fillId="3" borderId="30" xfId="0" applyFont="1" applyFill="1" applyBorder="1" applyAlignment="1" applyProtection="1">
      <alignment horizontal="center" vertical="center" wrapText="1"/>
      <protection locked="0"/>
    </xf>
    <xf numFmtId="0" fontId="83" fillId="5" borderId="30" xfId="0" applyFont="1" applyFill="1" applyBorder="1" applyAlignment="1" applyProtection="1">
      <alignment horizontal="center" vertical="center" wrapText="1"/>
    </xf>
    <xf numFmtId="0" fontId="83" fillId="3" borderId="59" xfId="0" applyFont="1" applyFill="1" applyBorder="1" applyAlignment="1" applyProtection="1">
      <alignment horizontal="center" vertical="center" wrapText="1"/>
      <protection locked="0"/>
    </xf>
    <xf numFmtId="0" fontId="83" fillId="5" borderId="57" xfId="0" applyFont="1" applyFill="1" applyBorder="1" applyAlignment="1" applyProtection="1">
      <alignment horizontal="center" vertical="center" wrapText="1"/>
    </xf>
    <xf numFmtId="0" fontId="164" fillId="0" borderId="2" xfId="0" applyFont="1" applyFill="1" applyBorder="1" applyAlignment="1">
      <alignment horizontal="center" vertical="center" wrapText="1"/>
    </xf>
    <xf numFmtId="0" fontId="86" fillId="9" borderId="7"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71" fillId="9" borderId="12" xfId="0" applyFont="1" applyFill="1" applyBorder="1" applyAlignment="1" applyProtection="1">
      <alignment horizontal="center" vertical="center"/>
      <protection locked="0"/>
    </xf>
    <xf numFmtId="0" fontId="71" fillId="9" borderId="2"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0" fontId="76" fillId="9" borderId="2" xfId="0" applyFont="1" applyFill="1" applyBorder="1" applyAlignment="1" applyProtection="1">
      <alignment horizontal="left" vertical="center" wrapText="1"/>
      <protection locked="0"/>
    </xf>
    <xf numFmtId="195" fontId="0" fillId="0" borderId="0" xfId="0" applyNumberForma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xf>
    <xf numFmtId="0" fontId="164" fillId="6" borderId="2" xfId="0" applyFont="1" applyFill="1" applyBorder="1" applyAlignment="1">
      <alignment horizontal="center" vertical="center" wrapText="1"/>
    </xf>
    <xf numFmtId="0" fontId="164" fillId="9" borderId="2"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3" xfId="0" applyBorder="1" applyAlignment="1">
      <alignment horizontal="center" vertical="center" wrapText="1"/>
    </xf>
    <xf numFmtId="14" fontId="0" fillId="0" borderId="10" xfId="0" applyNumberFormat="1" applyFill="1" applyBorder="1" applyAlignment="1">
      <alignment horizontal="center" vertical="center" wrapText="1"/>
    </xf>
    <xf numFmtId="14" fontId="0" fillId="0" borderId="3" xfId="0" applyNumberFormat="1" applyFill="1" applyBorder="1" applyAlignment="1">
      <alignment horizontal="center" vertical="center" wrapText="1"/>
    </xf>
    <xf numFmtId="14" fontId="0" fillId="0" borderId="21" xfId="0" applyNumberForma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0" borderId="9"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84</xdr:row>
      <xdr:rowOff>152400</xdr:rowOff>
    </xdr:from>
    <xdr:to>
      <xdr:col>8</xdr:col>
      <xdr:colOff>123825</xdr:colOff>
      <xdr:row>117</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81250"/>
          <a:ext cx="8086725" cy="5638800"/>
        </a:xfrm>
        <a:prstGeom prst="rect">
          <a:avLst/>
        </a:prstGeom>
      </xdr:spPr>
    </xdr:pic>
    <xdr:clientData/>
  </xdr:twoCellAnchor>
  <xdr:twoCellAnchor editAs="oneCell">
    <xdr:from>
      <xdr:col>0</xdr:col>
      <xdr:colOff>0</xdr:colOff>
      <xdr:row>119</xdr:row>
      <xdr:rowOff>1</xdr:rowOff>
    </xdr:from>
    <xdr:to>
      <xdr:col>7</xdr:col>
      <xdr:colOff>793840</xdr:colOff>
      <xdr:row>150</xdr:row>
      <xdr:rowOff>133351</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229601"/>
          <a:ext cx="7918540" cy="5448300"/>
        </a:xfrm>
        <a:prstGeom prst="rect">
          <a:avLst/>
        </a:prstGeom>
      </xdr:spPr>
    </xdr:pic>
    <xdr:clientData/>
  </xdr:twoCellAnchor>
  <xdr:twoCellAnchor editAs="oneCell">
    <xdr:from>
      <xdr:col>9</xdr:col>
      <xdr:colOff>0</xdr:colOff>
      <xdr:row>88</xdr:row>
      <xdr:rowOff>0</xdr:rowOff>
    </xdr:from>
    <xdr:to>
      <xdr:col>15</xdr:col>
      <xdr:colOff>447675</xdr:colOff>
      <xdr:row>121</xdr:row>
      <xdr:rowOff>152400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72525" y="2914650"/>
          <a:ext cx="6086475" cy="5810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26412;&#27861;&#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2)"/>
      <sheetName val="面积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468</v>
          </cell>
        </row>
      </sheetData>
      <sheetData sheetId="20">
        <row r="3">
          <cell r="B3">
            <v>574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2657</v>
      </c>
      <c r="B1" s="2914" t="s">
        <v>2754</v>
      </c>
    </row>
    <row r="2" spans="1:55" s="2918" customFormat="1" ht="15" thickTop="1">
      <c r="A2" s="2916" t="s">
        <v>2661</v>
      </c>
      <c r="B2" s="2917" t="str">
        <f>'预评函-封皮'!B37</f>
        <v>广东省珠海市斗门区乾务镇糖厂内2宗工业用地出让国有建设用地使用权抵押价格预评估</v>
      </c>
      <c r="AX2" s="2919"/>
      <c r="AZ2" s="2919"/>
      <c r="BA2" s="2920"/>
      <c r="BC2" s="2920"/>
    </row>
    <row r="3" spans="1:55" s="2921" customFormat="1">
      <c r="A3" s="2900" t="s">
        <v>2662</v>
      </c>
      <c r="B3" s="2903" t="str">
        <f>'预评函-封皮'!B40</f>
        <v>珠海市恒信糖业有限公司</v>
      </c>
    </row>
    <row r="4" spans="1:55" s="2902" customFormat="1">
      <c r="A4" s="2900" t="s">
        <v>2663</v>
      </c>
      <c r="B4" s="2901" t="str">
        <f>'预评函-封皮'!B46</f>
        <v>吴薇、刘梅</v>
      </c>
      <c r="N4" s="2902" t="str">
        <f>'预评函-1'!A28</f>
        <v/>
      </c>
    </row>
    <row r="5" spans="1:55" s="2915" customFormat="1" ht="15" thickBot="1">
      <c r="A5" s="2922" t="s">
        <v>2664</v>
      </c>
      <c r="B5" s="2923" t="str">
        <f>'预评函-封皮'!B49</f>
        <v>康正预评字号</v>
      </c>
    </row>
    <row r="6" spans="1:55" s="2924" customFormat="1" ht="15" thickTop="1">
      <c r="A6" s="2916" t="s">
        <v>2706</v>
      </c>
      <c r="B6" s="2917" t="str">
        <f>'预评函-1'!A4</f>
        <v>受贵公司委托，我公司对广东省珠海市斗门区乾务镇糖厂内2宗工业用地出让国有建设用地使用权抵押价格进行了预评估。</v>
      </c>
      <c r="AM6" s="2925"/>
    </row>
    <row r="7" spans="1:55" s="2899" customFormat="1">
      <c r="A7" s="2900" t="s">
        <v>2658</v>
      </c>
      <c r="B7" s="2901" t="str">
        <f>'预评函-1'!A6</f>
        <v>估价对象为使用的、位于广东省珠海市斗门区乾务镇糖厂内2宗工业用地出让国有建设用地使用权。根据《国有土地使用证》[斗府国用（2002）字第04210300132号]，估价对象（分摊）出让国有建设用地使用权面积为157370.63平方米。根据企业介绍、《房地产权证》，估价对象规划建筑面积为140004.31平方米。</v>
      </c>
    </row>
    <row r="8" spans="1:55" s="2899" customFormat="1">
      <c r="A8" s="2900" t="s">
        <v>2659</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2709</v>
      </c>
      <c r="B9" s="2901"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2660</v>
      </c>
      <c r="B10" s="2901" t="str">
        <f>'预评函-1'!A11</f>
        <v>2018年5月24日（评估专业人员勘察现场之日）</v>
      </c>
    </row>
    <row r="11" spans="1:55" s="2899" customFormat="1">
      <c r="A11" s="2900" t="s">
        <v>2666</v>
      </c>
      <c r="B11" s="2901" t="str">
        <f>'预评函-1'!A14</f>
        <v>根据《国有土地使用证》[斗府国用（2002）字第04210300132号]，本次评估估价对象证载（地类）用途为住宅。</v>
      </c>
    </row>
    <row r="12" spans="1:55" s="2899" customFormat="1">
      <c r="A12" s="2900" t="s">
        <v>2667</v>
      </c>
      <c r="B12" s="2901" t="str">
        <f>'预评函-1'!A15</f>
        <v>本次评估设定用途即为证载用途住宅。</v>
      </c>
    </row>
    <row r="13" spans="1:55" s="2899" customFormat="1">
      <c r="A13" s="2900" t="s">
        <v>2668</v>
      </c>
      <c r="B13" s="2901" t="str">
        <f>'预评函-1'!A17</f>
        <v>根据委托估价方介绍及评估专业人员现场勘查，本次评估估价对象实际土地开发程度为红线外市政基础设施达“七通”（即通路、通电、通讯、通上水、通下水、、）、宗地红线内场地平整。</v>
      </c>
    </row>
    <row r="14" spans="1:55" s="2899" customFormat="1">
      <c r="A14" s="2900" t="s">
        <v>2669</v>
      </c>
      <c r="B14" s="2901" t="str">
        <f>'预评函-1'!A18</f>
        <v>本次评估设定土地开发程度为红线外市政基础设施达“七通”、宗地红线内场地平整。</v>
      </c>
    </row>
    <row r="15" spans="1:55" s="2899" customFormat="1">
      <c r="A15" s="2900" t="s">
        <v>2665</v>
      </c>
      <c r="B15" s="2901" t="str">
        <f>'预评函-1'!A20</f>
        <v>根据《国有土地使用证》[斗府国用（2002）字第04210300132号]，估价对象（分摊）出让国有建设用地使用权面积为157370.63平方米。根据企业介绍、《房地产权证》，估价对象规划建筑面积为140004.31平方米。</v>
      </c>
    </row>
    <row r="16" spans="1:55" s="2899" customFormat="1">
      <c r="A16" s="2900" t="s">
        <v>2670</v>
      </c>
      <c r="B16" s="2901" t="str">
        <f>'预评函-1'!A22</f>
        <v>本次估价对象为出让国有建设用地使用权，《国有土地使用证》[斗府国用（2002）字第04210300132号]证载土地终止日期为工业2052年8月19日。截至估价期日，出让国有建设用地使用权剩余土地使用年限为工业34.26。</v>
      </c>
    </row>
    <row r="17" spans="1:48" s="2899" customFormat="1">
      <c r="A17" s="2900" t="s">
        <v>2671</v>
      </c>
      <c r="B17" s="2901" t="str">
        <f>'预评函-1'!A23</f>
        <v>本次评估设定估价对象剩余土地使用年限为工业34.26。</v>
      </c>
    </row>
    <row r="18" spans="1:48" s="2899" customFormat="1">
      <c r="A18" s="2900" t="s">
        <v>2672</v>
      </c>
      <c r="B18" s="2901"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工业34.26的出让国有建设用地使用权价格。</v>
      </c>
    </row>
    <row r="19" spans="1:48" s="2899" customFormat="1">
      <c r="A19" s="2900" t="s">
        <v>2673</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2674</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2675</v>
      </c>
      <c r="B21" s="2923" t="str">
        <f>'预评函-1'!A28</f>
        <v/>
      </c>
    </row>
    <row r="22" spans="1:48" ht="15" thickTop="1">
      <c r="A22" s="2911" t="s">
        <v>2676</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2677</v>
      </c>
      <c r="B23" s="2901" t="str">
        <f>'预评函-2'!K2</f>
        <v>估价期日：2018年5月24日</v>
      </c>
    </row>
    <row r="24" spans="1:48">
      <c r="A24" s="2900" t="s">
        <v>2678</v>
      </c>
      <c r="B24" s="2901" t="str">
        <f>'预评函-2'!R2</f>
        <v>估价期日的国有建设用地使用权性质：出让</v>
      </c>
    </row>
    <row r="25" spans="1:48">
      <c r="A25" s="2900" t="s">
        <v>2734</v>
      </c>
      <c r="B25" s="2901" t="str">
        <f>'预评函-2'!A3</f>
        <v>估价期日土地使用者</v>
      </c>
    </row>
    <row r="26" spans="1:48">
      <c r="A26" s="2900" t="s">
        <v>2710</v>
      </c>
      <c r="B26" s="2901" t="str">
        <f>'预评函-2'!A5</f>
        <v>中信开发</v>
      </c>
    </row>
    <row r="27" spans="1:48">
      <c r="A27" s="2900" t="s">
        <v>2735</v>
      </c>
      <c r="B27" s="2901" t="str">
        <f>'预评函-2'!B3</f>
        <v>宗地编号/不动产单元号</v>
      </c>
    </row>
    <row r="28" spans="1:48">
      <c r="A28" s="2900" t="s">
        <v>2711</v>
      </c>
      <c r="B28" s="2901" t="str">
        <f>'预评函-2'!B5</f>
        <v>11111111111</v>
      </c>
    </row>
    <row r="29" spans="1:48">
      <c r="A29" s="2900" t="s">
        <v>2737</v>
      </c>
      <c r="B29" s="2901">
        <f>'预评函-2'!C5</f>
        <v>22</v>
      </c>
    </row>
    <row r="30" spans="1:48">
      <c r="A30" s="2900" t="s">
        <v>2738</v>
      </c>
      <c r="B30" s="2901" t="str">
        <f>'预评函-2'!D3</f>
        <v>土地使用证编号/不动产权证书编号</v>
      </c>
    </row>
    <row r="31" spans="1:48">
      <c r="A31" s="2900" t="s">
        <v>2712</v>
      </c>
      <c r="B31" s="2901" t="str">
        <f>'预评函-2'!D5</f>
        <v>京国土字第111号</v>
      </c>
    </row>
    <row r="32" spans="1:48">
      <c r="A32" s="2900" t="s">
        <v>2713</v>
      </c>
      <c r="B32" s="2901" t="str">
        <f>'预评函-2'!E5</f>
        <v>住宅</v>
      </c>
      <c r="AV32" s="2905"/>
    </row>
    <row r="33" spans="1:2">
      <c r="A33" s="2900" t="s">
        <v>2714</v>
      </c>
      <c r="B33" s="2901">
        <f>'预评函-2'!F5</f>
        <v>258</v>
      </c>
    </row>
    <row r="34" spans="1:2">
      <c r="A34" s="2900" t="s">
        <v>2715</v>
      </c>
      <c r="B34" s="2901" t="str">
        <f>'预评函-2'!G5</f>
        <v>住宅</v>
      </c>
    </row>
    <row r="35" spans="1:2">
      <c r="A35" s="2900" t="s">
        <v>2716</v>
      </c>
      <c r="B35" s="2901">
        <f>'预评函-2'!H5</f>
        <v>1.5</v>
      </c>
    </row>
    <row r="36" spans="1:2">
      <c r="A36" s="2900" t="s">
        <v>2717</v>
      </c>
      <c r="B36" s="2901">
        <f>'预评函-2'!I5</f>
        <v>1.5</v>
      </c>
    </row>
    <row r="37" spans="1:2">
      <c r="A37" s="2900" t="s">
        <v>2718</v>
      </c>
      <c r="B37" s="2901">
        <f>'预评函-2'!J5</f>
        <v>1.5</v>
      </c>
    </row>
    <row r="38" spans="1:2">
      <c r="A38" s="2900" t="s">
        <v>2719</v>
      </c>
      <c r="B38" s="2901" t="str">
        <f>'预评函-2'!K5</f>
        <v>红线外七通、宗地红线内场地平整</v>
      </c>
    </row>
    <row r="39" spans="1:2">
      <c r="A39" s="2900" t="s">
        <v>2720</v>
      </c>
      <c r="B39" s="2901" t="str">
        <f>'预评函-2'!L5</f>
        <v>红线外七通、宗地红线内场地平整</v>
      </c>
    </row>
    <row r="40" spans="1:2">
      <c r="A40" s="2900" t="s">
        <v>2739</v>
      </c>
      <c r="B40" s="2901" t="str">
        <f>'预评函-2'!M3</f>
        <v>（剩余）土地使用年限/年</v>
      </c>
    </row>
    <row r="41" spans="1:2">
      <c r="A41" s="2900" t="s">
        <v>2721</v>
      </c>
      <c r="B41" s="2901" t="str">
        <f>'预评函-2'!M5</f>
        <v>工业34.26</v>
      </c>
    </row>
    <row r="42" spans="1:2">
      <c r="A42" s="2900" t="s">
        <v>2740</v>
      </c>
      <c r="B42" s="2901" t="str">
        <f>'预评函-2'!N3</f>
        <v>（分摊）出让国有建设用地使用权面积/㎡</v>
      </c>
    </row>
    <row r="43" spans="1:2">
      <c r="A43" s="2900" t="s">
        <v>2722</v>
      </c>
      <c r="B43" s="2901">
        <f>'预评函-2'!N5</f>
        <v>157370.63</v>
      </c>
    </row>
    <row r="44" spans="1:2">
      <c r="A44" s="2900" t="s">
        <v>2741</v>
      </c>
      <c r="B44" s="2901" t="str">
        <f>'预评函-2'!O3</f>
        <v>规划建筑面积/㎡</v>
      </c>
    </row>
    <row r="45" spans="1:2">
      <c r="A45" s="2900" t="s">
        <v>2723</v>
      </c>
      <c r="B45" s="2901">
        <f>'预评函-2'!O5</f>
        <v>140004.31000000006</v>
      </c>
    </row>
    <row r="46" spans="1:2">
      <c r="A46" s="2900" t="s">
        <v>2724</v>
      </c>
      <c r="B46" s="2901">
        <f ca="1">'预评函-2'!P5</f>
        <v>291</v>
      </c>
    </row>
    <row r="47" spans="1:2">
      <c r="A47" s="2900" t="s">
        <v>2725</v>
      </c>
      <c r="B47" s="2901">
        <f ca="1">'预评函-2'!Q5</f>
        <v>327</v>
      </c>
    </row>
    <row r="48" spans="1:2">
      <c r="A48" s="2900" t="s">
        <v>2726</v>
      </c>
      <c r="B48" s="2901">
        <f ca="1">'预评函-2'!R5</f>
        <v>4580</v>
      </c>
    </row>
    <row r="49" spans="1:2">
      <c r="A49" s="2900" t="s">
        <v>2742</v>
      </c>
      <c r="B49" s="2901" t="str">
        <f>'预评函-2'!A6</f>
        <v>抵押价格</v>
      </c>
    </row>
    <row r="50" spans="1:2">
      <c r="A50" s="2900" t="s">
        <v>2727</v>
      </c>
      <c r="B50" s="2901">
        <f ca="1">'预评函-2'!R6</f>
        <v>4580</v>
      </c>
    </row>
    <row r="51" spans="1:2">
      <c r="A51" s="2900" t="s">
        <v>2743</v>
      </c>
      <c r="B51" s="2901" t="str">
        <f>'预评函-2'!A7</f>
        <v>——</v>
      </c>
    </row>
    <row r="52" spans="1:2">
      <c r="A52" s="2900" t="s">
        <v>2728</v>
      </c>
      <c r="B52" s="2901" t="str">
        <f>'预评函-2'!R7</f>
        <v>——</v>
      </c>
    </row>
    <row r="53" spans="1:2">
      <c r="A53" s="2900" t="s">
        <v>2744</v>
      </c>
      <c r="B53" s="2901" t="str">
        <f>'预评函-2'!A8</f>
        <v>——</v>
      </c>
    </row>
    <row r="54" spans="1:2" s="2915" customFormat="1" ht="15" thickBot="1">
      <c r="A54" s="2922" t="s">
        <v>2729</v>
      </c>
      <c r="B54" s="2923" t="str">
        <f>'预评函-2'!R8</f>
        <v>——</v>
      </c>
    </row>
    <row r="55" spans="1:2" ht="15" thickTop="1">
      <c r="A55" s="2911" t="s">
        <v>2679</v>
      </c>
      <c r="B55" s="2912" t="str">
        <f>'预评函-3'!A2</f>
        <v>1.权利限制：根据估价对象——、《国有土地使用权》复印件，截至估价期日，估价对象抵押权未见登记。未设定租赁等其他他项权利。</v>
      </c>
    </row>
    <row r="56" spans="1:2">
      <c r="A56" s="2900" t="s">
        <v>2680</v>
      </c>
      <c r="B56" s="2901" t="str">
        <f>'预评函-3'!A3</f>
        <v>2.基础设施条件：估价对象实际开发程度为红线外七通、宗地红线内场地平整；本次评估设定开发程度为红线外七通、宗地红线内场地平整。</v>
      </c>
    </row>
    <row r="57" spans="1:2">
      <c r="A57" s="2900" t="s">
        <v>2681</v>
      </c>
      <c r="B57" s="2901" t="str">
        <f>'预评函-3'!A4</f>
        <v>3.估价规划限制条件：详见企业介绍、《房地产权证》。</v>
      </c>
    </row>
    <row r="58" spans="1:2" s="2915" customFormat="1" ht="15" thickBot="1">
      <c r="A58" s="2922" t="s">
        <v>2730</v>
      </c>
      <c r="B58" s="2923" t="str">
        <f>'预评函-3'!A5</f>
        <v>4.影响价格的其他限定条件：无。</v>
      </c>
    </row>
    <row r="59" spans="1:2" ht="15" thickTop="1">
      <c r="A59" s="2911" t="s">
        <v>2682</v>
      </c>
      <c r="B59" s="2912" t="str">
        <f>'预评函-3'!A8</f>
        <v>2.本《评估意见函》仅供金融机构进行内部审核使用，不做其他目的之用。</v>
      </c>
    </row>
    <row r="60" spans="1:2">
      <c r="A60" s="2900" t="s">
        <v>2683</v>
      </c>
      <c r="B60" s="2901" t="str">
        <f>'预评函-3'!A9</f>
        <v>3.抵押双方在办理抵押登记手续时，应使用本公司出具的正式《土地估价报告》，特提请报告使用者注意。</v>
      </c>
    </row>
    <row r="61" spans="1:2">
      <c r="A61" s="2900" t="s">
        <v>2685</v>
      </c>
      <c r="B61" s="2901" t="str">
        <f>'预评函-3'!A10</f>
        <v>4.估价师所知悉的法定优先受偿款情况为：</v>
      </c>
    </row>
    <row r="62" spans="1:2">
      <c r="A62" s="2900" t="s">
        <v>2684</v>
      </c>
      <c r="B62" s="2901" t="str">
        <f>'预评函-3'!A11</f>
        <v>（1）根据估价对象——、《国有土地使用权》复印件，截至估价期日，估价对象抵押权未见登记。</v>
      </c>
    </row>
    <row r="63" spans="1:2">
      <c r="A63" s="2900" t="s">
        <v>2686</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2687</v>
      </c>
      <c r="B64" s="2906" t="str">
        <f>'预评函-3'!A13</f>
        <v>（3）。</v>
      </c>
    </row>
    <row r="65" spans="1:2">
      <c r="A65" s="2900" t="s">
        <v>2688</v>
      </c>
      <c r="B65" s="2907" t="str">
        <f>'预评函-3'!A14</f>
        <v>综上，本次评估不存在估价师知悉的法定优先受偿款</v>
      </c>
    </row>
    <row r="66" spans="1:2">
      <c r="A66" s="2900" t="s">
        <v>2689</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2690</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2693</v>
      </c>
      <c r="B68" s="2926">
        <f>'预评函-3'!D30</f>
        <v>42558</v>
      </c>
    </row>
    <row r="69" spans="1:2" ht="15" thickTop="1">
      <c r="A69" s="2911" t="s">
        <v>2691</v>
      </c>
      <c r="B69" s="2912" t="str">
        <f>'预评函-3'!A20</f>
        <v>吴薇</v>
      </c>
    </row>
    <row r="70" spans="1:2">
      <c r="A70" s="2900" t="s">
        <v>2691</v>
      </c>
      <c r="B70" s="2907">
        <f ca="1">'预评函-3'!B20</f>
        <v>2002110125</v>
      </c>
    </row>
    <row r="71" spans="1:2">
      <c r="A71" s="2900" t="s">
        <v>2692</v>
      </c>
      <c r="B71" s="2901" t="str">
        <f>'预评函-3'!A21</f>
        <v>刘梅</v>
      </c>
    </row>
    <row r="72" spans="1:2" s="2915" customFormat="1" ht="15" thickBot="1">
      <c r="A72" s="2922" t="s">
        <v>2692</v>
      </c>
      <c r="B72" s="2928">
        <f ca="1">'预评函-3'!B21</f>
        <v>2008110059</v>
      </c>
    </row>
    <row r="73" spans="1:2" ht="15" thickTop="1">
      <c r="A73" s="2911" t="s">
        <v>2751</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2752</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2753</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2788</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D21" sqref="D21"/>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77" t="str">
        <f>IF(B10="北京市","北京市",C10)&amp;F10&amp;B16&amp;"国有建设用地使用权"&amp;B9&amp;"预评估"</f>
        <v>广东省珠海市斗门区乾务镇糖厂内2宗工业用地出让国有建设用地使用权抵押价格预评估</v>
      </c>
      <c r="C1" s="3278"/>
      <c r="D1" s="3278"/>
      <c r="E1" s="3278"/>
      <c r="F1" s="3278"/>
      <c r="G1" s="3278"/>
      <c r="H1" s="3278"/>
      <c r="I1" s="3279"/>
      <c r="J1" s="1691"/>
      <c r="K1" s="2477" t="str">
        <f>IF(B10="北京市","北京市",C10)&amp;F10&amp;B16&amp;"国有建设用地使用权"&amp;B9</f>
        <v>广东省珠海市斗门区乾务镇糖厂内2宗工业用地出让国有建设用地使用权抵押价格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77" t="str">
        <f>IF(B10="北京市","北京市",C10)&amp;F10&amp;B16&amp;"国有建设用地使用权"</f>
        <v>广东省珠海市斗门区乾务镇糖厂内2宗工业用地出让国有建设用地使用权</v>
      </c>
      <c r="L2" s="1720"/>
      <c r="M2" s="1720"/>
      <c r="N2" s="1691"/>
      <c r="O2" s="1692"/>
      <c r="P2" s="1691"/>
      <c r="Q2" s="1691"/>
      <c r="R2" s="1691"/>
      <c r="S2" s="1691"/>
      <c r="T2" s="1691"/>
      <c r="U2" s="1691"/>
    </row>
    <row r="3" spans="1:21">
      <c r="A3" s="1659" t="s">
        <v>1942</v>
      </c>
      <c r="B3" s="1660">
        <v>43244</v>
      </c>
      <c r="C3" s="1661" t="s">
        <v>1997</v>
      </c>
      <c r="D3" s="1660">
        <v>43244</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2971</v>
      </c>
      <c r="C4" s="1843">
        <f ca="1">SUMIF(土地估价师,B4,估价师及机构信息!E3:E24)</f>
        <v>2002110125</v>
      </c>
      <c r="D4" s="1840" t="s">
        <v>2972</v>
      </c>
      <c r="E4" s="1843">
        <f ca="1">SUMIF(土地估价师,D4,估价师及机构信息!E3:E24)</f>
        <v>2008110059</v>
      </c>
      <c r="F4" s="1840" t="s">
        <v>952</v>
      </c>
      <c r="G4" s="1843">
        <f>SUMIF(土地估价师,F4,估价师及机构信息!E3:E24)</f>
        <v>0</v>
      </c>
      <c r="H4" s="1840" t="s">
        <v>952</v>
      </c>
      <c r="I4" s="1843">
        <f>SUMIF(土地估价师,H4,估价师及机构信息!E3:E24)</f>
        <v>0</v>
      </c>
      <c r="J4" s="1691"/>
      <c r="K4" s="2477" t="str">
        <f>IF(AND(F4="——",H4="——"),B4&amp;"、"&amp;D4,IF(AND(F4&lt;&gt;"——",H4="——"),B4&amp;"、"&amp;D4&amp;"、"&amp;F4,B4&amp;"、"&amp;D4&amp;"、"&amp;F4&amp;"、"&amp;H4))</f>
        <v>吴薇、刘梅</v>
      </c>
      <c r="L4" s="1720"/>
      <c r="M4" s="1720"/>
      <c r="N4" s="1691"/>
      <c r="O4" s="1692"/>
      <c r="P4" s="1691"/>
      <c r="Q4" s="1691"/>
      <c r="R4" s="1691"/>
      <c r="S4" s="1691"/>
      <c r="T4" s="1691"/>
      <c r="U4" s="1691"/>
    </row>
    <row r="5" spans="1:21" ht="15" thickTop="1">
      <c r="A5" s="1663" t="s">
        <v>1944</v>
      </c>
      <c r="B5" s="1786" t="s">
        <v>2973</v>
      </c>
      <c r="C5" s="1664"/>
      <c r="D5" s="1665"/>
      <c r="E5" s="1691"/>
      <c r="F5" s="1691"/>
      <c r="G5" s="1691"/>
      <c r="H5" s="1658"/>
      <c r="I5" s="1692"/>
      <c r="J5" s="1691"/>
      <c r="K5" s="1771"/>
      <c r="L5" s="1720"/>
      <c r="M5" s="1720"/>
      <c r="N5" s="1691"/>
      <c r="O5" s="1692"/>
      <c r="P5" s="1691"/>
      <c r="Q5" s="1691"/>
      <c r="R5" s="1691"/>
      <c r="S5" s="1691"/>
      <c r="T5" s="1691"/>
      <c r="U5" s="1691"/>
    </row>
    <row r="6" spans="1:21" ht="26.25">
      <c r="A6" s="1661" t="s">
        <v>2707</v>
      </c>
      <c r="B6" s="1786" t="s">
        <v>2974</v>
      </c>
      <c r="C6" s="1758"/>
      <c r="D6" s="1666"/>
      <c r="E6" s="1691"/>
      <c r="F6" s="1691"/>
      <c r="G6" s="1691"/>
      <c r="H6" s="1658"/>
      <c r="I6" s="1692"/>
      <c r="J6" s="1691"/>
      <c r="K6" s="3078" t="str">
        <f>IF(COUNTIF(B6,"*上海银行*"),"上海银行","")</f>
        <v/>
      </c>
      <c r="L6" s="1720"/>
      <c r="M6" s="1720"/>
      <c r="N6" s="1691"/>
      <c r="O6" s="1692"/>
      <c r="P6" s="1691"/>
      <c r="Q6" s="1691"/>
      <c r="R6" s="1691"/>
      <c r="S6" s="1691"/>
      <c r="T6" s="1691"/>
      <c r="U6" s="1691"/>
    </row>
    <row r="7" spans="1:21">
      <c r="A7" s="1667" t="s">
        <v>2708</v>
      </c>
      <c r="B7" s="1786" t="s">
        <v>2973</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2975</v>
      </c>
      <c r="C8" s="1669"/>
      <c r="D8" s="3283" t="s">
        <v>1947</v>
      </c>
      <c r="E8" s="1841" t="s">
        <v>2976</v>
      </c>
      <c r="F8" s="1670"/>
      <c r="G8" s="1658"/>
      <c r="H8" s="1658"/>
      <c r="I8" s="1704"/>
      <c r="J8" s="1691"/>
      <c r="K8" s="1771"/>
      <c r="L8" s="1720"/>
      <c r="M8" s="1720"/>
      <c r="N8" s="1691"/>
      <c r="O8" s="1692"/>
      <c r="P8" s="1691"/>
      <c r="Q8" s="1691"/>
      <c r="R8" s="1691"/>
      <c r="S8" s="1691"/>
      <c r="T8" s="1691"/>
      <c r="U8" s="1691"/>
    </row>
    <row r="9" spans="1:21" ht="15" thickBot="1">
      <c r="A9" s="1671" t="s">
        <v>1946</v>
      </c>
      <c r="B9" s="1672" t="s">
        <v>2976</v>
      </c>
      <c r="C9" s="1673"/>
      <c r="D9" s="3284"/>
      <c r="E9" s="1672" t="s">
        <v>952</v>
      </c>
      <c r="F9" s="1744"/>
      <c r="G9" s="1739"/>
      <c r="H9" s="1739"/>
      <c r="I9" s="1740"/>
      <c r="J9" s="1691"/>
      <c r="K9" s="1771"/>
      <c r="L9" s="1720"/>
      <c r="M9" s="1720"/>
      <c r="N9" s="1691"/>
      <c r="O9" s="1692"/>
      <c r="P9" s="1691"/>
      <c r="Q9" s="1691"/>
      <c r="R9" s="1691"/>
      <c r="S9" s="1691"/>
      <c r="T9" s="1691"/>
      <c r="U9" s="1691"/>
    </row>
    <row r="10" spans="1:21" ht="15" thickTop="1">
      <c r="A10" s="1741" t="s">
        <v>2000</v>
      </c>
      <c r="B10" s="1716" t="s">
        <v>2977</v>
      </c>
      <c r="C10" s="1674" t="s">
        <v>2979</v>
      </c>
      <c r="D10" s="1665"/>
      <c r="E10" s="1675" t="s">
        <v>1949</v>
      </c>
      <c r="F10" s="3174" t="s">
        <v>3150</v>
      </c>
      <c r="G10" s="1742"/>
      <c r="H10" s="1743"/>
      <c r="I10" s="1665"/>
      <c r="J10" s="1691"/>
      <c r="K10" s="1771"/>
      <c r="L10" s="1720"/>
      <c r="M10" s="1720"/>
      <c r="N10" s="1691"/>
      <c r="O10" s="1692"/>
      <c r="P10" s="1691"/>
      <c r="Q10" s="1691"/>
      <c r="R10" s="1691"/>
      <c r="S10" s="1691"/>
      <c r="T10" s="1691"/>
      <c r="U10" s="1691"/>
    </row>
    <row r="11" spans="1:21">
      <c r="A11" s="1694" t="s">
        <v>2001</v>
      </c>
      <c r="B11" s="1695" t="s">
        <v>2980</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80" t="s">
        <v>2981</v>
      </c>
      <c r="C12" s="3281"/>
      <c r="D12" s="3282"/>
      <c r="E12" s="1696" t="s">
        <v>2062</v>
      </c>
      <c r="F12" s="3298" t="s">
        <v>2986</v>
      </c>
      <c r="G12" s="3299"/>
      <c r="H12" s="3299"/>
      <c r="I12" s="3300"/>
      <c r="J12" s="1691"/>
      <c r="K12" s="1771"/>
      <c r="L12" s="1720"/>
      <c r="M12" s="1720"/>
      <c r="N12" s="1691"/>
      <c r="O12" s="1692"/>
      <c r="P12" s="1691"/>
      <c r="Q12" s="1691"/>
      <c r="R12" s="1691"/>
      <c r="S12" s="1691"/>
      <c r="T12" s="1691"/>
      <c r="U12" s="1691"/>
    </row>
    <row r="13" spans="1:21">
      <c r="A13" s="1684" t="s">
        <v>2060</v>
      </c>
      <c r="B13" s="3280" t="s">
        <v>2981</v>
      </c>
      <c r="C13" s="3281"/>
      <c r="D13" s="3282"/>
      <c r="E13" s="1696" t="s">
        <v>2062</v>
      </c>
      <c r="F13" s="3298" t="s">
        <v>2982</v>
      </c>
      <c r="G13" s="3299"/>
      <c r="H13" s="3299"/>
      <c r="I13" s="3300"/>
      <c r="J13" s="1691"/>
      <c r="K13" s="1771"/>
      <c r="L13" s="1720"/>
      <c r="M13" s="1720"/>
      <c r="N13" s="1691"/>
      <c r="O13" s="1692"/>
      <c r="P13" s="1691"/>
      <c r="Q13" s="1691"/>
      <c r="R13" s="1691"/>
      <c r="S13" s="1691"/>
      <c r="T13" s="1691"/>
      <c r="U13" s="1691"/>
    </row>
    <row r="14" spans="1:21">
      <c r="A14" s="1659" t="s">
        <v>2063</v>
      </c>
      <c r="B14" s="1696"/>
      <c r="C14" s="1842" t="s">
        <v>2983</v>
      </c>
      <c r="D14" s="1730" t="str">
        <f>IF(C14="不一致","是否符合证载地类范围","")</f>
        <v/>
      </c>
      <c r="E14" s="1696"/>
      <c r="F14" s="1787" t="s">
        <v>2984</v>
      </c>
      <c r="G14" s="1725"/>
      <c r="H14" s="1725"/>
      <c r="I14" s="1834"/>
      <c r="J14" s="1691"/>
      <c r="K14" s="1771"/>
      <c r="L14" s="1720"/>
      <c r="M14" s="1720"/>
      <c r="N14" s="1691"/>
      <c r="O14" s="1692"/>
      <c r="P14" s="1691"/>
      <c r="Q14" s="1691"/>
      <c r="R14" s="1691"/>
      <c r="S14" s="1691"/>
      <c r="T14" s="1691"/>
      <c r="U14" s="1691"/>
    </row>
    <row r="15" spans="1:21" hidden="1">
      <c r="A15" s="2667"/>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28.5">
      <c r="A16" s="1677" t="s">
        <v>1950</v>
      </c>
      <c r="B16" s="1678" t="s">
        <v>2985</v>
      </c>
      <c r="C16" s="1696" t="s">
        <v>1951</v>
      </c>
      <c r="D16" s="2668" t="s">
        <v>1952</v>
      </c>
      <c r="E16" s="1719"/>
      <c r="F16" s="1719"/>
      <c r="G16" s="1719"/>
      <c r="H16" s="1719"/>
      <c r="I16" s="1683" t="s">
        <v>1957</v>
      </c>
      <c r="J16" s="1691"/>
      <c r="K16" s="2478" t="str">
        <f>IF(D17="","",D16&amp;TEXT(D17,"yyyy年m月d日;;"))</f>
        <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工业2052年8月19日</v>
      </c>
    </row>
    <row r="17" spans="1:21">
      <c r="A17" s="1760"/>
      <c r="B17" s="1679"/>
      <c r="C17" s="1680" t="s">
        <v>1958</v>
      </c>
      <c r="D17" s="1697"/>
      <c r="E17" s="1697"/>
      <c r="F17" s="1697"/>
      <c r="G17" s="1697"/>
      <c r="H17" s="1697"/>
      <c r="I17" s="1697">
        <v>55750</v>
      </c>
      <c r="J17" s="1691"/>
      <c r="K17" s="2477" t="str">
        <f>CONCATENATE(K16,L16,M16,N16,O16,P16,Q16,R16,S16,T16,,U16)</f>
        <v>工业2052年8月19日</v>
      </c>
      <c r="L17" s="1720"/>
      <c r="M17" s="1720"/>
      <c r="N17" s="1691"/>
      <c r="O17" s="1692"/>
      <c r="P17" s="1691"/>
      <c r="Q17" s="1691"/>
      <c r="R17" s="1691"/>
      <c r="S17" s="1691"/>
      <c r="T17" s="1691"/>
      <c r="U17" s="1691"/>
    </row>
    <row r="18" spans="1:21">
      <c r="A18" s="1760"/>
      <c r="B18" s="1679"/>
      <c r="C18" s="1680" t="s">
        <v>1959</v>
      </c>
      <c r="D18" s="1681">
        <v>70</v>
      </c>
      <c r="E18" s="1681"/>
      <c r="F18" s="1681"/>
      <c r="G18" s="1681"/>
      <c r="H18" s="1681"/>
      <c r="I18" s="1681">
        <v>50</v>
      </c>
      <c r="J18" s="1691"/>
      <c r="K18" s="1771"/>
      <c r="L18" s="1720"/>
      <c r="M18" s="1720"/>
      <c r="N18" s="1691"/>
      <c r="O18" s="1692"/>
      <c r="P18" s="1691"/>
      <c r="Q18" s="1691"/>
      <c r="R18" s="1691"/>
      <c r="S18" s="1691"/>
      <c r="T18" s="1691"/>
      <c r="U18" s="1691"/>
    </row>
    <row r="19" spans="1:21">
      <c r="A19" s="1760"/>
      <c r="B19" s="1679"/>
      <c r="C19" s="1658" t="s">
        <v>1960</v>
      </c>
      <c r="D19" s="1755" t="str">
        <f>IF(B16="出让",IF(D17="","",ROUNDDOWN(MIN((D17-$D$3)/365,D18),2)),D18)</f>
        <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f>IF(B16="出让",IF(I17="","",ROUNDDOWN(MIN((I17-$D$3)/365,I18),2)),I18)</f>
        <v>34.26</v>
      </c>
      <c r="J19" s="1691"/>
      <c r="K19" s="1771"/>
      <c r="L19" s="1720"/>
      <c r="M19" s="1720"/>
      <c r="N19" s="1691"/>
      <c r="O19" s="1692"/>
      <c r="P19" s="1691"/>
      <c r="Q19" s="1691"/>
      <c r="R19" s="1691"/>
      <c r="S19" s="1691"/>
      <c r="T19" s="1691"/>
      <c r="U19" s="1691"/>
    </row>
    <row r="20" spans="1:21">
      <c r="A20" s="1783"/>
      <c r="B20" s="1784"/>
      <c r="C20" s="1785" t="s">
        <v>2061</v>
      </c>
      <c r="D20" s="3295" t="s">
        <v>3436</v>
      </c>
      <c r="E20" s="3296"/>
      <c r="F20" s="3296"/>
      <c r="G20" s="3296"/>
      <c r="H20" s="3296"/>
      <c r="I20" s="3297"/>
      <c r="J20" s="1691"/>
      <c r="K20" s="1771"/>
      <c r="L20" s="1720"/>
      <c r="M20" s="1720"/>
      <c r="N20" s="1691"/>
      <c r="O20" s="1692"/>
      <c r="P20" s="1691"/>
      <c r="Q20" s="1691"/>
      <c r="R20" s="1691"/>
      <c r="S20" s="1691"/>
      <c r="T20" s="1691"/>
      <c r="U20" s="1691"/>
    </row>
    <row r="21" spans="1:21">
      <c r="A21" s="1760" t="s">
        <v>1961</v>
      </c>
      <c r="B21" s="1761" t="s">
        <v>1962</v>
      </c>
      <c r="C21" s="1756">
        <f>'数据-汇总表'!E3</f>
        <v>140004.31000000006</v>
      </c>
      <c r="D21" s="1757" t="s">
        <v>1963</v>
      </c>
      <c r="E21" s="3285" t="s">
        <v>2988</v>
      </c>
      <c r="F21" s="3286"/>
      <c r="G21" s="3286"/>
      <c r="H21" s="3286"/>
      <c r="I21" s="3287"/>
      <c r="J21" s="1691"/>
      <c r="K21" s="1771"/>
      <c r="L21" s="1720"/>
      <c r="M21" s="1720"/>
      <c r="N21" s="1691"/>
      <c r="O21" s="1692"/>
      <c r="P21" s="1691"/>
      <c r="Q21" s="1691"/>
      <c r="R21" s="1691"/>
      <c r="S21" s="1691"/>
      <c r="T21" s="1691"/>
      <c r="U21" s="1691"/>
    </row>
    <row r="22" spans="1:21">
      <c r="A22" s="3171" t="s">
        <v>952</v>
      </c>
      <c r="B22" s="1659" t="s">
        <v>1964</v>
      </c>
      <c r="C22" s="1683">
        <f>'数据-汇总表'!D3</f>
        <v>157370.63</v>
      </c>
      <c r="D22" s="1684" t="s">
        <v>1963</v>
      </c>
      <c r="E22" s="3285" t="s">
        <v>2987</v>
      </c>
      <c r="F22" s="3286"/>
      <c r="G22" s="3286"/>
      <c r="H22" s="3286"/>
      <c r="I22" s="3287"/>
      <c r="J22" s="1691"/>
      <c r="K22" s="1771"/>
      <c r="L22" s="1720"/>
      <c r="M22" s="1720"/>
      <c r="N22" s="1691"/>
      <c r="O22" s="1692"/>
      <c r="P22" s="1691"/>
      <c r="Q22" s="1691"/>
      <c r="R22" s="1691"/>
      <c r="S22" s="1691"/>
      <c r="T22" s="1691"/>
      <c r="U22" s="1691"/>
    </row>
    <row r="23" spans="1:21" ht="43.5" thickBot="1">
      <c r="A23" s="1762" t="s">
        <v>1965</v>
      </c>
      <c r="B23" s="1698" t="s">
        <v>1966</v>
      </c>
      <c r="C23" s="1699" t="s">
        <v>2989</v>
      </c>
      <c r="D23" s="1700" t="s">
        <v>1967</v>
      </c>
      <c r="E23" s="1701" t="s">
        <v>2989</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88" t="s">
        <v>1969</v>
      </c>
      <c r="C24" s="3289"/>
      <c r="D24" s="3290" t="s">
        <v>1970</v>
      </c>
      <c r="E24" s="3291"/>
      <c r="F24" s="1705" t="s">
        <v>1971</v>
      </c>
      <c r="G24" s="1691"/>
      <c r="H24" s="1691"/>
      <c r="I24" s="1704"/>
      <c r="J24" s="1691"/>
      <c r="K24" s="3276" t="s">
        <v>1972</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1"/>
      <c r="O24" s="1692"/>
      <c r="P24" s="1691"/>
      <c r="Q24" s="1691"/>
      <c r="R24" s="1691"/>
      <c r="S24" s="1691"/>
      <c r="T24" s="1691"/>
      <c r="U24" s="1691"/>
    </row>
    <row r="25" spans="1:21">
      <c r="A25" s="1748"/>
      <c r="B25" s="1745"/>
      <c r="C25" s="1706" t="s">
        <v>952</v>
      </c>
      <c r="D25" s="1707"/>
      <c r="E25" s="1708" t="s">
        <v>952</v>
      </c>
      <c r="F25" s="1709"/>
      <c r="G25" s="1691"/>
      <c r="H25" s="1691"/>
      <c r="I25" s="1704"/>
      <c r="J25" s="1691"/>
      <c r="K25" s="3276"/>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1973</v>
      </c>
      <c r="C26" s="1706" t="s">
        <v>2326</v>
      </c>
      <c r="D26" s="1658"/>
      <c r="E26" s="1658"/>
      <c r="F26" s="1685"/>
      <c r="G26" s="1691"/>
      <c r="H26" s="1691"/>
      <c r="I26" s="1704"/>
      <c r="J26" s="1691"/>
      <c r="K26" s="3276"/>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73"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74"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74"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75"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62" t="s">
        <v>2002</v>
      </c>
      <c r="B31" s="1761" t="s">
        <v>2003</v>
      </c>
      <c r="C31" s="3301" t="s">
        <v>3151</v>
      </c>
      <c r="D31" s="3302"/>
      <c r="E31" s="1691"/>
      <c r="F31" s="1691"/>
      <c r="G31" s="1691"/>
      <c r="H31" s="1691"/>
      <c r="I31" s="1704"/>
      <c r="J31" s="1691"/>
      <c r="K31" s="2480"/>
      <c r="L31" s="1691"/>
      <c r="M31" s="1691"/>
      <c r="N31" s="1691"/>
      <c r="O31" s="1691"/>
      <c r="P31" s="1691"/>
      <c r="Q31" s="1691"/>
      <c r="R31" s="1691"/>
      <c r="S31" s="1691"/>
      <c r="T31" s="1691"/>
      <c r="U31" s="1691"/>
    </row>
    <row r="32" spans="1:21">
      <c r="A32" s="3262"/>
      <c r="B32" s="1659" t="s">
        <v>2004</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262"/>
      <c r="B33" s="1659" t="s">
        <v>2005</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263"/>
      <c r="B34" s="1659" t="s">
        <v>2006</v>
      </c>
      <c r="C34" s="3264"/>
      <c r="D34" s="3265"/>
      <c r="E34" s="1691"/>
      <c r="F34" s="1691"/>
      <c r="G34" s="1691"/>
      <c r="H34" s="1691"/>
      <c r="I34" s="1704"/>
      <c r="J34" s="1691"/>
      <c r="K34" s="2480"/>
      <c r="L34" s="1691"/>
      <c r="M34" s="1691"/>
      <c r="N34" s="1691"/>
      <c r="O34" s="1691"/>
      <c r="P34" s="1691"/>
      <c r="Q34" s="1691"/>
      <c r="R34" s="1691"/>
      <c r="S34" s="1691"/>
      <c r="T34" s="1691"/>
      <c r="U34" s="1691"/>
    </row>
    <row r="35" spans="1:21">
      <c r="A35" s="3266" t="s">
        <v>847</v>
      </c>
      <c r="B35" s="1719" t="s">
        <v>2990</v>
      </c>
      <c r="C35" s="1773" t="str">
        <f>IF(B35="场地平整","——","具体情况：")</f>
        <v>——</v>
      </c>
      <c r="D35" s="3268"/>
      <c r="E35" s="3269"/>
      <c r="F35" s="3269"/>
      <c r="G35" s="3269"/>
      <c r="H35" s="3269"/>
      <c r="I35" s="3270"/>
      <c r="J35" s="1691"/>
      <c r="K35" s="1772"/>
      <c r="L35" s="1720"/>
      <c r="M35" s="1720"/>
      <c r="N35" s="1691"/>
      <c r="O35" s="1692"/>
      <c r="P35" s="1691"/>
      <c r="Q35" s="1691"/>
      <c r="R35" s="1691"/>
      <c r="S35" s="1691"/>
      <c r="T35" s="1691"/>
      <c r="U35" s="1691"/>
    </row>
    <row r="36" spans="1:21">
      <c r="A36" s="3262"/>
      <c r="B36" s="3271" t="s">
        <v>2055</v>
      </c>
      <c r="C36" s="3272"/>
      <c r="D36" s="1789" t="s">
        <v>2991</v>
      </c>
      <c r="E36" s="3273"/>
      <c r="F36" s="3273"/>
      <c r="G36" s="1684" t="str">
        <f>IF(B35="场地未平整","估价结果处理","")</f>
        <v/>
      </c>
      <c r="H36" s="3274"/>
      <c r="I36" s="3274"/>
      <c r="J36" s="1691"/>
      <c r="K36" s="1772"/>
      <c r="L36" s="1720"/>
      <c r="M36" s="1720"/>
      <c r="N36" s="1691"/>
      <c r="O36" s="1692"/>
      <c r="P36" s="1691"/>
      <c r="Q36" s="1691"/>
      <c r="R36" s="1691"/>
      <c r="S36" s="1691"/>
      <c r="T36" s="1691"/>
      <c r="U36" s="1691"/>
    </row>
    <row r="37" spans="1:21" ht="28.5">
      <c r="A37" s="3262"/>
      <c r="B37" s="3292"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2"/>
      <c r="B38" s="3293"/>
      <c r="C38" s="1667" t="s">
        <v>850</v>
      </c>
      <c r="D38" s="1788">
        <f>ROUNDDOWN(MIN(('数据-取费表'!$B$2-D37)/365,D34),1)</f>
        <v>118.4</v>
      </c>
      <c r="E38" s="1724" t="s">
        <v>851</v>
      </c>
      <c r="F38" s="1691"/>
      <c r="G38" s="1691"/>
      <c r="H38" s="1691"/>
      <c r="I38" s="1704"/>
      <c r="J38" s="1691"/>
      <c r="K38" s="1772"/>
      <c r="L38" s="1691"/>
      <c r="M38" s="1691"/>
      <c r="N38" s="1691"/>
      <c r="O38" s="1691"/>
      <c r="P38" s="1691"/>
      <c r="Q38" s="1691"/>
      <c r="R38" s="1691"/>
      <c r="S38" s="1691"/>
      <c r="T38" s="1691"/>
      <c r="U38" s="1691"/>
    </row>
    <row r="39" spans="1:21">
      <c r="A39" s="3263"/>
      <c r="B39" s="329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2992</v>
      </c>
      <c r="C40" s="1687" t="s">
        <v>2993</v>
      </c>
      <c r="D40" s="1687" t="s">
        <v>2994</v>
      </c>
      <c r="E40" s="1687" t="s">
        <v>2995</v>
      </c>
      <c r="F40" s="1687" t="s">
        <v>2996</v>
      </c>
      <c r="G40" s="1687"/>
      <c r="H40" s="1687"/>
      <c r="I40" s="1704"/>
      <c r="J40" s="1691"/>
      <c r="K40" s="1727">
        <f>COUNTIF(B40:H40,"——")</f>
        <v>0</v>
      </c>
      <c r="L40" s="1696" t="s">
        <v>1980</v>
      </c>
      <c r="M40" s="1693" t="s">
        <v>1981</v>
      </c>
      <c r="N40" s="1693" t="s">
        <v>1982</v>
      </c>
      <c r="O40" s="1693" t="s">
        <v>1983</v>
      </c>
      <c r="P40" s="1693" t="s">
        <v>1984</v>
      </c>
      <c r="Q40" s="1693" t="s">
        <v>1985</v>
      </c>
      <c r="R40" s="1693" t="s">
        <v>1986</v>
      </c>
      <c r="S40" s="3275" t="s">
        <v>1987</v>
      </c>
      <c r="T40" s="1728" t="str">
        <f>NUMBERSTRING(7-K40,1)&amp;"通"</f>
        <v>七通</v>
      </c>
      <c r="U40" s="1691"/>
    </row>
    <row r="41" spans="1:21" ht="28.5">
      <c r="A41" s="1661"/>
      <c r="B41" s="3267" t="s">
        <v>1722</v>
      </c>
      <c r="C41" s="3267"/>
      <c r="D41" s="3267"/>
      <c r="E41" s="3267"/>
      <c r="F41" s="1729" t="str">
        <f>C10</f>
        <v>广东省珠海市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75"/>
      <c r="T41" s="1730" t="str">
        <f>IF(T40="一通",L41,IF(T40="二通",M41,IF(T40="三通",N41,IF(T40="四通",O41,IF(T40="五通",P41,IF(T40="六通",Q41,R41))))))</f>
        <v>通路、通电、通讯、通上水、通下水、、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2890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2333</v>
      </c>
      <c r="BA2" s="2359"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面积及最终结果!F23-面积及最终结果!F5</f>
        <v>157370.63000000006</v>
      </c>
      <c r="B3" s="22">
        <f>IF(C3="否",G5-AT5,G5)</f>
        <v>140004.31000000006</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140004.31000000006</v>
      </c>
      <c r="H5" s="27">
        <f t="shared" ref="H5:AT5" si="0">SUM(H13:H641)</f>
        <v>140004.31000000006</v>
      </c>
      <c r="I5" s="27">
        <f t="shared" si="0"/>
        <v>140004.31000000006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140004.31000000006</v>
      </c>
      <c r="BA5" s="29">
        <f t="shared" si="1"/>
        <v>140004.31000000006</v>
      </c>
      <c r="BB5" s="29">
        <f t="shared" si="1"/>
        <v>140004.31000000006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157370.63</v>
      </c>
      <c r="F6" s="27" t="s">
        <v>1</v>
      </c>
      <c r="G6" s="27" t="s">
        <v>2</v>
      </c>
      <c r="H6" s="33">
        <f>SUMIF(I$12:AB$12,"总值",I6:AB6)</f>
        <v>157370.63</v>
      </c>
      <c r="I6" s="27">
        <f t="shared" ref="I6:AB6" si="2">ROUND($A$3*I5/$B$3,2)</f>
        <v>157370.63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157370.63</v>
      </c>
      <c r="AZ6" s="27" t="s">
        <v>3</v>
      </c>
      <c r="BA6" s="27">
        <f>ROUND($AY$6*BA5/$AZ$5,2)</f>
        <v>157370.63</v>
      </c>
      <c r="BB6" s="27">
        <f>ROUND($AY$6*BB5/$AZ$5,2)</f>
        <v>157370.63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1" t="s">
        <v>3014</v>
      </c>
      <c r="J9" s="51"/>
      <c r="K9" s="3041"/>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1" t="s">
        <v>982</v>
      </c>
      <c r="J10" s="51"/>
      <c r="K10" s="3043"/>
      <c r="L10" s="51"/>
      <c r="M10" s="3043"/>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2331</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2" t="s">
        <v>3442</v>
      </c>
      <c r="J11" s="71"/>
      <c r="K11" s="3042"/>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51">
      <c r="A13" s="3036"/>
      <c r="B13" s="3036" t="s">
        <v>3152</v>
      </c>
      <c r="C13" s="3036" t="s">
        <v>3402</v>
      </c>
      <c r="D13" s="3037" t="s">
        <v>1679</v>
      </c>
      <c r="E13" s="27">
        <f t="shared" ref="E13:E20" si="6">IF($C$3="是",ROUND($A$3*G13/$B$3,2),ROUND($A$3*(G13-AT13)/$B$3,2))</f>
        <v>157370.63</v>
      </c>
      <c r="F13" s="81"/>
      <c r="G13" s="82">
        <f t="shared" ref="G13:G20" si="7">H13+AC13+AT13</f>
        <v>140004.31000000006</v>
      </c>
      <c r="H13" s="33">
        <f t="shared" ref="H13:H20" si="8">SUMIF(I$12:AB$12,"总值",I13:AB13)</f>
        <v>140004.31000000006</v>
      </c>
      <c r="I13" s="3040">
        <f>面积及最终结果!E23-面积及最终结果!E5</f>
        <v>140004.31000000006</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t="str">
        <f t="shared" si="10"/>
        <v>谨慎原则，按现有建筑物容积率反算</v>
      </c>
      <c r="AX13" s="17" t="str">
        <f t="shared" si="10"/>
        <v>工业及配套</v>
      </c>
      <c r="AY13" s="995">
        <f t="shared" ref="AY13:AY20" si="11">ROUND($AY$6*AZ13/$AZ$5,2)</f>
        <v>157370.63</v>
      </c>
      <c r="AZ13" s="27">
        <f t="shared" ref="AZ13:AZ20" si="12">BA13+BL13</f>
        <v>140004.31000000006</v>
      </c>
      <c r="BA13" s="27">
        <f t="shared" ref="BA13:BA20" si="13">SUM(BB13:BK13)</f>
        <v>140004.31000000006</v>
      </c>
      <c r="BB13" s="27">
        <f t="shared" ref="BB13:BB20" si="14">IF($D13="是",I13-J13,0)</f>
        <v>140004.31000000006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c r="D14" s="3037"/>
      <c r="E14" s="27">
        <f t="shared" si="6"/>
        <v>0</v>
      </c>
      <c r="F14" s="81"/>
      <c r="G14" s="82">
        <f t="shared" si="7"/>
        <v>0</v>
      </c>
      <c r="H14" s="33">
        <f t="shared" si="8"/>
        <v>0</v>
      </c>
      <c r="I14" s="3040"/>
      <c r="J14" s="3040"/>
      <c r="K14" s="3040"/>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c r="D15" s="3037"/>
      <c r="E15" s="27">
        <f t="shared" si="6"/>
        <v>0</v>
      </c>
      <c r="F15" s="81"/>
      <c r="G15" s="82">
        <f t="shared" si="7"/>
        <v>0</v>
      </c>
      <c r="H15" s="33">
        <f t="shared" si="8"/>
        <v>0</v>
      </c>
      <c r="I15" s="3040"/>
      <c r="J15" s="3040"/>
      <c r="K15" s="3040"/>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28"/>
  <sheetViews>
    <sheetView tabSelected="1" topLeftCell="H1" workbookViewId="0">
      <selection activeCell="P30" sqref="P30"/>
    </sheetView>
  </sheetViews>
  <sheetFormatPr defaultRowHeight="13.5"/>
  <cols>
    <col min="1" max="1" width="6.75" customWidth="1"/>
    <col min="2" max="2" width="23.25" customWidth="1"/>
    <col min="3" max="3" width="15.5" customWidth="1"/>
    <col min="4" max="6" width="12.625" customWidth="1"/>
    <col min="7" max="7" width="11.375" customWidth="1"/>
    <col min="8" max="8" width="5.875" customWidth="1"/>
    <col min="9" max="9" width="12.5" customWidth="1"/>
    <col min="10" max="10" width="5.875" customWidth="1"/>
    <col min="11" max="11" width="6.75" customWidth="1"/>
    <col min="17" max="17" width="17.25" bestFit="1" customWidth="1"/>
  </cols>
  <sheetData>
    <row r="2" spans="1:21">
      <c r="A2" s="3303" t="s">
        <v>3208</v>
      </c>
      <c r="B2" s="3304"/>
      <c r="C2" s="3304"/>
      <c r="D2" s="3304"/>
      <c r="E2" s="3304"/>
      <c r="F2" s="3304"/>
      <c r="G2" s="3304"/>
      <c r="H2" s="3304"/>
      <c r="I2" s="3304"/>
      <c r="J2" s="3304"/>
      <c r="K2" s="3304"/>
      <c r="M2" s="3303" t="s">
        <v>3144</v>
      </c>
      <c r="N2" s="3304"/>
      <c r="O2" s="3304"/>
      <c r="P2" s="3304"/>
      <c r="Q2" s="3304"/>
      <c r="R2" s="3304"/>
    </row>
    <row r="3" spans="1:21" ht="13.5" customHeight="1">
      <c r="A3" s="3304"/>
      <c r="B3" s="3304"/>
      <c r="C3" s="3304"/>
      <c r="D3" s="3304"/>
      <c r="E3" s="3304"/>
      <c r="F3" s="3304"/>
      <c r="G3" s="3304"/>
      <c r="H3" s="3304"/>
      <c r="I3" s="3304"/>
      <c r="J3" s="3304"/>
      <c r="K3" s="3304"/>
      <c r="M3" s="3306" t="s">
        <v>3138</v>
      </c>
      <c r="N3" s="3307" t="s">
        <v>3139</v>
      </c>
      <c r="O3" s="3306" t="s">
        <v>3140</v>
      </c>
      <c r="P3" s="3307" t="s">
        <v>3141</v>
      </c>
      <c r="Q3" s="3307" t="s">
        <v>3142</v>
      </c>
      <c r="R3" s="3306" t="s">
        <v>3143</v>
      </c>
    </row>
    <row r="4" spans="1:21">
      <c r="A4" s="3303"/>
      <c r="B4" s="3304" t="s">
        <v>2997</v>
      </c>
      <c r="C4" s="3203" t="s">
        <v>2998</v>
      </c>
      <c r="D4" s="3203" t="s">
        <v>2999</v>
      </c>
      <c r="E4" s="3203" t="s">
        <v>3000</v>
      </c>
      <c r="F4" s="3203" t="s">
        <v>3001</v>
      </c>
      <c r="G4" s="3203" t="s">
        <v>3002</v>
      </c>
      <c r="H4" s="3203" t="s">
        <v>3003</v>
      </c>
      <c r="I4" s="3304" t="s">
        <v>3004</v>
      </c>
      <c r="J4" s="3304" t="s">
        <v>3005</v>
      </c>
      <c r="K4" s="3304" t="s">
        <v>3006</v>
      </c>
      <c r="M4" s="3306"/>
      <c r="N4" s="3307"/>
      <c r="O4" s="3306"/>
      <c r="P4" s="3307"/>
      <c r="Q4" s="3307"/>
      <c r="R4" s="3306"/>
    </row>
    <row r="5" spans="1:21" ht="27">
      <c r="A5" s="3303"/>
      <c r="B5" s="3304"/>
      <c r="C5" s="3202" t="s">
        <v>3209</v>
      </c>
      <c r="D5" s="3203">
        <v>2103003</v>
      </c>
      <c r="E5" s="3203">
        <f>ROUND(F5*G25,2)</f>
        <v>11866.66</v>
      </c>
      <c r="F5" s="3213">
        <v>13333.33</v>
      </c>
      <c r="G5" s="3202" t="s">
        <v>3211</v>
      </c>
      <c r="H5" s="3208" t="s">
        <v>3212</v>
      </c>
      <c r="I5" s="3304"/>
      <c r="J5" s="3304"/>
      <c r="K5" s="3304"/>
      <c r="L5" s="3179" t="s">
        <v>3439</v>
      </c>
      <c r="M5" s="3226">
        <f ca="1">结果表!G20</f>
        <v>327</v>
      </c>
      <c r="N5" s="3203">
        <f ca="1">ROUND(M5*E5/10000,0)</f>
        <v>388</v>
      </c>
      <c r="O5" s="3226">
        <v>0</v>
      </c>
      <c r="P5" s="3226">
        <v>0</v>
      </c>
      <c r="Q5" s="3203">
        <f ca="1">N5+P5</f>
        <v>388</v>
      </c>
      <c r="R5" s="3226">
        <f ca="1">M5</f>
        <v>327</v>
      </c>
    </row>
    <row r="6" spans="1:21" ht="15" customHeight="1">
      <c r="A6" s="3304"/>
      <c r="B6" s="3304"/>
      <c r="C6" s="3202" t="s">
        <v>3210</v>
      </c>
      <c r="D6" s="3203">
        <v>2103039</v>
      </c>
      <c r="E6" s="3204">
        <f>ROUND(F6*G25,2)</f>
        <v>110156.78</v>
      </c>
      <c r="F6" s="3204">
        <f>157370.63-33598.97</f>
        <v>123771.66</v>
      </c>
      <c r="G6" s="3203" t="s">
        <v>3153</v>
      </c>
      <c r="H6" s="3308" t="s">
        <v>3007</v>
      </c>
      <c r="I6" s="3304"/>
      <c r="J6" s="3304"/>
      <c r="K6" s="3304"/>
      <c r="L6" s="3179" t="s">
        <v>3440</v>
      </c>
      <c r="M6" s="3175">
        <f ca="1">结果表!G20</f>
        <v>327</v>
      </c>
      <c r="N6" s="3175">
        <f ca="1">ROUND(M6*E6/10000,0)</f>
        <v>3602</v>
      </c>
      <c r="O6" s="3175">
        <v>0</v>
      </c>
      <c r="P6" s="3175">
        <f>ROUND(O6*E6/10000,0)</f>
        <v>0</v>
      </c>
      <c r="Q6" s="3175">
        <f ca="1">N6+P6</f>
        <v>3602</v>
      </c>
      <c r="R6" s="3175">
        <f ca="1">ROUND(Q6/E6*10000,0)</f>
        <v>327</v>
      </c>
      <c r="U6" s="3179" t="s">
        <v>3147</v>
      </c>
    </row>
    <row r="7" spans="1:21">
      <c r="A7" s="3175"/>
      <c r="B7" s="3205" t="s">
        <v>3154</v>
      </c>
      <c r="C7" s="3205" t="s">
        <v>3155</v>
      </c>
      <c r="D7" s="3205" t="s">
        <v>3156</v>
      </c>
      <c r="E7" s="3206">
        <v>9446.7000000000007</v>
      </c>
      <c r="F7" s="3206">
        <v>8250.11</v>
      </c>
      <c r="G7" s="3205" t="s">
        <v>3157</v>
      </c>
      <c r="H7" s="3309"/>
      <c r="I7" s="3310">
        <v>55750</v>
      </c>
      <c r="J7" s="3205">
        <v>5</v>
      </c>
      <c r="K7" s="3205" t="s">
        <v>3213</v>
      </c>
      <c r="L7" s="3179" t="s">
        <v>3441</v>
      </c>
      <c r="M7" s="3175">
        <f t="shared" ref="M7:M22" ca="1" si="0">$M$6</f>
        <v>327</v>
      </c>
      <c r="N7" s="3175">
        <f t="shared" ref="N7:N22" ca="1" si="1">ROUND(M7*E7/10000,0)</f>
        <v>309</v>
      </c>
      <c r="O7" s="3176">
        <f t="shared" ref="O7:O22" ca="1" si="2">IF(K7="混合",$U$7,$U$8)</f>
        <v>574</v>
      </c>
      <c r="P7" s="3175">
        <f ca="1">ROUND(O7*E7/10000,0)</f>
        <v>542</v>
      </c>
      <c r="Q7" s="3175">
        <f ca="1">N7+P7</f>
        <v>851</v>
      </c>
      <c r="R7" s="3175">
        <f t="shared" ref="R7:R22" ca="1" si="3">ROUND(Q7/E7*10000,0)</f>
        <v>901</v>
      </c>
      <c r="T7" s="3179" t="s">
        <v>3145</v>
      </c>
      <c r="U7">
        <f ca="1">[1]成本法!$B$3</f>
        <v>468</v>
      </c>
    </row>
    <row r="8" spans="1:21">
      <c r="A8" s="3175"/>
      <c r="B8" s="3205" t="s">
        <v>3158</v>
      </c>
      <c r="C8" s="3205" t="s">
        <v>3159</v>
      </c>
      <c r="D8" s="3205" t="s">
        <v>3160</v>
      </c>
      <c r="E8" s="3206">
        <v>705.85</v>
      </c>
      <c r="F8" s="3206">
        <v>487.48</v>
      </c>
      <c r="G8" s="3205" t="s">
        <v>3161</v>
      </c>
      <c r="H8" s="3309"/>
      <c r="I8" s="3311"/>
      <c r="J8" s="3205">
        <v>3</v>
      </c>
      <c r="K8" s="3205" t="s">
        <v>3213</v>
      </c>
      <c r="M8" s="3175">
        <f t="shared" ca="1" si="0"/>
        <v>327</v>
      </c>
      <c r="N8" s="3175">
        <f t="shared" ca="1" si="1"/>
        <v>23</v>
      </c>
      <c r="O8" s="3176">
        <f t="shared" ca="1" si="2"/>
        <v>574</v>
      </c>
      <c r="P8" s="3175">
        <f t="shared" ref="P8:P22" ca="1" si="4">ROUND(O8*E8/10000,0)</f>
        <v>41</v>
      </c>
      <c r="Q8" s="3175">
        <f ca="1">N8+P8</f>
        <v>64</v>
      </c>
      <c r="R8" s="3175">
        <f t="shared" ca="1" si="3"/>
        <v>907</v>
      </c>
      <c r="T8" s="3179" t="s">
        <v>3146</v>
      </c>
      <c r="U8">
        <f ca="1">'[1]成本法 (2)'!$B$3</f>
        <v>574</v>
      </c>
    </row>
    <row r="9" spans="1:21">
      <c r="A9" s="3175"/>
      <c r="B9" s="3205" t="s">
        <v>3162</v>
      </c>
      <c r="C9" s="3205" t="s">
        <v>3163</v>
      </c>
      <c r="D9" s="3205" t="s">
        <v>3164</v>
      </c>
      <c r="E9" s="3206">
        <v>2188.6</v>
      </c>
      <c r="F9" s="3206">
        <v>5595.32</v>
      </c>
      <c r="G9" s="3205" t="s">
        <v>3165</v>
      </c>
      <c r="H9" s="3309"/>
      <c r="I9" s="3311"/>
      <c r="J9" s="3205">
        <v>2</v>
      </c>
      <c r="K9" s="3205" t="s">
        <v>3008</v>
      </c>
      <c r="M9" s="3175">
        <f t="shared" ca="1" si="0"/>
        <v>327</v>
      </c>
      <c r="N9" s="3175">
        <f t="shared" ca="1" si="1"/>
        <v>72</v>
      </c>
      <c r="O9" s="3176">
        <f t="shared" ca="1" si="2"/>
        <v>468</v>
      </c>
      <c r="P9" s="3175">
        <f t="shared" ca="1" si="4"/>
        <v>102</v>
      </c>
      <c r="Q9" s="3175">
        <f t="shared" ref="Q9:Q22" ca="1" si="5">N9+P9</f>
        <v>174</v>
      </c>
      <c r="R9" s="3175">
        <f t="shared" ca="1" si="3"/>
        <v>795</v>
      </c>
    </row>
    <row r="10" spans="1:21">
      <c r="A10" s="3175"/>
      <c r="B10" s="3205" t="s">
        <v>3166</v>
      </c>
      <c r="C10" s="3205" t="s">
        <v>3167</v>
      </c>
      <c r="D10" s="3205" t="s">
        <v>3168</v>
      </c>
      <c r="E10" s="3206">
        <v>2216.25</v>
      </c>
      <c r="F10" s="3206">
        <v>3280.57</v>
      </c>
      <c r="G10" s="3205" t="s">
        <v>3169</v>
      </c>
      <c r="H10" s="3309"/>
      <c r="I10" s="3311"/>
      <c r="J10" s="3205">
        <v>5</v>
      </c>
      <c r="K10" s="3205" t="s">
        <v>3213</v>
      </c>
      <c r="M10" s="3175">
        <f t="shared" ca="1" si="0"/>
        <v>327</v>
      </c>
      <c r="N10" s="3175">
        <f t="shared" ca="1" si="1"/>
        <v>72</v>
      </c>
      <c r="O10" s="3176">
        <f t="shared" ca="1" si="2"/>
        <v>574</v>
      </c>
      <c r="P10" s="3175">
        <f t="shared" ca="1" si="4"/>
        <v>127</v>
      </c>
      <c r="Q10" s="3175">
        <f t="shared" ca="1" si="5"/>
        <v>199</v>
      </c>
      <c r="R10" s="3175">
        <f t="shared" ca="1" si="3"/>
        <v>898</v>
      </c>
    </row>
    <row r="11" spans="1:21">
      <c r="A11" s="3175"/>
      <c r="B11" s="3205" t="s">
        <v>3170</v>
      </c>
      <c r="C11" s="3205" t="s">
        <v>3171</v>
      </c>
      <c r="D11" s="3205" t="s">
        <v>3172</v>
      </c>
      <c r="E11" s="3206">
        <v>461.3</v>
      </c>
      <c r="F11" s="3206">
        <v>764.62</v>
      </c>
      <c r="G11" s="3205" t="s">
        <v>3161</v>
      </c>
      <c r="H11" s="3309"/>
      <c r="I11" s="3311"/>
      <c r="J11" s="3205">
        <v>2</v>
      </c>
      <c r="K11" s="3205" t="s">
        <v>3008</v>
      </c>
      <c r="M11" s="3175">
        <f t="shared" ca="1" si="0"/>
        <v>327</v>
      </c>
      <c r="N11" s="3175">
        <f ca="1">ROUND(M11*E11/10000,0)</f>
        <v>15</v>
      </c>
      <c r="O11" s="3176">
        <f t="shared" ca="1" si="2"/>
        <v>468</v>
      </c>
      <c r="P11" s="3175">
        <f t="shared" ca="1" si="4"/>
        <v>22</v>
      </c>
      <c r="Q11" s="3175">
        <f t="shared" ca="1" si="5"/>
        <v>37</v>
      </c>
      <c r="R11" s="3175">
        <f t="shared" ca="1" si="3"/>
        <v>802</v>
      </c>
    </row>
    <row r="12" spans="1:21">
      <c r="A12" s="3175"/>
      <c r="B12" s="3205" t="s">
        <v>3173</v>
      </c>
      <c r="C12" s="3205" t="s">
        <v>3174</v>
      </c>
      <c r="D12" s="3205" t="s">
        <v>3175</v>
      </c>
      <c r="E12" s="3206">
        <v>462</v>
      </c>
      <c r="F12" s="3206">
        <v>462</v>
      </c>
      <c r="G12" s="3205" t="s">
        <v>3169</v>
      </c>
      <c r="H12" s="3309"/>
      <c r="I12" s="3311"/>
      <c r="J12" s="3205">
        <v>1</v>
      </c>
      <c r="K12" s="3205" t="s">
        <v>3213</v>
      </c>
      <c r="M12" s="3175">
        <f t="shared" ca="1" si="0"/>
        <v>327</v>
      </c>
      <c r="N12" s="3175">
        <f t="shared" ca="1" si="1"/>
        <v>15</v>
      </c>
      <c r="O12" s="3176">
        <f t="shared" ca="1" si="2"/>
        <v>574</v>
      </c>
      <c r="P12" s="3175">
        <f t="shared" ca="1" si="4"/>
        <v>27</v>
      </c>
      <c r="Q12" s="3175">
        <f t="shared" ca="1" si="5"/>
        <v>42</v>
      </c>
      <c r="R12" s="3175">
        <f t="shared" ca="1" si="3"/>
        <v>909</v>
      </c>
    </row>
    <row r="13" spans="1:21">
      <c r="A13" s="3175"/>
      <c r="B13" s="3205" t="s">
        <v>3176</v>
      </c>
      <c r="C13" s="3205" t="s">
        <v>3177</v>
      </c>
      <c r="D13" s="3205" t="s">
        <v>3178</v>
      </c>
      <c r="E13" s="3206">
        <v>471.04</v>
      </c>
      <c r="F13" s="3206">
        <v>1483.54</v>
      </c>
      <c r="G13" s="3205" t="s">
        <v>3010</v>
      </c>
      <c r="H13" s="3309"/>
      <c r="I13" s="3311"/>
      <c r="J13" s="3205">
        <v>1</v>
      </c>
      <c r="K13" s="3205" t="s">
        <v>3213</v>
      </c>
      <c r="M13" s="3175">
        <f t="shared" ca="1" si="0"/>
        <v>327</v>
      </c>
      <c r="N13" s="3175">
        <f t="shared" ca="1" si="1"/>
        <v>15</v>
      </c>
      <c r="O13" s="3176">
        <f t="shared" ca="1" si="2"/>
        <v>574</v>
      </c>
      <c r="P13" s="3175">
        <f t="shared" ca="1" si="4"/>
        <v>27</v>
      </c>
      <c r="Q13" s="3175">
        <f t="shared" ca="1" si="5"/>
        <v>42</v>
      </c>
      <c r="R13" s="3175">
        <f t="shared" ca="1" si="3"/>
        <v>892</v>
      </c>
    </row>
    <row r="14" spans="1:21">
      <c r="A14" s="3175"/>
      <c r="B14" s="3205" t="s">
        <v>3179</v>
      </c>
      <c r="C14" s="3205" t="s">
        <v>3180</v>
      </c>
      <c r="D14" s="3205" t="s">
        <v>3181</v>
      </c>
      <c r="E14" s="3206">
        <v>680</v>
      </c>
      <c r="F14" s="3206">
        <v>453.6</v>
      </c>
      <c r="G14" s="3205" t="s">
        <v>3182</v>
      </c>
      <c r="H14" s="3309"/>
      <c r="I14" s="3311"/>
      <c r="J14" s="3205">
        <v>2.5</v>
      </c>
      <c r="K14" s="3205" t="s">
        <v>3213</v>
      </c>
      <c r="M14" s="3175">
        <f t="shared" ca="1" si="0"/>
        <v>327</v>
      </c>
      <c r="N14" s="3175">
        <f t="shared" ca="1" si="1"/>
        <v>22</v>
      </c>
      <c r="O14" s="3176">
        <f t="shared" ca="1" si="2"/>
        <v>574</v>
      </c>
      <c r="P14" s="3175">
        <f t="shared" ca="1" si="4"/>
        <v>39</v>
      </c>
      <c r="Q14" s="3175">
        <f t="shared" ca="1" si="5"/>
        <v>61</v>
      </c>
      <c r="R14" s="3175">
        <f t="shared" ca="1" si="3"/>
        <v>897</v>
      </c>
    </row>
    <row r="15" spans="1:21">
      <c r="A15" s="3175"/>
      <c r="B15" s="3205" t="s">
        <v>3183</v>
      </c>
      <c r="C15" s="3205" t="s">
        <v>3184</v>
      </c>
      <c r="D15" s="3205" t="s">
        <v>3185</v>
      </c>
      <c r="E15" s="3206">
        <v>268.69</v>
      </c>
      <c r="F15" s="3206">
        <v>385.25</v>
      </c>
      <c r="G15" s="3205" t="s">
        <v>3182</v>
      </c>
      <c r="H15" s="3309"/>
      <c r="I15" s="3311"/>
      <c r="J15" s="3205">
        <v>1</v>
      </c>
      <c r="K15" s="3205" t="s">
        <v>3213</v>
      </c>
      <c r="M15" s="3175">
        <f t="shared" ca="1" si="0"/>
        <v>327</v>
      </c>
      <c r="N15" s="3175">
        <f t="shared" ca="1" si="1"/>
        <v>9</v>
      </c>
      <c r="O15" s="3176">
        <f t="shared" ca="1" si="2"/>
        <v>574</v>
      </c>
      <c r="P15" s="3175">
        <f t="shared" ca="1" si="4"/>
        <v>15</v>
      </c>
      <c r="Q15" s="3175">
        <f t="shared" ca="1" si="5"/>
        <v>24</v>
      </c>
      <c r="R15" s="3175">
        <f t="shared" ca="1" si="3"/>
        <v>893</v>
      </c>
    </row>
    <row r="16" spans="1:21">
      <c r="A16" s="3175"/>
      <c r="B16" s="3205" t="s">
        <v>3186</v>
      </c>
      <c r="C16" s="3205" t="s">
        <v>3187</v>
      </c>
      <c r="D16" s="3205" t="s">
        <v>3188</v>
      </c>
      <c r="E16" s="3206">
        <v>8602</v>
      </c>
      <c r="F16" s="3206">
        <v>7452.42</v>
      </c>
      <c r="G16" s="3205" t="s">
        <v>3182</v>
      </c>
      <c r="H16" s="3309"/>
      <c r="I16" s="3311"/>
      <c r="J16" s="3205">
        <v>5</v>
      </c>
      <c r="K16" s="3205" t="s">
        <v>3008</v>
      </c>
      <c r="M16" s="3175">
        <f t="shared" ca="1" si="0"/>
        <v>327</v>
      </c>
      <c r="N16" s="3175">
        <f t="shared" ca="1" si="1"/>
        <v>281</v>
      </c>
      <c r="O16" s="3176">
        <f t="shared" ca="1" si="2"/>
        <v>468</v>
      </c>
      <c r="P16" s="3175">
        <f t="shared" ca="1" si="4"/>
        <v>403</v>
      </c>
      <c r="Q16" s="3175">
        <f t="shared" ca="1" si="5"/>
        <v>684</v>
      </c>
      <c r="R16" s="3175">
        <f t="shared" ca="1" si="3"/>
        <v>795</v>
      </c>
    </row>
    <row r="17" spans="1:18">
      <c r="A17" s="3175"/>
      <c r="B17" s="3205" t="s">
        <v>3189</v>
      </c>
      <c r="C17" s="3205" t="s">
        <v>3190</v>
      </c>
      <c r="D17" s="3205" t="s">
        <v>3191</v>
      </c>
      <c r="E17" s="3206">
        <v>1259.01</v>
      </c>
      <c r="F17" s="3206">
        <v>1625</v>
      </c>
      <c r="G17" s="3205" t="s">
        <v>3010</v>
      </c>
      <c r="H17" s="3309"/>
      <c r="I17" s="3311"/>
      <c r="J17" s="3205">
        <v>1</v>
      </c>
      <c r="K17" s="3205" t="s">
        <v>3214</v>
      </c>
      <c r="M17" s="3175">
        <f t="shared" ca="1" si="0"/>
        <v>327</v>
      </c>
      <c r="N17" s="3175">
        <f t="shared" ca="1" si="1"/>
        <v>41</v>
      </c>
      <c r="O17" s="3176">
        <f t="shared" ca="1" si="2"/>
        <v>468</v>
      </c>
      <c r="P17" s="3175">
        <f t="shared" ca="1" si="4"/>
        <v>59</v>
      </c>
      <c r="Q17" s="3175">
        <f t="shared" ca="1" si="5"/>
        <v>100</v>
      </c>
      <c r="R17" s="3175">
        <f t="shared" ca="1" si="3"/>
        <v>794</v>
      </c>
    </row>
    <row r="18" spans="1:18">
      <c r="A18" s="3175"/>
      <c r="B18" s="3205" t="s">
        <v>3192</v>
      </c>
      <c r="C18" s="3205" t="s">
        <v>3193</v>
      </c>
      <c r="D18" s="3205" t="s">
        <v>3194</v>
      </c>
      <c r="E18" s="3206">
        <v>1929.6</v>
      </c>
      <c r="F18" s="3206">
        <v>2185.92</v>
      </c>
      <c r="G18" s="3205" t="s">
        <v>3010</v>
      </c>
      <c r="H18" s="3309"/>
      <c r="I18" s="3311"/>
      <c r="J18" s="3205">
        <v>1</v>
      </c>
      <c r="K18" s="3205" t="s">
        <v>3213</v>
      </c>
      <c r="M18" s="3175">
        <f t="shared" ca="1" si="0"/>
        <v>327</v>
      </c>
      <c r="N18" s="3175">
        <f t="shared" ca="1" si="1"/>
        <v>63</v>
      </c>
      <c r="O18" s="3176">
        <f t="shared" ca="1" si="2"/>
        <v>574</v>
      </c>
      <c r="P18" s="3175">
        <f t="shared" ca="1" si="4"/>
        <v>111</v>
      </c>
      <c r="Q18" s="3175">
        <f t="shared" ca="1" si="5"/>
        <v>174</v>
      </c>
      <c r="R18" s="3175">
        <f t="shared" ca="1" si="3"/>
        <v>902</v>
      </c>
    </row>
    <row r="19" spans="1:18">
      <c r="A19" s="3175"/>
      <c r="B19" s="3205" t="s">
        <v>3195</v>
      </c>
      <c r="C19" s="3205" t="s">
        <v>3196</v>
      </c>
      <c r="D19" s="3205" t="s">
        <v>3197</v>
      </c>
      <c r="E19" s="3206">
        <v>468.2</v>
      </c>
      <c r="F19" s="3206">
        <v>484.85</v>
      </c>
      <c r="G19" s="3205" t="s">
        <v>3182</v>
      </c>
      <c r="H19" s="3309"/>
      <c r="I19" s="3311"/>
      <c r="J19" s="3205">
        <v>2</v>
      </c>
      <c r="K19" s="3205" t="s">
        <v>3009</v>
      </c>
      <c r="M19" s="3175">
        <f t="shared" ca="1" si="0"/>
        <v>327</v>
      </c>
      <c r="N19" s="3175">
        <f t="shared" ca="1" si="1"/>
        <v>15</v>
      </c>
      <c r="O19" s="3176">
        <f t="shared" ca="1" si="2"/>
        <v>574</v>
      </c>
      <c r="P19" s="3175">
        <f t="shared" ca="1" si="4"/>
        <v>27</v>
      </c>
      <c r="Q19" s="3175">
        <f t="shared" ca="1" si="5"/>
        <v>42</v>
      </c>
      <c r="R19" s="3175">
        <f t="shared" ca="1" si="3"/>
        <v>897</v>
      </c>
    </row>
    <row r="20" spans="1:18">
      <c r="A20" s="3175"/>
      <c r="B20" s="3205" t="s">
        <v>3198</v>
      </c>
      <c r="C20" s="3205" t="s">
        <v>3199</v>
      </c>
      <c r="D20" s="3205" t="s">
        <v>3200</v>
      </c>
      <c r="E20" s="3206">
        <v>135</v>
      </c>
      <c r="F20" s="3206">
        <v>135</v>
      </c>
      <c r="G20" s="3205" t="s">
        <v>3182</v>
      </c>
      <c r="H20" s="3309"/>
      <c r="I20" s="3311"/>
      <c r="J20" s="3205">
        <v>1</v>
      </c>
      <c r="K20" s="3205" t="s">
        <v>3213</v>
      </c>
      <c r="M20" s="3175">
        <f t="shared" ca="1" si="0"/>
        <v>327</v>
      </c>
      <c r="N20" s="3175">
        <f t="shared" ca="1" si="1"/>
        <v>4</v>
      </c>
      <c r="O20" s="3176">
        <f t="shared" ca="1" si="2"/>
        <v>574</v>
      </c>
      <c r="P20" s="3175">
        <f t="shared" ca="1" si="4"/>
        <v>8</v>
      </c>
      <c r="Q20" s="3175">
        <f t="shared" ca="1" si="5"/>
        <v>12</v>
      </c>
      <c r="R20" s="3175">
        <f t="shared" ca="1" si="3"/>
        <v>889</v>
      </c>
    </row>
    <row r="21" spans="1:18">
      <c r="A21" s="3175"/>
      <c r="B21" s="3205" t="s">
        <v>3201</v>
      </c>
      <c r="C21" s="3205" t="s">
        <v>3202</v>
      </c>
      <c r="D21" s="3205" t="s">
        <v>3203</v>
      </c>
      <c r="E21" s="3206">
        <v>265.2</v>
      </c>
      <c r="F21" s="3206">
        <v>265.2</v>
      </c>
      <c r="G21" s="3205" t="s">
        <v>3182</v>
      </c>
      <c r="H21" s="3309"/>
      <c r="I21" s="3311"/>
      <c r="J21" s="3205">
        <v>1</v>
      </c>
      <c r="K21" s="3205" t="s">
        <v>3213</v>
      </c>
      <c r="M21" s="3175">
        <f t="shared" ca="1" si="0"/>
        <v>327</v>
      </c>
      <c r="N21" s="3175">
        <f t="shared" ca="1" si="1"/>
        <v>9</v>
      </c>
      <c r="O21" s="3176">
        <f t="shared" ca="1" si="2"/>
        <v>574</v>
      </c>
      <c r="P21" s="3175">
        <f t="shared" ca="1" si="4"/>
        <v>15</v>
      </c>
      <c r="Q21" s="3175">
        <f t="shared" ca="1" si="5"/>
        <v>24</v>
      </c>
      <c r="R21" s="3175">
        <f t="shared" ca="1" si="3"/>
        <v>905</v>
      </c>
    </row>
    <row r="22" spans="1:18">
      <c r="A22" s="3175"/>
      <c r="B22" s="3205" t="s">
        <v>3204</v>
      </c>
      <c r="C22" s="3205" t="s">
        <v>3205</v>
      </c>
      <c r="D22" s="3205" t="s">
        <v>3206</v>
      </c>
      <c r="E22" s="3206">
        <v>288.08999999999997</v>
      </c>
      <c r="F22" s="3206">
        <v>288.08999999999997</v>
      </c>
      <c r="G22" s="3205" t="s">
        <v>3182</v>
      </c>
      <c r="H22" s="3309"/>
      <c r="I22" s="3312"/>
      <c r="J22" s="3205">
        <v>1</v>
      </c>
      <c r="K22" s="3205" t="s">
        <v>3213</v>
      </c>
      <c r="M22" s="3175">
        <f t="shared" ca="1" si="0"/>
        <v>327</v>
      </c>
      <c r="N22" s="3175">
        <f t="shared" ca="1" si="1"/>
        <v>9</v>
      </c>
      <c r="O22" s="3176">
        <f t="shared" ca="1" si="2"/>
        <v>574</v>
      </c>
      <c r="P22" s="3175">
        <f t="shared" ca="1" si="4"/>
        <v>17</v>
      </c>
      <c r="Q22" s="3175">
        <f t="shared" ca="1" si="5"/>
        <v>26</v>
      </c>
      <c r="R22" s="3175">
        <f t="shared" ca="1" si="3"/>
        <v>902</v>
      </c>
    </row>
    <row r="23" spans="1:18">
      <c r="A23" s="3305"/>
      <c r="B23" s="3305"/>
      <c r="C23" s="3305"/>
      <c r="D23" s="3305"/>
      <c r="E23" s="3177">
        <f>SUM(E5:E22)</f>
        <v>151870.97000000006</v>
      </c>
      <c r="F23" s="3177">
        <f>SUM(F5:F22)</f>
        <v>170703.96000000005</v>
      </c>
      <c r="G23" s="3178"/>
      <c r="H23" s="3207"/>
      <c r="I23" s="3178"/>
      <c r="J23" s="3178"/>
      <c r="K23" s="3178"/>
      <c r="M23" s="3176" t="s">
        <v>3148</v>
      </c>
      <c r="N23" s="3175">
        <f ca="1">SUM(N5:N22)</f>
        <v>4964</v>
      </c>
      <c r="O23" s="3176" t="s">
        <v>3149</v>
      </c>
      <c r="P23" s="3175">
        <f ca="1">SUM(P5:P22)</f>
        <v>1582</v>
      </c>
      <c r="Q23" s="3175">
        <f ca="1">SUM(Q5:Q22)</f>
        <v>6546</v>
      </c>
      <c r="R23" s="3176" t="s">
        <v>3148</v>
      </c>
    </row>
    <row r="25" spans="1:18">
      <c r="B25" s="3182" t="s">
        <v>3207</v>
      </c>
      <c r="D25" s="3180"/>
      <c r="E25" s="3181">
        <f>SUM(E7:E22)</f>
        <v>29847.53</v>
      </c>
      <c r="F25" s="3181">
        <f>SUM(F7:F22)</f>
        <v>33598.969999999987</v>
      </c>
      <c r="G25">
        <f>ROUND(E25/F25,2)</f>
        <v>0.89</v>
      </c>
      <c r="Q25">
        <f ca="1">Q23-Q6-Q5</f>
        <v>2556</v>
      </c>
      <c r="R25">
        <f ca="1">Q25/E25*10000</f>
        <v>856.35226767508061</v>
      </c>
    </row>
    <row r="26" spans="1:18">
      <c r="B26" s="3182" t="s">
        <v>3013</v>
      </c>
      <c r="C26" s="3179" t="s">
        <v>3011</v>
      </c>
      <c r="D26" s="3181">
        <f>E9+E11+E16+E17</f>
        <v>12510.91</v>
      </c>
    </row>
    <row r="27" spans="1:18">
      <c r="C27" s="3179" t="s">
        <v>3012</v>
      </c>
      <c r="D27" s="3181">
        <f>E25-D26</f>
        <v>17336.62</v>
      </c>
      <c r="E27" s="3181">
        <f>E7+E8+E10+E12+E13+E14+E15+E18+E19+E20+E21+E22</f>
        <v>17336.620000000003</v>
      </c>
    </row>
    <row r="28" spans="1:18">
      <c r="Q28" s="3233">
        <f ca="1">Q23*10000</f>
        <v>65460000</v>
      </c>
    </row>
  </sheetData>
  <mergeCells count="16">
    <mergeCell ref="O3:O4"/>
    <mergeCell ref="P3:P4"/>
    <mergeCell ref="Q3:Q4"/>
    <mergeCell ref="R3:R4"/>
    <mergeCell ref="M2:R2"/>
    <mergeCell ref="A4:A6"/>
    <mergeCell ref="A23:D23"/>
    <mergeCell ref="A2:K3"/>
    <mergeCell ref="M3:M4"/>
    <mergeCell ref="N3:N4"/>
    <mergeCell ref="B4:B6"/>
    <mergeCell ref="I4:I6"/>
    <mergeCell ref="J4:J6"/>
    <mergeCell ref="K4:K6"/>
    <mergeCell ref="H6:H22"/>
    <mergeCell ref="I7:I22"/>
  </mergeCells>
  <phoneticPr fontId="233"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F24" sqref="F2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24" t="s">
        <v>203</v>
      </c>
      <c r="B2" s="3324"/>
      <c r="C2" s="3324"/>
      <c r="D2" s="1973" t="s">
        <v>204</v>
      </c>
      <c r="E2" s="106" t="s">
        <v>205</v>
      </c>
      <c r="F2" s="1982"/>
      <c r="G2" s="1197"/>
      <c r="H2" s="1198"/>
      <c r="I2" s="1199" t="s">
        <v>857</v>
      </c>
      <c r="J2" s="1982"/>
      <c r="K2" s="1982"/>
      <c r="L2" s="1982"/>
    </row>
    <row r="3" spans="1:16" ht="15.75" thickBot="1">
      <c r="A3" s="3325" t="s">
        <v>206</v>
      </c>
      <c r="B3" s="3325"/>
      <c r="C3" s="3325"/>
      <c r="D3" s="107">
        <f>'数据-基础表'!AY6</f>
        <v>157370.63</v>
      </c>
      <c r="E3" s="107">
        <f>'数据-基础表'!AZ5</f>
        <v>140004.31000000006</v>
      </c>
      <c r="F3" s="1982"/>
      <c r="G3" s="279" t="s">
        <v>858</v>
      </c>
      <c r="H3" s="274" t="s">
        <v>859</v>
      </c>
      <c r="I3" s="1974">
        <f>ROUND('数据-基础表'!B3/'数据-基础表'!A3,2)</f>
        <v>0.89</v>
      </c>
      <c r="J3" s="1982"/>
      <c r="K3" s="1982"/>
      <c r="L3" s="1982"/>
    </row>
    <row r="4" spans="1:16" ht="15">
      <c r="A4" s="3326"/>
      <c r="B4" s="3327"/>
      <c r="C4" s="3328"/>
      <c r="D4" s="108" t="s">
        <v>204</v>
      </c>
      <c r="E4" s="109" t="s">
        <v>205</v>
      </c>
      <c r="F4" s="1982"/>
      <c r="G4" s="1200"/>
      <c r="H4" s="274" t="s">
        <v>860</v>
      </c>
      <c r="I4" s="1974">
        <f>ROUND(SUMIF('数据-基础表'!I9:AS9,"地上",'数据-基础表'!I5:AS5)/'数据-基础表'!A3,2)</f>
        <v>0.89</v>
      </c>
      <c r="J4" s="1982"/>
      <c r="K4" s="1982"/>
      <c r="L4" s="1982"/>
    </row>
    <row r="5" spans="1:16">
      <c r="A5" s="110" t="s">
        <v>207</v>
      </c>
      <c r="B5" s="3329" t="s">
        <v>230</v>
      </c>
      <c r="C5" s="3329"/>
      <c r="D5" s="111">
        <f>ROUND($D$3*E5/$E$3,2)</f>
        <v>0</v>
      </c>
      <c r="E5" s="112">
        <f>SUMIF('数据-基础表'!$11:$11,"住宅",'数据-基础表'!$5:$5)</f>
        <v>0</v>
      </c>
      <c r="F5" s="1982"/>
      <c r="G5" s="279" t="s">
        <v>861</v>
      </c>
      <c r="H5" s="274" t="s">
        <v>859</v>
      </c>
      <c r="I5" s="1974">
        <f>ROUND(E31/D31,2)</f>
        <v>0.89</v>
      </c>
      <c r="J5" s="1982"/>
      <c r="K5" s="1982"/>
      <c r="L5" s="1982"/>
    </row>
    <row r="6" spans="1:16" ht="15" thickBot="1">
      <c r="A6" s="113"/>
      <c r="B6" s="3329" t="s">
        <v>208</v>
      </c>
      <c r="C6" s="3329"/>
      <c r="D6" s="111">
        <f>ROUND($D$3*E6/$E$3,2)</f>
        <v>157370.63</v>
      </c>
      <c r="E6" s="112">
        <f>E3-E5</f>
        <v>140004.31000000006</v>
      </c>
      <c r="F6" s="1982"/>
      <c r="G6" s="1200"/>
      <c r="H6" s="274" t="s">
        <v>860</v>
      </c>
      <c r="I6" s="1974">
        <f>ROUND(F31/D31,2)</f>
        <v>0.89</v>
      </c>
      <c r="J6" s="1982"/>
      <c r="K6" s="1982"/>
      <c r="L6" s="1982"/>
    </row>
    <row r="7" spans="1:16" ht="15">
      <c r="A7" s="3321"/>
      <c r="B7" s="3322"/>
      <c r="C7" s="3323"/>
      <c r="D7" s="108" t="s">
        <v>204</v>
      </c>
      <c r="E7" s="114" t="s">
        <v>231</v>
      </c>
      <c r="F7" s="1982"/>
      <c r="G7" s="1155" t="s">
        <v>1646</v>
      </c>
      <c r="H7" s="1156"/>
      <c r="I7" s="1844"/>
      <c r="J7" s="1982"/>
      <c r="K7" s="1982"/>
      <c r="L7" s="1982"/>
    </row>
    <row r="8" spans="1:16">
      <c r="A8" s="110" t="s">
        <v>209</v>
      </c>
      <c r="B8" s="115" t="s">
        <v>210</v>
      </c>
      <c r="C8" s="111" t="s">
        <v>211</v>
      </c>
      <c r="D8" s="111">
        <f t="shared" ref="D8:D15" si="0">ROUND($D$3*E8/$E$3,2)</f>
        <v>157370.63</v>
      </c>
      <c r="E8" s="116">
        <f>SUMIF('数据-基础表'!BB10:BK10,"地上",'数据-基础表'!BB5:BK5)</f>
        <v>140004.31000000006</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157370.63</v>
      </c>
      <c r="E16" s="120">
        <f>SUM(E8:E15)</f>
        <v>140004.31000000006</v>
      </c>
      <c r="F16" s="1982"/>
      <c r="G16" s="1984"/>
      <c r="H16" s="967" t="s">
        <v>219</v>
      </c>
      <c r="I16" s="968"/>
      <c r="J16" s="1982"/>
      <c r="K16" s="3315" t="s">
        <v>2567</v>
      </c>
      <c r="L16" s="3316"/>
      <c r="M16" s="3316"/>
      <c r="N16" s="3316"/>
      <c r="O16" s="3316"/>
      <c r="P16" s="3317"/>
    </row>
    <row r="17" spans="1:19" ht="15">
      <c r="A17" s="121" t="s">
        <v>216</v>
      </c>
      <c r="B17" s="122" t="s">
        <v>217</v>
      </c>
      <c r="C17" s="2296" t="s">
        <v>2314</v>
      </c>
      <c r="D17" s="108" t="s">
        <v>204</v>
      </c>
      <c r="E17" s="124" t="s">
        <v>205</v>
      </c>
      <c r="F17" s="125"/>
      <c r="G17" s="1365"/>
      <c r="H17" s="969" t="s">
        <v>218</v>
      </c>
      <c r="I17" s="970" t="s">
        <v>2313</v>
      </c>
      <c r="J17" s="1982"/>
      <c r="K17" s="3318" t="s">
        <v>2568</v>
      </c>
      <c r="L17" s="3319"/>
      <c r="M17" s="3320"/>
      <c r="N17" s="3318" t="s">
        <v>2569</v>
      </c>
      <c r="O17" s="3319"/>
      <c r="P17" s="3320"/>
      <c r="R17" s="2297" t="s">
        <v>2312</v>
      </c>
      <c r="S17" s="144"/>
    </row>
    <row r="18" spans="1:19" ht="15">
      <c r="A18" s="117"/>
      <c r="B18" s="128"/>
      <c r="C18" s="129"/>
      <c r="D18" s="2664"/>
      <c r="E18" s="130" t="s">
        <v>220</v>
      </c>
      <c r="F18" s="131" t="s">
        <v>221</v>
      </c>
      <c r="G18" s="1366" t="s">
        <v>222</v>
      </c>
      <c r="H18" s="971" t="s">
        <v>223</v>
      </c>
      <c r="I18" s="972" t="s">
        <v>224</v>
      </c>
      <c r="J18" s="1982"/>
      <c r="K18" s="2627" t="s">
        <v>2570</v>
      </c>
      <c r="L18" s="2628" t="s">
        <v>2571</v>
      </c>
      <c r="M18" s="2629" t="s">
        <v>2572</v>
      </c>
      <c r="N18" s="2627" t="s">
        <v>2570</v>
      </c>
      <c r="O18" s="2628" t="s">
        <v>2571</v>
      </c>
      <c r="P18" s="2629" t="s">
        <v>2572</v>
      </c>
      <c r="R18" s="2298" t="s">
        <v>2310</v>
      </c>
      <c r="S18" s="2298" t="s">
        <v>2311</v>
      </c>
    </row>
    <row r="19" spans="1:19">
      <c r="A19" s="133"/>
      <c r="B19" s="115" t="s">
        <v>225</v>
      </c>
      <c r="C19" s="3047" t="s">
        <v>3404</v>
      </c>
      <c r="D19" s="111">
        <f t="shared" ref="D19:D26" si="1">ROUND($D$3*E19/$E$3,2)</f>
        <v>157370.63</v>
      </c>
      <c r="E19" s="134">
        <f t="shared" ref="E19:E26" si="2">SUM(F19:G19)</f>
        <v>140004.31</v>
      </c>
      <c r="F19" s="135">
        <f>ROUND('数据-基础表'!I13,2)</f>
        <v>140004.31</v>
      </c>
      <c r="G19" s="1367"/>
      <c r="H19" s="973">
        <f>ROUND($D$3*I19/$E$3,2)</f>
        <v>0</v>
      </c>
      <c r="I19" s="116">
        <f>IF($I$17="自定义",P19,M19)</f>
        <v>0</v>
      </c>
      <c r="J19" s="1982"/>
      <c r="K19" s="2630">
        <f t="shared" ref="K19:K26" si="3">ROUND(E$28*E19/E$27,2)</f>
        <v>0</v>
      </c>
      <c r="L19" s="274">
        <f t="shared" ref="L19:L26" si="4">ROUND(IF(COUNTIF(C19,"*住宅*")&gt;0,E$29*E19/E$32,0),2)</f>
        <v>0</v>
      </c>
      <c r="M19" s="2631">
        <f>K19+L19</f>
        <v>0</v>
      </c>
      <c r="N19" s="2632"/>
      <c r="O19" s="2633"/>
      <c r="P19" s="2634">
        <f>N19+O19</f>
        <v>0</v>
      </c>
      <c r="R19" s="274">
        <f t="shared" ref="R19:S26" si="5">D19+H19</f>
        <v>157370.63</v>
      </c>
      <c r="S19" s="2299">
        <f t="shared" si="5"/>
        <v>140004.31</v>
      </c>
    </row>
    <row r="20" spans="1:19">
      <c r="A20" s="138"/>
      <c r="B20" s="115" t="s">
        <v>226</v>
      </c>
      <c r="C20" s="3047"/>
      <c r="D20" s="111">
        <f t="shared" si="1"/>
        <v>0</v>
      </c>
      <c r="E20" s="134">
        <f t="shared" si="2"/>
        <v>0</v>
      </c>
      <c r="F20" s="135"/>
      <c r="G20" s="1367"/>
      <c r="H20" s="973">
        <f t="shared" ref="H20:H26" si="6">ROUND($D$3*I20/$E$3,2)</f>
        <v>0</v>
      </c>
      <c r="I20" s="116">
        <f t="shared" ref="I20:I26" si="7">IF($I$17="自定义",P20,M20)</f>
        <v>0</v>
      </c>
      <c r="J20" s="1982"/>
      <c r="K20" s="2630">
        <f t="shared" si="3"/>
        <v>0</v>
      </c>
      <c r="L20" s="274">
        <f t="shared" si="4"/>
        <v>0</v>
      </c>
      <c r="M20" s="2631">
        <f t="shared" ref="M20:M26" si="8">K20+L20</f>
        <v>0</v>
      </c>
      <c r="N20" s="2632"/>
      <c r="O20" s="2633"/>
      <c r="P20" s="2634">
        <f t="shared" ref="P20:P26" si="9">N20+O20</f>
        <v>0</v>
      </c>
      <c r="R20" s="274">
        <f t="shared" si="5"/>
        <v>0</v>
      </c>
      <c r="S20" s="2299">
        <f t="shared" si="5"/>
        <v>0</v>
      </c>
    </row>
    <row r="21" spans="1:19">
      <c r="A21" s="138"/>
      <c r="B21" s="115" t="s">
        <v>226</v>
      </c>
      <c r="C21" s="3047"/>
      <c r="D21" s="111">
        <f t="shared" si="1"/>
        <v>0</v>
      </c>
      <c r="E21" s="134">
        <f t="shared" si="2"/>
        <v>0</v>
      </c>
      <c r="F21" s="135"/>
      <c r="G21" s="1367"/>
      <c r="H21" s="973">
        <f t="shared" si="6"/>
        <v>0</v>
      </c>
      <c r="I21" s="116">
        <f t="shared" si="7"/>
        <v>0</v>
      </c>
      <c r="J21" s="1982"/>
      <c r="K21" s="2630">
        <f t="shared" si="3"/>
        <v>0</v>
      </c>
      <c r="L21" s="274">
        <f t="shared" si="4"/>
        <v>0</v>
      </c>
      <c r="M21" s="2631">
        <f t="shared" si="8"/>
        <v>0</v>
      </c>
      <c r="N21" s="2632"/>
      <c r="O21" s="2633"/>
      <c r="P21" s="2634">
        <f t="shared" si="9"/>
        <v>0</v>
      </c>
      <c r="R21" s="274">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157370.63</v>
      </c>
      <c r="E27" s="143">
        <f>IF(SUM(E19:E26)='数据-基础表'!BA5,SUM(E19:E26),IF(F27="地上面积有误","面积有误","地下面积有误"))</f>
        <v>140004.31</v>
      </c>
      <c r="F27" s="134">
        <f>IF(SUM(F19:F26)=E8,SUM(F19:F26),"地上面积有误")</f>
        <v>140004.31</v>
      </c>
      <c r="G27" s="112">
        <f>SUM(G19:G26)</f>
        <v>0</v>
      </c>
      <c r="H27" s="974">
        <f>SUM(H19:H26)</f>
        <v>0</v>
      </c>
      <c r="I27" s="975">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157370.63</v>
      </c>
      <c r="S27" s="274">
        <f>IF(SUM(S19:S26)=$E$3,SUM(S19:S26),SUM(S19:S26)&amp;"误差"&amp;ROUND(SUM(S19:S26)-E3,2))</f>
        <v>140004.31</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2323</v>
      </c>
      <c r="D31" s="1371">
        <f>D27+D30</f>
        <v>157370.63</v>
      </c>
      <c r="E31" s="1371">
        <f>E27+E30</f>
        <v>140004.31</v>
      </c>
      <c r="F31" s="1372">
        <f>F27+F30</f>
        <v>140004.31</v>
      </c>
      <c r="G31" s="1373">
        <f>G27+G30</f>
        <v>0</v>
      </c>
      <c r="H31" s="1982"/>
      <c r="I31" s="1982"/>
      <c r="J31" s="1982"/>
      <c r="K31" s="1982"/>
      <c r="L31" s="1982"/>
    </row>
    <row r="32" spans="1:19">
      <c r="A32" s="1982"/>
      <c r="B32" s="2361" t="s">
        <v>2322</v>
      </c>
      <c r="C32" s="2669"/>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D29" sqref="D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43244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40.5">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43"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413"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混合楼</v>
      </c>
      <c r="B6" s="2335" t="str">
        <f>IF(A6=0,"","经营性")</f>
        <v>经营性</v>
      </c>
      <c r="C6" s="173" t="s">
        <v>982</v>
      </c>
      <c r="D6" s="2306">
        <f>SUMIF(项目基本情况!D$15:I$15,C6,项目基本情况!D$18:I$18)</f>
        <v>50</v>
      </c>
      <c r="E6" s="2307">
        <f>IF(B6="","",SUMIF(项目基本情况!D$15:I$15,C6,项目基本情况!D$17:I$17))</f>
        <v>55750</v>
      </c>
      <c r="F6" s="174">
        <f>SUMIF(项目基本情况!D$15:I$15,C6,项目基本情况!D$19:I$19)</f>
        <v>34.26</v>
      </c>
      <c r="G6" s="175">
        <f>IF(ISERROR(ROUND(POWER(1+H6,D6-F6)*(POWER(1+H6,F6)-1)/(POWER(1+H6,D6)-1),3)),0,ROUND(POWER(1+H6,D6-F6)*(POWER(1+H6,F6)-1)/(POWER(1+H6,D6)-1),3))</f>
        <v>0.84299999999999997</v>
      </c>
      <c r="H6" s="3048">
        <v>3.5000000000000003E-2</v>
      </c>
      <c r="I6" s="3048">
        <v>4.4999999999999998E-2</v>
      </c>
      <c r="J6" s="176">
        <v>0.08</v>
      </c>
      <c r="K6" s="179">
        <f>SUMIF('数据-汇总表'!C$19:C$33,'数据-取费表'!A6,'数据-汇总表'!E$19:E$33)</f>
        <v>140004.31</v>
      </c>
      <c r="L6" s="3201">
        <v>1500</v>
      </c>
      <c r="M6" s="177">
        <f t="shared" ref="M6:M14" si="0">ROUND(K6*L6/10000,0)</f>
        <v>21001</v>
      </c>
      <c r="N6" s="3050">
        <v>0</v>
      </c>
      <c r="O6" s="177">
        <f>IF($N$5="成新度","——",ROUND(M6*N6,0))</f>
        <v>0</v>
      </c>
      <c r="P6" s="178">
        <f>IF($N$5="成新度","——",M6-O6)</f>
        <v>21001</v>
      </c>
      <c r="Q6" s="3051">
        <v>0.1</v>
      </c>
      <c r="R6" s="179">
        <f>SUMIF('数据-汇总表'!C$19:C$33,A6,'数据-汇总表'!R$19:R$33)</f>
        <v>157370.63</v>
      </c>
      <c r="S6" s="132">
        <f>IF('数据-汇总表'!$I$17="按面积比例",SUMIF('数据-汇总表'!C$19:C$33,A6,'数据-汇总表'!K$19:K$33),SUMIF('数据-汇总表'!C$19:C$33,A6,'数据-汇总表'!N$19:N$33))</f>
        <v>0</v>
      </c>
      <c r="T6" s="2232" t="str">
        <f>IF($T$4="按面积比例",IF(ISERROR(ROUND($M$14*S6/S$16,0)),"0",ROUND($M$14*S6/S$16,0)),"需自行计算录入")</f>
        <v>0</v>
      </c>
      <c r="U6" s="180">
        <v>0.5</v>
      </c>
      <c r="V6" s="181">
        <v>0.02</v>
      </c>
      <c r="W6" s="181">
        <v>0.1</v>
      </c>
      <c r="X6" s="2319"/>
      <c r="Y6" s="182">
        <v>1</v>
      </c>
      <c r="Z6" s="183"/>
      <c r="AA6" s="176"/>
      <c r="AB6" s="176"/>
      <c r="AC6" s="2322"/>
      <c r="AD6" s="184"/>
      <c r="AE6" s="971">
        <f ca="1">IF(AN6="",0,SUMIF(INDIRECT("'"&amp;AN6&amp;"'"&amp;"!E:E"),$AE$5,INDIRECT("'"&amp;AN6&amp;"'"&amp;"!F:F")))</f>
        <v>34.26</v>
      </c>
      <c r="AF6" s="141"/>
      <c r="AG6" s="1212">
        <f>IF(AF6="",0,AE6-AF6)</f>
        <v>0</v>
      </c>
      <c r="AH6" s="141"/>
      <c r="AI6" s="187">
        <v>365</v>
      </c>
      <c r="AJ6" s="188"/>
      <c r="AK6" s="3214">
        <v>0.01</v>
      </c>
      <c r="AL6" s="190">
        <v>1.5E-3</v>
      </c>
      <c r="AM6" s="3062">
        <v>0.01</v>
      </c>
      <c r="AN6" s="2414" t="s">
        <v>3406</v>
      </c>
      <c r="AO6" s="1998"/>
      <c r="AP6" s="1203">
        <f>ROUND(1-1/(1+H6)^F6,3)</f>
        <v>0.69199999999999995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f>'数据-汇总表'!C20</f>
        <v>0</v>
      </c>
      <c r="B7" s="2335" t="str">
        <f t="shared" ref="B7:B13" si="1">IF(A7=0,"","经营性")</f>
        <v/>
      </c>
      <c r="C7" s="173" t="s">
        <v>982</v>
      </c>
      <c r="D7" s="2306">
        <f>SUMIF(项目基本情况!D$15:I$15,C7,项目基本情况!D$18:I$18)</f>
        <v>50</v>
      </c>
      <c r="E7" s="2307" t="str">
        <f>IF(B7="","",SUMIF(项目基本情况!D$15:I$15,C7,项目基本情况!D$17:I$17))</f>
        <v/>
      </c>
      <c r="F7" s="174">
        <f>SUMIF(项目基本情况!D$15:I$15,C7,项目基本情况!D$19:I$19)</f>
        <v>34.26</v>
      </c>
      <c r="G7" s="175">
        <f t="shared" ref="G7:G11" si="2">IF(ISERROR(ROUND(POWER(1+H7,D7-F7)*(POWER(1+H7,F7)-1)/(POWER(1+H7,D7)-1),3)),0,ROUND(POWER(1+H7,D7-F7)*(POWER(1+H7,F7)-1)/(POWER(1+H7,D7)-1),3))</f>
        <v>0</v>
      </c>
      <c r="H7" s="3048"/>
      <c r="I7" s="3048"/>
      <c r="J7" s="176"/>
      <c r="K7" s="179">
        <f>SUMIF('数据-汇总表'!C$19:C$33,'数据-取费表'!A7,'数据-汇总表'!E$19:E$33)</f>
        <v>0</v>
      </c>
      <c r="L7" s="3049"/>
      <c r="M7" s="177">
        <f t="shared" si="0"/>
        <v>0</v>
      </c>
      <c r="N7" s="3050"/>
      <c r="O7" s="177">
        <f t="shared" ref="O7:O14" si="3">IF($N$5="成新度","——",ROUND(M7*N7,0))</f>
        <v>0</v>
      </c>
      <c r="P7" s="178">
        <f t="shared" ref="P7:P14" si="4">IF($N$5="成新度","——",M7-O7)</f>
        <v>0</v>
      </c>
      <c r="Q7" s="305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412"/>
      <c r="AN7" s="2414"/>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8"/>
      <c r="I8" s="3048"/>
      <c r="J8" s="176"/>
      <c r="K8" s="179">
        <f>SUMIF('数据-汇总表'!C$19:C$33,'数据-取费表'!A8,'数据-汇总表'!E$19:E$33)</f>
        <v>0</v>
      </c>
      <c r="L8" s="3049"/>
      <c r="M8" s="177">
        <f>ROUND(K8*L8/10000,0)</f>
        <v>0</v>
      </c>
      <c r="N8" s="3050"/>
      <c r="O8" s="177">
        <f t="shared" si="3"/>
        <v>0</v>
      </c>
      <c r="P8" s="178">
        <f t="shared" si="4"/>
        <v>0</v>
      </c>
      <c r="Q8" s="305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412"/>
      <c r="AN8" s="2414"/>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2"/>
      <c r="AN9" s="2414"/>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2"/>
      <c r="AN10" s="2414"/>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414"/>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414"/>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2"/>
      <c r="AN13" s="2414"/>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0.84299999999999997</v>
      </c>
      <c r="H16" s="203">
        <f>ROUND(SUMPRODUCT(H6:H13,K6:K13)/SUMPRODUCT((H6:H13&gt;0)*(K6:K13)),3)</f>
        <v>3.5000000000000003E-2</v>
      </c>
      <c r="I16" s="204"/>
      <c r="J16" s="204"/>
      <c r="K16" s="205">
        <f>SUM(K6:K15)</f>
        <v>140004.31</v>
      </c>
      <c r="L16" s="206">
        <f>ROUND(M16*10000/SUM(K6:K14),0)</f>
        <v>1500</v>
      </c>
      <c r="M16" s="206">
        <f>SUM(M6:M14)</f>
        <v>21001</v>
      </c>
      <c r="N16" s="207">
        <f>ROUND(SUMPRODUCT(M6:M14,N6:N14)/M16,3)</f>
        <v>0</v>
      </c>
      <c r="O16" s="206">
        <f>SUM(O6:O14)</f>
        <v>0</v>
      </c>
      <c r="P16" s="206">
        <f>SUM(P6:P14)</f>
        <v>21001</v>
      </c>
      <c r="Q16" s="208">
        <f>ROUND(SUMPRODUCT(Q6:Q13,K6:K13)/SUMPRODUCT((Q6:Q13&gt;0)*(K6:K13)),2)</f>
        <v>0.1</v>
      </c>
      <c r="R16" s="2309">
        <f>SUM(R6:R13)</f>
        <v>157370.63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0.69199999999999995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v>
      </c>
      <c r="C20" s="2362"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3227">
        <v>59</v>
      </c>
      <c r="C27" s="2365"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7" t="s">
        <v>2339</v>
      </c>
      <c r="B28" s="3228">
        <v>59</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0" t="s">
        <v>2337</v>
      </c>
      <c r="B29" s="231"/>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4" t="s">
        <v>273</v>
      </c>
      <c r="B30" s="977">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7" t="s">
        <v>274</v>
      </c>
      <c r="B31" s="229">
        <f>B30-B32</f>
        <v>150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6" t="s">
        <v>275</v>
      </c>
      <c r="B32" s="3231">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2891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0.05</v>
      </c>
      <c r="C34" s="2363" t="s">
        <v>2892</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100</v>
      </c>
      <c r="C35" s="2363" t="s">
        <v>2893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2894</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0.02</v>
      </c>
      <c r="C37" s="2363" t="s">
        <v>2895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0.02</v>
      </c>
      <c r="C38" s="2363" t="s">
        <v>2895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2458</v>
      </c>
      <c r="B40" s="2503">
        <f ca="1">存贷款利率!E2</f>
        <v>4.3499999999999997E-2</v>
      </c>
      <c r="C40" s="2363"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9">
        <v>0.05</v>
      </c>
      <c r="C42" s="311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7.0000000000000007E-2</v>
      </c>
      <c r="C44" s="2363" t="s">
        <v>2896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97" t="s">
        <v>2899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8" t="s">
        <v>2900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8" t="s">
        <v>2901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1408</v>
      </c>
      <c r="C53" s="3099" t="s">
        <v>2902</v>
      </c>
      <c r="D53" s="3100" t="s">
        <v>2903</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2904</v>
      </c>
      <c r="B54" s="186">
        <v>5</v>
      </c>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2905</v>
      </c>
      <c r="B55" s="186">
        <v>4</v>
      </c>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2906</v>
      </c>
      <c r="B56" s="186">
        <v>3</v>
      </c>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2907</v>
      </c>
      <c r="B57" s="186">
        <v>2</v>
      </c>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2908</v>
      </c>
      <c r="B58" s="3229">
        <v>1</v>
      </c>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2909</v>
      </c>
      <c r="B59" s="186"/>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2910</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2911</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2912</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2913</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30" t="s">
        <v>1664</v>
      </c>
      <c r="B1" s="3331"/>
      <c r="C1" s="3331"/>
      <c r="D1" s="3331"/>
      <c r="E1" s="3331"/>
      <c r="F1" s="3331"/>
      <c r="G1" s="3331"/>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27">
      <c r="A3" s="1226" t="s">
        <v>1667</v>
      </c>
      <c r="B3" s="1227" t="s">
        <v>1654</v>
      </c>
      <c r="C3" s="3183"/>
      <c r="D3" s="2007"/>
      <c r="E3" s="1228" t="s">
        <v>1667</v>
      </c>
      <c r="F3" s="1229" t="s">
        <v>1655</v>
      </c>
      <c r="G3" s="3217" t="s">
        <v>3432</v>
      </c>
      <c r="H3" s="2006"/>
      <c r="I3" s="2006"/>
      <c r="J3" s="2006"/>
      <c r="K3" s="2006"/>
      <c r="L3" s="2006"/>
      <c r="M3" s="2006"/>
      <c r="N3" s="2006"/>
      <c r="O3" s="2006"/>
      <c r="P3" s="2006"/>
      <c r="Q3" s="2006"/>
      <c r="R3" s="2006"/>
    </row>
    <row r="4" spans="1:18" ht="40.5">
      <c r="A4" s="1228"/>
      <c r="B4" s="1230" t="s">
        <v>1668</v>
      </c>
      <c r="C4" s="3184"/>
      <c r="D4" s="2007"/>
      <c r="E4" s="1231"/>
      <c r="F4" s="1232" t="s">
        <v>1669</v>
      </c>
      <c r="G4" s="3185" t="s">
        <v>3407</v>
      </c>
      <c r="H4" s="2006"/>
      <c r="I4" s="2006"/>
      <c r="J4" s="2006"/>
      <c r="K4" s="2006"/>
      <c r="L4" s="2006"/>
      <c r="M4" s="2006"/>
      <c r="N4" s="2006"/>
      <c r="O4" s="2006"/>
      <c r="P4" s="2006"/>
      <c r="Q4" s="2006"/>
      <c r="R4" s="2006"/>
    </row>
    <row r="5" spans="1:18" ht="27">
      <c r="A5" s="1228"/>
      <c r="B5" s="1230" t="s">
        <v>1670</v>
      </c>
      <c r="C5" s="3184"/>
      <c r="D5" s="2007"/>
      <c r="E5" s="1231"/>
      <c r="F5" s="1230" t="s">
        <v>2547</v>
      </c>
      <c r="G5" s="3185" t="s">
        <v>3408</v>
      </c>
      <c r="H5" s="2006"/>
      <c r="I5" s="2006"/>
      <c r="J5" s="2006"/>
      <c r="K5" s="2006"/>
      <c r="L5" s="2006"/>
      <c r="M5" s="2006"/>
      <c r="N5" s="2006"/>
      <c r="O5" s="2006"/>
      <c r="P5" s="2006"/>
      <c r="Q5" s="2006"/>
      <c r="R5" s="2006"/>
    </row>
    <row r="6" spans="1:18">
      <c r="A6" s="1228"/>
      <c r="B6" s="1230" t="s">
        <v>1656</v>
      </c>
      <c r="C6" s="3185"/>
      <c r="D6" s="2007"/>
      <c r="E6" s="1231"/>
      <c r="F6" s="1230" t="s">
        <v>2548</v>
      </c>
      <c r="G6" s="3185" t="s">
        <v>3409</v>
      </c>
      <c r="H6" s="2006"/>
      <c r="I6" s="2006"/>
      <c r="J6" s="2006"/>
      <c r="K6" s="2006"/>
      <c r="L6" s="2006"/>
      <c r="M6" s="2006"/>
      <c r="N6" s="2006"/>
      <c r="O6" s="2006"/>
      <c r="P6" s="2006"/>
      <c r="Q6" s="2006"/>
      <c r="R6" s="2006"/>
    </row>
    <row r="7" spans="1:18" ht="27.75" thickBot="1">
      <c r="A7" s="1228"/>
      <c r="B7" s="1230" t="s">
        <v>2547</v>
      </c>
      <c r="C7" s="3185"/>
      <c r="D7" s="2008"/>
      <c r="E7" s="1233"/>
      <c r="F7" s="1234" t="s">
        <v>1671</v>
      </c>
      <c r="G7" s="3215" t="s">
        <v>3410</v>
      </c>
      <c r="H7" s="2006"/>
      <c r="I7" s="2006"/>
      <c r="J7" s="2006"/>
      <c r="K7" s="2006"/>
      <c r="L7" s="2006"/>
      <c r="M7" s="2006"/>
      <c r="N7" s="2006"/>
      <c r="O7" s="2006"/>
      <c r="P7" s="2006"/>
      <c r="Q7" s="2006"/>
      <c r="R7" s="2006"/>
    </row>
    <row r="8" spans="1:18" ht="21" customHeight="1">
      <c r="A8" s="1228"/>
      <c r="B8" s="1230" t="s">
        <v>2548</v>
      </c>
      <c r="C8" s="3185"/>
      <c r="D8" s="2008"/>
      <c r="E8" s="2008"/>
      <c r="F8" s="1552"/>
      <c r="G8" s="1552"/>
      <c r="H8" s="2006"/>
      <c r="I8" s="2006"/>
      <c r="J8" s="2006"/>
      <c r="K8" s="2006"/>
      <c r="L8" s="2006"/>
      <c r="M8" s="2006"/>
      <c r="N8" s="2006"/>
      <c r="O8" s="2006"/>
      <c r="P8" s="2006"/>
      <c r="Q8" s="2006"/>
      <c r="R8" s="2006"/>
    </row>
    <row r="9" spans="1:18">
      <c r="A9" s="1228"/>
      <c r="B9" s="1230" t="s">
        <v>1657</v>
      </c>
      <c r="C9" s="3186"/>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87" t="s">
        <v>3023</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3"/>
      <c r="E13" s="2600"/>
      <c r="F13" s="2600"/>
      <c r="G13" s="2600"/>
    </row>
    <row r="14" spans="1:18" ht="14.25" thickBot="1">
      <c r="A14" s="1237"/>
      <c r="B14" s="1238"/>
      <c r="C14" s="1239" t="s">
        <v>1665</v>
      </c>
      <c r="D14" s="2007"/>
      <c r="E14" s="1240"/>
      <c r="F14" s="1240"/>
      <c r="G14" s="1222" t="s">
        <v>1666</v>
      </c>
    </row>
    <row r="15" spans="1:18" ht="27">
      <c r="A15" s="2610" t="s">
        <v>1658</v>
      </c>
      <c r="B15" s="1241" t="s">
        <v>1654</v>
      </c>
      <c r="C15" s="1242">
        <f>C3</f>
        <v>0</v>
      </c>
      <c r="D15" s="2007"/>
      <c r="E15" s="2607" t="s">
        <v>1659</v>
      </c>
      <c r="F15" s="1241" t="s">
        <v>1674</v>
      </c>
      <c r="G15" s="1243" t="str">
        <f>G3</f>
        <v>工业园内，聚集程度较好</v>
      </c>
    </row>
    <row r="16" spans="1:18" ht="40.5">
      <c r="A16" s="2611"/>
      <c r="B16" s="1244" t="s">
        <v>1668</v>
      </c>
      <c r="C16" s="1245">
        <f>C4</f>
        <v>0</v>
      </c>
      <c r="D16" s="2007"/>
      <c r="E16" s="2608"/>
      <c r="F16" s="1246" t="s">
        <v>1669</v>
      </c>
      <c r="G16" s="1004" t="str">
        <f>G4</f>
        <v>周边路网密集程度一般，有一定数量公交车通过，停车较方便，总体考虑一般</v>
      </c>
    </row>
    <row r="17" spans="1:7">
      <c r="A17" s="2611"/>
      <c r="B17" s="1244" t="s">
        <v>1670</v>
      </c>
      <c r="C17" s="1245">
        <f>C5</f>
        <v>0</v>
      </c>
      <c r="D17" s="2008"/>
      <c r="E17" s="2608"/>
      <c r="F17" s="1246" t="s">
        <v>1675</v>
      </c>
      <c r="G17" s="3188" t="s">
        <v>3411</v>
      </c>
    </row>
    <row r="18" spans="1:7" ht="27">
      <c r="A18" s="2611"/>
      <c r="B18" s="1246" t="s">
        <v>1656</v>
      </c>
      <c r="C18" s="1004">
        <f>C6</f>
        <v>0</v>
      </c>
      <c r="D18" s="2008"/>
      <c r="E18" s="2608"/>
      <c r="F18" s="1246" t="s">
        <v>1671</v>
      </c>
      <c r="G18" s="1004" t="str">
        <f>G7</f>
        <v>无大型污染，自然环境一般，综合一般</v>
      </c>
    </row>
    <row r="19" spans="1:7" ht="27">
      <c r="A19" s="2611"/>
      <c r="B19" s="1246" t="s">
        <v>1660</v>
      </c>
      <c r="C19" s="3188"/>
      <c r="D19" s="2007"/>
      <c r="E19" s="2608"/>
      <c r="F19" s="1230" t="s">
        <v>2547</v>
      </c>
      <c r="G19" s="1004" t="str">
        <f>G5</f>
        <v>工业园区内，各配套设施齐备度一般，综合一般</v>
      </c>
    </row>
    <row r="20" spans="1:7">
      <c r="A20" s="2611"/>
      <c r="B20" s="1246" t="s">
        <v>1661</v>
      </c>
      <c r="C20" s="1245">
        <f>C9</f>
        <v>0</v>
      </c>
      <c r="D20" s="2008"/>
      <c r="E20" s="2608"/>
      <c r="F20" s="1230" t="s">
        <v>2548</v>
      </c>
      <c r="G20" s="1004" t="str">
        <f>G6</f>
        <v>六通</v>
      </c>
    </row>
    <row r="21" spans="1:7" ht="14.25">
      <c r="A21" s="2611"/>
      <c r="B21" s="1230" t="s">
        <v>2547</v>
      </c>
      <c r="C21" s="1004">
        <f>C7</f>
        <v>0</v>
      </c>
      <c r="D21" s="2007"/>
      <c r="E21" s="2608"/>
      <c r="F21" s="1246" t="s">
        <v>1662</v>
      </c>
      <c r="G21" s="3104" t="s">
        <v>3021</v>
      </c>
    </row>
    <row r="22" spans="1:7" ht="14.25">
      <c r="A22" s="2611"/>
      <c r="B22" s="1230" t="s">
        <v>2548</v>
      </c>
      <c r="C22" s="1004">
        <f>C8</f>
        <v>0</v>
      </c>
      <c r="D22" s="2007"/>
      <c r="E22" s="2608"/>
      <c r="F22" s="1246" t="s">
        <v>1672</v>
      </c>
      <c r="G22" s="2816"/>
    </row>
    <row r="23" spans="1:7" ht="15" thickBot="1">
      <c r="A23" s="2611"/>
      <c r="B23" s="1246" t="s">
        <v>1662</v>
      </c>
      <c r="C23" s="3104" t="s">
        <v>3021</v>
      </c>
      <c r="E23" s="2609"/>
      <c r="F23" s="1247" t="s">
        <v>1676</v>
      </c>
      <c r="G23" s="3105"/>
    </row>
    <row r="24" spans="1:7" ht="14.25" thickBot="1">
      <c r="A24" s="2612"/>
      <c r="B24" s="1247" t="s">
        <v>1663</v>
      </c>
      <c r="C24" s="1248" t="str">
        <f>C10</f>
        <v>支路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6" sqref="B16"/>
    </sheetView>
  </sheetViews>
  <sheetFormatPr defaultColWidth="14.625" defaultRowHeight="13.5"/>
  <cols>
    <col min="1" max="1" width="24.375" customWidth="1"/>
  </cols>
  <sheetData>
    <row r="1" spans="1:9" ht="16.5">
      <c r="A1" s="3068" t="s">
        <v>2845</v>
      </c>
      <c r="B1" s="3068">
        <f>SUM(B14:B23)</f>
        <v>151870.97000000006</v>
      </c>
      <c r="C1" s="3069"/>
      <c r="D1" s="3069"/>
      <c r="E1" s="3069"/>
      <c r="F1" s="3069"/>
    </row>
    <row r="2" spans="1:9" ht="16.5">
      <c r="A2" s="3068" t="s">
        <v>2846</v>
      </c>
      <c r="B2" s="3068">
        <f>SUM(C14:C23)</f>
        <v>170703.96000000005</v>
      </c>
      <c r="C2" s="3069"/>
      <c r="D2" s="3069"/>
      <c r="E2" s="3069"/>
      <c r="F2" s="3069"/>
    </row>
    <row r="3" spans="1:9" ht="16.5">
      <c r="A3" s="3068" t="s">
        <v>2847</v>
      </c>
      <c r="B3" s="3070">
        <f>项目基本情况!D3</f>
        <v>43244</v>
      </c>
      <c r="C3" s="3069"/>
      <c r="D3" s="3069"/>
      <c r="E3" s="3069"/>
      <c r="F3" s="3069"/>
    </row>
    <row r="4" spans="1:9" ht="33">
      <c r="A4" s="3068" t="s">
        <v>2848</v>
      </c>
      <c r="B4" s="3068" t="s">
        <v>2849</v>
      </c>
      <c r="C4" s="3068" t="s">
        <v>2850</v>
      </c>
      <c r="D4" s="3068" t="s">
        <v>2851</v>
      </c>
      <c r="E4" s="3069"/>
      <c r="F4" s="3069"/>
    </row>
    <row r="5" spans="1:9" ht="16.5">
      <c r="A5" s="3068" t="s">
        <v>2852</v>
      </c>
      <c r="B5" s="3068">
        <f ca="1">SUM(D14:D23)</f>
        <v>6546</v>
      </c>
      <c r="C5" s="3068">
        <f ca="1">ROUND(B5*10000/$B$1,0)</f>
        <v>431</v>
      </c>
      <c r="D5" s="3068">
        <f ca="1">ROUND(B5*10000/$B$2,0)</f>
        <v>383</v>
      </c>
      <c r="E5" s="3069"/>
      <c r="F5" s="3069"/>
    </row>
    <row r="6" spans="1:9" ht="16.5">
      <c r="A6" s="3068" t="s">
        <v>2853</v>
      </c>
      <c r="B6" s="3068">
        <f ca="1">SUM(G14:G23)</f>
        <v>4580</v>
      </c>
      <c r="C6" s="3068">
        <f t="shared" ref="C6:C8" ca="1" si="0">ROUND(B6*10000/$B$1,0)</f>
        <v>302</v>
      </c>
      <c r="D6" s="3068">
        <f t="shared" ref="D6:D8" ca="1" si="1">ROUND(B6*10000/$B$2,0)</f>
        <v>268</v>
      </c>
      <c r="E6" s="3069"/>
      <c r="F6" s="3069"/>
    </row>
    <row r="7" spans="1:9" ht="16.5">
      <c r="A7" s="3068" t="s">
        <v>2854</v>
      </c>
      <c r="B7" s="3068">
        <f>SUM(H14:H23)</f>
        <v>0</v>
      </c>
      <c r="C7" s="3068">
        <f t="shared" si="0"/>
        <v>0</v>
      </c>
      <c r="D7" s="3068">
        <f t="shared" si="1"/>
        <v>0</v>
      </c>
      <c r="E7" s="3069"/>
      <c r="F7" s="3069"/>
    </row>
    <row r="8" spans="1:9" ht="16.5">
      <c r="A8" s="3068" t="s">
        <v>2855</v>
      </c>
      <c r="B8" s="3068">
        <f>SUM(I14:I23)</f>
        <v>0</v>
      </c>
      <c r="C8" s="3068">
        <f t="shared" si="0"/>
        <v>0</v>
      </c>
      <c r="D8" s="3068">
        <f t="shared" si="1"/>
        <v>0</v>
      </c>
      <c r="E8" s="3069"/>
      <c r="F8" s="3069"/>
    </row>
    <row r="9" spans="1:9" ht="16.5">
      <c r="A9" s="3068" t="s">
        <v>2856</v>
      </c>
      <c r="B9" s="3071"/>
      <c r="C9" s="3069"/>
      <c r="D9" s="3069"/>
      <c r="E9" s="3069"/>
      <c r="F9" s="3069"/>
    </row>
    <row r="10" spans="1:9" ht="16.5">
      <c r="A10" s="3068" t="s">
        <v>2857</v>
      </c>
      <c r="B10" s="3071"/>
      <c r="C10" s="3069"/>
      <c r="D10" s="3069"/>
      <c r="E10" s="3069"/>
      <c r="F10" s="3069"/>
    </row>
    <row r="11" spans="1:9" ht="16.5">
      <c r="A11" s="3068" t="s">
        <v>2874</v>
      </c>
      <c r="B11" s="3071"/>
      <c r="C11" s="3069"/>
      <c r="D11" s="3069"/>
      <c r="E11" s="3069"/>
      <c r="F11" s="3069"/>
    </row>
    <row r="12" spans="1:9" ht="16.5">
      <c r="A12" s="3069"/>
      <c r="B12" s="3069"/>
      <c r="C12" s="3069"/>
      <c r="D12" s="3069"/>
      <c r="E12" s="3069"/>
      <c r="F12" s="3069"/>
    </row>
    <row r="13" spans="1:9" ht="33">
      <c r="A13" s="3074" t="s">
        <v>2873</v>
      </c>
      <c r="B13" s="3072" t="s">
        <v>2845</v>
      </c>
      <c r="C13" s="3072" t="s">
        <v>2846</v>
      </c>
      <c r="D13" s="3072" t="s">
        <v>2858</v>
      </c>
      <c r="E13" s="3068" t="s">
        <v>2872</v>
      </c>
      <c r="F13" s="3068" t="s">
        <v>2851</v>
      </c>
      <c r="G13" s="3072" t="s">
        <v>2859</v>
      </c>
      <c r="H13" s="3072" t="s">
        <v>2860</v>
      </c>
      <c r="I13" s="3072" t="s">
        <v>2861</v>
      </c>
    </row>
    <row r="14" spans="1:9" ht="16.5">
      <c r="A14" s="3075" t="s">
        <v>2871</v>
      </c>
      <c r="B14" s="3072">
        <f>结果表!L38</f>
        <v>140004.31000000006</v>
      </c>
      <c r="C14" s="3072">
        <f>结果表!K38</f>
        <v>157370.63</v>
      </c>
      <c r="D14" s="3072">
        <f ca="1">结果表!C42</f>
        <v>4580</v>
      </c>
      <c r="E14" s="3072">
        <f ca="1">ROUND(D14*10000/B14,0)</f>
        <v>327</v>
      </c>
      <c r="F14" s="3072">
        <f ca="1">ROUND(D14*10000/C14,0)</f>
        <v>291</v>
      </c>
      <c r="G14" s="3072">
        <f ca="1">结果表!C44</f>
        <v>4580</v>
      </c>
      <c r="H14" s="3072" t="str">
        <f>结果表!C45</f>
        <v>——</v>
      </c>
      <c r="I14" s="3072" t="str">
        <f>结果表!C46</f>
        <v>——</v>
      </c>
    </row>
    <row r="15" spans="1:9" ht="16.5">
      <c r="A15" s="3075" t="s">
        <v>2862</v>
      </c>
      <c r="B15" s="3076">
        <f>面积及最终结果!E23-系统读取表!B14</f>
        <v>11866.660000000003</v>
      </c>
      <c r="C15" s="3076">
        <f>面积及最终结果!F23-系统读取表!C14</f>
        <v>13333.330000000045</v>
      </c>
      <c r="D15" s="3076">
        <f ca="1">面积及最终结果!Q23-系统读取表!D14</f>
        <v>1966</v>
      </c>
      <c r="E15" s="3072">
        <f t="shared" ref="E15:E23" ca="1" si="2">ROUND(D15*10000/B15,0)</f>
        <v>1657</v>
      </c>
      <c r="F15" s="3072">
        <f t="shared" ref="F15:F23" ca="1" si="3">ROUND(D15*10000/C15,0)</f>
        <v>1475</v>
      </c>
      <c r="G15" s="3073"/>
      <c r="H15" s="3073"/>
      <c r="I15" s="3076"/>
    </row>
    <row r="16" spans="1:9" ht="16.5">
      <c r="A16" s="3075" t="s">
        <v>2863</v>
      </c>
      <c r="B16" s="3076"/>
      <c r="C16" s="3076"/>
      <c r="D16" s="3076"/>
      <c r="E16" s="3072" t="e">
        <f t="shared" si="2"/>
        <v>#DIV/0!</v>
      </c>
      <c r="F16" s="3072" t="e">
        <f t="shared" si="3"/>
        <v>#DIV/0!</v>
      </c>
      <c r="G16" s="3073"/>
      <c r="H16" s="3073"/>
      <c r="I16" s="3076"/>
    </row>
    <row r="17" spans="1:9" ht="16.5">
      <c r="A17" s="3075" t="s">
        <v>2864</v>
      </c>
      <c r="B17" s="3076"/>
      <c r="C17" s="3076"/>
      <c r="D17" s="3076"/>
      <c r="E17" s="3072" t="e">
        <f t="shared" si="2"/>
        <v>#DIV/0!</v>
      </c>
      <c r="F17" s="3072" t="e">
        <f t="shared" si="3"/>
        <v>#DIV/0!</v>
      </c>
      <c r="G17" s="3073"/>
      <c r="H17" s="3073"/>
      <c r="I17" s="3076"/>
    </row>
    <row r="18" spans="1:9" ht="16.5">
      <c r="A18" s="3075" t="s">
        <v>2865</v>
      </c>
      <c r="B18" s="3076"/>
      <c r="C18" s="3076"/>
      <c r="D18" s="3076"/>
      <c r="E18" s="3072" t="e">
        <f t="shared" si="2"/>
        <v>#DIV/0!</v>
      </c>
      <c r="F18" s="3072" t="e">
        <f t="shared" si="3"/>
        <v>#DIV/0!</v>
      </c>
      <c r="G18" s="3076"/>
      <c r="H18" s="3076"/>
      <c r="I18" s="3076"/>
    </row>
    <row r="19" spans="1:9" ht="16.5">
      <c r="A19" s="3075" t="s">
        <v>2866</v>
      </c>
      <c r="B19" s="3076"/>
      <c r="C19" s="3076"/>
      <c r="D19" s="3076"/>
      <c r="E19" s="3072" t="e">
        <f t="shared" si="2"/>
        <v>#DIV/0!</v>
      </c>
      <c r="F19" s="3072" t="e">
        <f t="shared" si="3"/>
        <v>#DIV/0!</v>
      </c>
      <c r="G19" s="3076"/>
      <c r="H19" s="3076"/>
      <c r="I19" s="3076"/>
    </row>
    <row r="20" spans="1:9" ht="16.5">
      <c r="A20" s="3075" t="s">
        <v>2867</v>
      </c>
      <c r="B20" s="3076"/>
      <c r="C20" s="3076"/>
      <c r="D20" s="3076"/>
      <c r="E20" s="3072" t="e">
        <f t="shared" si="2"/>
        <v>#DIV/0!</v>
      </c>
      <c r="F20" s="3072" t="e">
        <f t="shared" si="3"/>
        <v>#DIV/0!</v>
      </c>
      <c r="G20" s="3076"/>
      <c r="H20" s="3076"/>
      <c r="I20" s="3076"/>
    </row>
    <row r="21" spans="1:9" ht="16.5">
      <c r="A21" s="3075" t="s">
        <v>2868</v>
      </c>
      <c r="B21" s="3076"/>
      <c r="C21" s="3076"/>
      <c r="D21" s="3076"/>
      <c r="E21" s="3072" t="e">
        <f t="shared" si="2"/>
        <v>#DIV/0!</v>
      </c>
      <c r="F21" s="3072" t="e">
        <f t="shared" si="3"/>
        <v>#DIV/0!</v>
      </c>
      <c r="G21" s="3076"/>
      <c r="H21" s="3076"/>
      <c r="I21" s="3076"/>
    </row>
    <row r="22" spans="1:9" ht="16.5">
      <c r="A22" s="3075" t="s">
        <v>2869</v>
      </c>
      <c r="B22" s="3076"/>
      <c r="C22" s="3076"/>
      <c r="D22" s="3076"/>
      <c r="E22" s="3072" t="e">
        <f t="shared" si="2"/>
        <v>#DIV/0!</v>
      </c>
      <c r="F22" s="3072" t="e">
        <f t="shared" si="3"/>
        <v>#DIV/0!</v>
      </c>
      <c r="G22" s="3076"/>
      <c r="H22" s="3076"/>
      <c r="I22" s="3076"/>
    </row>
    <row r="23" spans="1:9" ht="16.5">
      <c r="A23" s="3075" t="s">
        <v>2870</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2056</v>
      </c>
      <c r="B1" s="1775"/>
      <c r="C1" s="1803" t="s">
        <v>2057</v>
      </c>
      <c r="D1" s="1804" t="s">
        <v>3024</v>
      </c>
      <c r="E1" s="1803" t="s">
        <v>2058</v>
      </c>
      <c r="F1" s="1805" t="s">
        <v>3025</v>
      </c>
      <c r="G1" s="310"/>
      <c r="H1" s="310"/>
      <c r="I1" s="310"/>
      <c r="J1" s="2027"/>
      <c r="K1" s="2027"/>
      <c r="L1" s="2027"/>
      <c r="M1" s="2027"/>
      <c r="N1" s="2027"/>
      <c r="O1" s="2027"/>
      <c r="P1" s="2027"/>
      <c r="Q1" s="2027"/>
      <c r="R1" s="2027"/>
      <c r="S1" s="2027"/>
      <c r="T1" s="2027"/>
      <c r="U1" s="2027"/>
      <c r="V1" s="2027"/>
    </row>
    <row r="2" spans="1:22" ht="21.75" customHeight="1" thickBot="1">
      <c r="A2" s="3368" t="str">
        <f>项目基本情况!K2</f>
        <v>广东省珠海市斗门区乾务镇糖厂内2宗工业用地出让国有建设用地使用权</v>
      </c>
      <c r="B2" s="3369"/>
      <c r="C2" s="3370"/>
      <c r="D2" s="3370"/>
      <c r="E2" s="3370"/>
      <c r="F2" s="3370"/>
      <c r="G2" s="3369"/>
      <c r="H2" s="3369"/>
      <c r="I2" s="3371"/>
      <c r="J2" s="2028"/>
      <c r="K2" s="2027"/>
      <c r="L2" s="2027"/>
      <c r="M2" s="2027"/>
      <c r="N2" s="2027"/>
      <c r="O2" s="2027"/>
      <c r="P2" s="2027"/>
      <c r="Q2" s="2027"/>
      <c r="R2" s="2027"/>
      <c r="S2" s="2027"/>
      <c r="T2" s="2027"/>
      <c r="U2" s="2027"/>
      <c r="V2" s="2027"/>
    </row>
    <row r="3" spans="1:22" ht="14.25">
      <c r="A3" s="3361" t="s">
        <v>298</v>
      </c>
      <c r="B3" s="3362"/>
      <c r="C3" s="3362"/>
      <c r="D3" s="3362"/>
      <c r="E3" s="3362"/>
      <c r="F3" s="3362"/>
      <c r="G3" s="3362"/>
      <c r="H3" s="3362"/>
      <c r="I3" s="3362"/>
      <c r="J3" s="2028"/>
      <c r="K3" s="2027"/>
      <c r="L3" s="2027"/>
      <c r="M3" s="2027"/>
      <c r="N3" s="2027"/>
      <c r="O3" s="2027"/>
      <c r="P3" s="2027"/>
      <c r="Q3" s="2027"/>
      <c r="R3" s="2027"/>
      <c r="S3" s="2027"/>
      <c r="T3" s="2027"/>
      <c r="U3" s="2027"/>
      <c r="V3" s="2027"/>
    </row>
    <row r="4" spans="1:22" ht="14.25">
      <c r="A4" s="257" t="s">
        <v>299</v>
      </c>
      <c r="B4" s="258" t="s">
        <v>300</v>
      </c>
      <c r="C4" s="259" t="s">
        <v>3412</v>
      </c>
      <c r="D4" s="259" t="s">
        <v>3026</v>
      </c>
      <c r="E4" s="3333" t="s">
        <v>301</v>
      </c>
      <c r="F4" s="3334"/>
      <c r="G4" s="3334"/>
      <c r="H4" s="3334"/>
      <c r="I4" s="3363"/>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32" t="s">
        <v>302</v>
      </c>
      <c r="B5" s="3358">
        <v>25</v>
      </c>
      <c r="C5" s="3356"/>
      <c r="D5" s="3360"/>
      <c r="E5" s="260" t="s">
        <v>303</v>
      </c>
      <c r="F5" s="261"/>
      <c r="G5" s="261"/>
      <c r="H5" s="261"/>
      <c r="I5" s="262"/>
      <c r="J5" s="2028"/>
      <c r="K5" s="2027"/>
      <c r="L5" s="2027"/>
      <c r="M5" s="2027"/>
      <c r="N5" s="2027"/>
      <c r="O5" s="2027"/>
      <c r="P5" s="2027"/>
      <c r="Q5" s="2027"/>
      <c r="R5" s="2027"/>
      <c r="S5" s="2027"/>
      <c r="T5" s="2027"/>
      <c r="U5" s="2027"/>
      <c r="V5" s="2027"/>
    </row>
    <row r="6" spans="1:22" ht="14.25">
      <c r="A6" s="3332"/>
      <c r="B6" s="3358"/>
      <c r="C6" s="3359"/>
      <c r="D6" s="3360"/>
      <c r="E6" s="260" t="s">
        <v>304</v>
      </c>
      <c r="F6" s="261"/>
      <c r="G6" s="261"/>
      <c r="H6" s="261"/>
      <c r="I6" s="262"/>
      <c r="J6" s="2028"/>
      <c r="K6" s="2027"/>
      <c r="L6" s="2027"/>
      <c r="M6" s="2027"/>
      <c r="N6" s="2027"/>
      <c r="O6" s="2027"/>
      <c r="P6" s="2027"/>
      <c r="Q6" s="2027"/>
      <c r="R6" s="2027"/>
      <c r="S6" s="2027"/>
      <c r="T6" s="2027"/>
      <c r="U6" s="2027"/>
      <c r="V6" s="2027"/>
    </row>
    <row r="7" spans="1:22" ht="14.25">
      <c r="A7" s="3332"/>
      <c r="B7" s="3358"/>
      <c r="C7" s="3357"/>
      <c r="D7" s="3360"/>
      <c r="E7" s="260" t="s">
        <v>305</v>
      </c>
      <c r="F7" s="261"/>
      <c r="G7" s="261"/>
      <c r="H7" s="261"/>
      <c r="I7" s="262"/>
      <c r="J7" s="2028"/>
      <c r="K7" s="2027"/>
      <c r="L7" s="2027"/>
      <c r="M7" s="2027"/>
      <c r="N7" s="2027"/>
      <c r="O7" s="2027"/>
      <c r="P7" s="2027"/>
      <c r="Q7" s="2027"/>
      <c r="R7" s="2027"/>
      <c r="S7" s="2027"/>
      <c r="T7" s="2027"/>
      <c r="U7" s="2027"/>
      <c r="V7" s="2027"/>
    </row>
    <row r="8" spans="1:22" ht="14.25">
      <c r="A8" s="3332" t="s">
        <v>306</v>
      </c>
      <c r="B8" s="3358">
        <v>15</v>
      </c>
      <c r="C8" s="3356"/>
      <c r="D8" s="3360"/>
      <c r="E8" s="260" t="s">
        <v>307</v>
      </c>
      <c r="F8" s="261"/>
      <c r="G8" s="261"/>
      <c r="H8" s="261"/>
      <c r="I8" s="262"/>
      <c r="J8" s="2028"/>
      <c r="K8" s="2027"/>
      <c r="L8" s="2027"/>
      <c r="M8" s="2027"/>
      <c r="N8" s="2027"/>
      <c r="O8" s="2027"/>
      <c r="P8" s="2027"/>
      <c r="Q8" s="2027"/>
      <c r="R8" s="2027"/>
      <c r="S8" s="2027"/>
      <c r="T8" s="2027"/>
      <c r="U8" s="2027"/>
      <c r="V8" s="2027"/>
    </row>
    <row r="9" spans="1:22" ht="14.25">
      <c r="A9" s="3332"/>
      <c r="B9" s="3358"/>
      <c r="C9" s="3357"/>
      <c r="D9" s="3360"/>
      <c r="E9" s="260" t="s">
        <v>308</v>
      </c>
      <c r="F9" s="261"/>
      <c r="G9" s="261"/>
      <c r="H9" s="261"/>
      <c r="I9" s="262"/>
      <c r="J9" s="2028"/>
      <c r="K9" s="2027"/>
      <c r="L9" s="2027"/>
      <c r="M9" s="2027"/>
      <c r="N9" s="2027"/>
      <c r="O9" s="2027"/>
      <c r="P9" s="2027"/>
      <c r="Q9" s="2027"/>
      <c r="R9" s="2027"/>
      <c r="S9" s="2027"/>
      <c r="T9" s="2027"/>
      <c r="U9" s="2027"/>
      <c r="V9" s="2027"/>
    </row>
    <row r="10" spans="1:22" ht="14.25">
      <c r="A10" s="3332" t="s">
        <v>309</v>
      </c>
      <c r="B10" s="3358">
        <v>15</v>
      </c>
      <c r="C10" s="3356"/>
      <c r="D10" s="3360"/>
      <c r="E10" s="260" t="s">
        <v>310</v>
      </c>
      <c r="F10" s="261"/>
      <c r="G10" s="261"/>
      <c r="H10" s="261"/>
      <c r="I10" s="262"/>
      <c r="J10" s="2028"/>
      <c r="K10" s="2027"/>
      <c r="L10" s="2027"/>
      <c r="M10" s="2027"/>
      <c r="N10" s="2027"/>
      <c r="O10" s="2027"/>
      <c r="P10" s="2027"/>
      <c r="Q10" s="2027"/>
      <c r="R10" s="2027"/>
      <c r="S10" s="2027"/>
      <c r="T10" s="2027"/>
      <c r="U10" s="2027"/>
      <c r="V10" s="2027"/>
    </row>
    <row r="11" spans="1:22" ht="14.25">
      <c r="A11" s="3332"/>
      <c r="B11" s="3358"/>
      <c r="C11" s="3357"/>
      <c r="D11" s="3360"/>
      <c r="E11" s="260" t="s">
        <v>311</v>
      </c>
      <c r="F11" s="261"/>
      <c r="G11" s="261"/>
      <c r="H11" s="261"/>
      <c r="I11" s="262"/>
      <c r="J11" s="2028"/>
      <c r="K11" s="2027"/>
      <c r="L11" s="2027"/>
      <c r="M11" s="2027"/>
      <c r="N11" s="2027"/>
      <c r="O11" s="2027"/>
      <c r="P11" s="2027"/>
      <c r="Q11" s="2027"/>
      <c r="R11" s="2027"/>
      <c r="S11" s="2027"/>
      <c r="T11" s="2027"/>
      <c r="U11" s="2027"/>
      <c r="V11" s="2027"/>
    </row>
    <row r="12" spans="1:22" ht="14.25">
      <c r="A12" s="3332" t="s">
        <v>312</v>
      </c>
      <c r="B12" s="3358">
        <v>15</v>
      </c>
      <c r="C12" s="3356"/>
      <c r="D12" s="3360"/>
      <c r="E12" s="260" t="s">
        <v>313</v>
      </c>
      <c r="F12" s="261"/>
      <c r="G12" s="261"/>
      <c r="H12" s="261"/>
      <c r="I12" s="262"/>
      <c r="J12" s="2028"/>
      <c r="K12" s="2027"/>
      <c r="L12" s="2027"/>
      <c r="M12" s="2027"/>
      <c r="N12" s="2027"/>
      <c r="O12" s="2027"/>
      <c r="P12" s="2027"/>
      <c r="Q12" s="2027"/>
      <c r="R12" s="2027"/>
      <c r="S12" s="2027"/>
      <c r="T12" s="2027"/>
      <c r="U12" s="2027"/>
      <c r="V12" s="2027"/>
    </row>
    <row r="13" spans="1:22" ht="14.25">
      <c r="A13" s="3332"/>
      <c r="B13" s="3358"/>
      <c r="C13" s="3357"/>
      <c r="D13" s="3360"/>
      <c r="E13" s="260" t="s">
        <v>314</v>
      </c>
      <c r="F13" s="261"/>
      <c r="G13" s="261"/>
      <c r="H13" s="261"/>
      <c r="I13" s="262"/>
      <c r="J13" s="2028"/>
      <c r="K13" s="2027"/>
      <c r="L13" s="2027"/>
      <c r="M13" s="2027"/>
      <c r="N13" s="2027"/>
      <c r="O13" s="2027"/>
      <c r="P13" s="2027"/>
      <c r="Q13" s="2027"/>
      <c r="R13" s="2027"/>
      <c r="S13" s="2027"/>
      <c r="T13" s="2027"/>
      <c r="U13" s="2027"/>
      <c r="V13" s="2027"/>
    </row>
    <row r="14" spans="1:22" ht="14.25">
      <c r="A14" s="3332" t="s">
        <v>315</v>
      </c>
      <c r="B14" s="3358">
        <v>30</v>
      </c>
      <c r="C14" s="3356">
        <v>5</v>
      </c>
      <c r="D14" s="3360">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32"/>
      <c r="B15" s="3358"/>
      <c r="C15" s="3359"/>
      <c r="D15" s="3360"/>
      <c r="E15" s="260" t="s">
        <v>317</v>
      </c>
      <c r="F15" s="261"/>
      <c r="G15" s="261"/>
      <c r="H15" s="261"/>
      <c r="I15" s="262"/>
      <c r="J15" s="2028"/>
      <c r="K15" s="2027"/>
      <c r="L15" s="2027"/>
      <c r="M15" s="2027"/>
      <c r="N15" s="2027"/>
      <c r="O15" s="2027"/>
      <c r="P15" s="2027"/>
      <c r="Q15" s="2027"/>
      <c r="R15" s="2027"/>
      <c r="S15" s="2027"/>
      <c r="T15" s="2027"/>
      <c r="U15" s="2027"/>
      <c r="V15" s="2027"/>
    </row>
    <row r="16" spans="1:22" ht="14.25">
      <c r="A16" s="3332"/>
      <c r="B16" s="3358"/>
      <c r="C16" s="3357"/>
      <c r="D16" s="3360"/>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4926</v>
      </c>
      <c r="D19" s="270">
        <f ca="1">SUMIF(INDIRECT("'"&amp;D4&amp;"'"&amp;"!A:A"),结果表!B19,INDIRECT("'"&amp;D4&amp;"'"&amp;"!B:B"))</f>
        <v>4234</v>
      </c>
      <c r="E19" s="267" t="s">
        <v>323</v>
      </c>
      <c r="F19" s="268" t="s">
        <v>322</v>
      </c>
      <c r="G19" s="271">
        <f ca="1">ROUND(C19*$C$18+D19*$D$18,0)</f>
        <v>4580</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352</v>
      </c>
      <c r="D20" s="276">
        <f ca="1">SUMIF(INDIRECT("'"&amp;D4&amp;"'"&amp;"!A:A"),结果表!B20,INDIRECT("'"&amp;D4&amp;"'"&amp;"!B:B"))</f>
        <v>302</v>
      </c>
      <c r="E20" s="273"/>
      <c r="F20" s="274" t="s">
        <v>325</v>
      </c>
      <c r="G20" s="277">
        <f ca="1">ROUND(C20*$C$18+D20*$D$18,0)</f>
        <v>327</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313</v>
      </c>
      <c r="D21" s="151">
        <f ca="1">SUMIF(INDIRECT("'"&amp;D4&amp;"'"&amp;"!A:A"),结果表!B21,INDIRECT("'"&amp;D4&amp;"'"&amp;"!B:B"))</f>
        <v>269</v>
      </c>
      <c r="E21" s="273"/>
      <c r="F21" s="279" t="s">
        <v>327</v>
      </c>
      <c r="G21" s="281">
        <f ca="1">ROUND(C21*$C$18+D21*$D$18,0)</f>
        <v>291</v>
      </c>
      <c r="H21" s="1250" t="s">
        <v>326</v>
      </c>
      <c r="I21" s="310"/>
      <c r="J21" s="2027"/>
      <c r="K21" s="2027"/>
      <c r="L21" s="2027"/>
      <c r="M21" s="2027"/>
      <c r="N21" s="2027"/>
      <c r="O21" s="2027"/>
      <c r="P21" s="2027"/>
      <c r="Q21" s="2027"/>
      <c r="R21" s="2027"/>
      <c r="S21" s="2027"/>
      <c r="T21" s="2027"/>
      <c r="U21" s="2027"/>
      <c r="V21" s="2027"/>
    </row>
    <row r="22" spans="1:26" ht="15.75" thickBot="1">
      <c r="A22" s="126" t="s">
        <v>328</v>
      </c>
      <c r="B22" s="1251"/>
      <c r="C22" s="1252"/>
      <c r="D22" s="282">
        <f ca="1">IF(C19&lt;D19,D19/C19-1,C19/D19-1)</f>
        <v>0.16343882853094005</v>
      </c>
      <c r="E22" s="283"/>
      <c r="F22" s="284"/>
      <c r="G22" s="285">
        <f ca="1">ROUND(G19/('数据-汇总表'!D3/666.67),0)</f>
        <v>19</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38"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39"/>
      <c r="B25" s="1320" t="s">
        <v>331</v>
      </c>
      <c r="C25" s="289">
        <f>IF(B30=0,0,C30)</f>
        <v>0</v>
      </c>
      <c r="D25" s="290"/>
      <c r="E25" s="310"/>
      <c r="F25" s="310"/>
      <c r="G25" s="310"/>
      <c r="H25" s="310"/>
      <c r="I25" s="310"/>
      <c r="J25" s="2027"/>
      <c r="K25" s="1254" t="str">
        <f ca="1">项目基本情况!B16&amp;"国有建设用地使用权价格："&amp;O38&amp;"万元"</f>
        <v>出让国有建设用地使用权价格：4580万元</v>
      </c>
      <c r="L25" s="1255"/>
      <c r="M25" s="1255"/>
      <c r="N25" s="1255"/>
      <c r="O25" s="1256"/>
      <c r="P25" s="2027"/>
      <c r="Q25" s="2027"/>
      <c r="R25" s="2027"/>
      <c r="S25" s="2027"/>
      <c r="T25" s="2027"/>
      <c r="U25" s="2027"/>
      <c r="V25" s="2027"/>
    </row>
    <row r="26" spans="1:26" s="1253" customFormat="1" ht="18">
      <c r="A26" s="292" t="s">
        <v>332</v>
      </c>
      <c r="B26" s="293" t="s">
        <v>333</v>
      </c>
      <c r="C26" s="293" t="s">
        <v>334</v>
      </c>
      <c r="D26" s="294" t="s">
        <v>335</v>
      </c>
      <c r="E26" s="310"/>
      <c r="F26" s="310"/>
      <c r="G26" s="310"/>
      <c r="H26" s="310"/>
      <c r="I26" s="310"/>
      <c r="J26" s="2027"/>
      <c r="K26" s="1257" t="str">
        <f ca="1">"大写金额：人民币"&amp;NUMBERSTRING(INT(O38*10000),2)&amp;"元整"</f>
        <v>大写金额：人民币肆仟伍佰捌拾万元整</v>
      </c>
      <c r="L26" s="1251"/>
      <c r="M26" s="1251"/>
      <c r="N26" s="1251"/>
      <c r="O26" s="1250"/>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7" t="str">
        <f ca="1">"单位面积地价："&amp;M38&amp;"元/平方米"</f>
        <v>单位面积地价：291元/平方米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楼面地价：327元/平方米</v>
      </c>
      <c r="L28" s="1251"/>
      <c r="M28" s="1251"/>
      <c r="N28" s="1251"/>
      <c r="O28" s="1250"/>
      <c r="P28" s="2027"/>
      <c r="V28" s="2027"/>
    </row>
    <row r="29" spans="1:26" ht="18">
      <c r="A29" s="292"/>
      <c r="B29" s="293"/>
      <c r="C29" s="293"/>
      <c r="D29" s="294"/>
      <c r="E29" s="310"/>
      <c r="F29" s="310"/>
      <c r="G29" s="310"/>
      <c r="H29" s="310"/>
      <c r="I29" s="310"/>
      <c r="J29" s="2027"/>
      <c r="K29" s="1257" t="str">
        <f ca="1">IF(OR(项目基本情况!E8="抵押价格",项目基本情况!E8="已注销及未注销"),"抵押价格："&amp;O39&amp;"万元","——")</f>
        <v>抵押价格：4580万元</v>
      </c>
      <c r="L29" s="1251"/>
      <c r="M29" s="1251"/>
      <c r="N29" s="1251"/>
      <c r="O29" s="1250"/>
      <c r="P29" s="2027"/>
      <c r="V29" s="2027"/>
    </row>
    <row r="30" spans="1:26" ht="18.75" thickBot="1">
      <c r="A30" s="3153" t="s">
        <v>336</v>
      </c>
      <c r="B30" s="308"/>
      <c r="C30" s="308"/>
      <c r="D30" s="309"/>
      <c r="E30" s="3154" t="s">
        <v>2959</v>
      </c>
      <c r="F30" s="310"/>
      <c r="G30" s="310"/>
      <c r="H30" s="310"/>
      <c r="I30" s="310"/>
      <c r="J30" s="2027"/>
      <c r="K30" s="1257" t="str">
        <f ca="1">IF(K29="——","——","大写金额：人民币"&amp;NUMBERSTRING(INT(O39*10000),2)&amp;"元整")</f>
        <v>大写金额：人民币肆仟伍佰捌拾万元整</v>
      </c>
      <c r="L30" s="1251"/>
      <c r="M30" s="1251"/>
      <c r="N30" s="1251"/>
      <c r="O30" s="1250"/>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80" t="s">
        <v>1689</v>
      </c>
      <c r="C32" s="1381">
        <f ca="1">G19-C24</f>
        <v>4580</v>
      </c>
      <c r="D32" s="1382" t="s">
        <v>1690</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3" t="s">
        <v>1691</v>
      </c>
      <c r="C33" s="263">
        <f ca="1">ROUND(C32*10000/'数据-汇总表'!E3,0)</f>
        <v>327</v>
      </c>
      <c r="D33" s="1384" t="s">
        <v>1692</v>
      </c>
      <c r="E33" s="3338" t="s">
        <v>338</v>
      </c>
      <c r="F33" s="295" t="s">
        <v>339</v>
      </c>
      <c r="G33" s="296"/>
      <c r="H33" s="979"/>
      <c r="I33" s="1258"/>
      <c r="J33" s="2027"/>
      <c r="K33" s="1257" t="str">
        <f>IF(项目基本情况!E9="——","——","抵押净值："&amp;C46&amp;"万元")</f>
        <v>——</v>
      </c>
      <c r="L33" s="1251"/>
      <c r="M33" s="1251"/>
      <c r="N33" s="1251"/>
      <c r="O33" s="1250"/>
      <c r="P33" s="2027"/>
      <c r="V33" s="2027"/>
    </row>
    <row r="34" spans="1:26" s="1253" customFormat="1" ht="18.75" thickBot="1">
      <c r="A34" s="299"/>
      <c r="B34" s="1385" t="s">
        <v>1693</v>
      </c>
      <c r="C34" s="263">
        <f ca="1">ROUND(C32*10000/'数据-汇总表'!D3,0)</f>
        <v>291</v>
      </c>
      <c r="D34" s="1386" t="s">
        <v>1692</v>
      </c>
      <c r="E34" s="3379"/>
      <c r="F34" s="127" t="s">
        <v>341</v>
      </c>
      <c r="G34" s="298"/>
      <c r="H34" s="105"/>
      <c r="I34" s="310"/>
      <c r="J34" s="2027"/>
      <c r="K34" s="1260" t="str">
        <f>IF(K33="——","——","大写金额：人民币"&amp;NUMBERSTRING(INT(O41*10000),2)&amp;"元整")</f>
        <v>——</v>
      </c>
      <c r="L34" s="1261"/>
      <c r="M34" s="1261"/>
      <c r="N34" s="1261"/>
      <c r="O34" s="1262"/>
      <c r="P34" s="2027"/>
      <c r="Q34" s="291"/>
      <c r="R34" s="291"/>
      <c r="S34" s="291"/>
      <c r="T34" s="291"/>
      <c r="U34" s="291"/>
      <c r="V34" s="2027"/>
      <c r="W34" s="291"/>
      <c r="X34" s="291"/>
      <c r="Y34" s="291"/>
      <c r="Z34" s="291"/>
    </row>
    <row r="35" spans="1:26" ht="15.75" thickBot="1">
      <c r="A35" s="283"/>
      <c r="B35" s="1387"/>
      <c r="C35" s="1388">
        <f ca="1">ROUND(C32/('数据-汇总表'!D3/666.67),0)</f>
        <v>19</v>
      </c>
      <c r="D35" s="1389" t="s">
        <v>1694</v>
      </c>
      <c r="E35" s="3380"/>
      <c r="F35" s="300" t="s">
        <v>342</v>
      </c>
      <c r="G35" s="981"/>
      <c r="H35" s="980" t="s">
        <v>343</v>
      </c>
      <c r="I35" s="310"/>
      <c r="J35" s="2027"/>
      <c r="K35" s="3353" t="s">
        <v>350</v>
      </c>
      <c r="L35" s="3353" t="s">
        <v>351</v>
      </c>
      <c r="M35" s="1263" t="s">
        <v>352</v>
      </c>
      <c r="N35" s="3353" t="s">
        <v>353</v>
      </c>
      <c r="O35" s="3353" t="s">
        <v>354</v>
      </c>
      <c r="P35" s="2027"/>
      <c r="V35" s="2027"/>
    </row>
    <row r="36" spans="1:26" ht="16.5" customHeight="1">
      <c r="A36" s="302" t="s">
        <v>344</v>
      </c>
      <c r="B36" s="303" t="s">
        <v>333</v>
      </c>
      <c r="C36" s="304" t="s">
        <v>345</v>
      </c>
      <c r="D36" s="304" t="s">
        <v>346</v>
      </c>
      <c r="E36" s="305" t="s">
        <v>347</v>
      </c>
      <c r="F36" s="310"/>
      <c r="G36" s="310"/>
      <c r="H36" s="310"/>
      <c r="I36" s="310"/>
      <c r="J36" s="2029"/>
      <c r="K36" s="3354"/>
      <c r="L36" s="3354"/>
      <c r="M36" s="1265" t="s">
        <v>355</v>
      </c>
      <c r="N36" s="3354"/>
      <c r="O36" s="3354"/>
      <c r="P36" s="2027"/>
      <c r="V36" s="2027"/>
    </row>
    <row r="37" spans="1:26" ht="16.5" customHeight="1" thickBot="1">
      <c r="A37" s="1259" t="s">
        <v>348</v>
      </c>
      <c r="B37" s="306"/>
      <c r="C37" s="293"/>
      <c r="D37" s="293"/>
      <c r="E37" s="294"/>
      <c r="F37" s="310"/>
      <c r="G37" s="310"/>
      <c r="H37" s="310"/>
      <c r="I37" s="310"/>
      <c r="J37" s="2029"/>
      <c r="K37" s="3355"/>
      <c r="L37" s="3355"/>
      <c r="M37" s="1266"/>
      <c r="N37" s="3355"/>
      <c r="O37" s="3355"/>
      <c r="P37" s="2027"/>
      <c r="V37" s="2027"/>
    </row>
    <row r="38" spans="1:26" ht="16.5" customHeight="1" thickBot="1">
      <c r="A38" s="1259" t="s">
        <v>349</v>
      </c>
      <c r="B38" s="306"/>
      <c r="C38" s="293"/>
      <c r="D38" s="293"/>
      <c r="E38" s="294"/>
      <c r="F38" s="310"/>
      <c r="G38" s="310"/>
      <c r="H38" s="310"/>
      <c r="I38" s="310"/>
      <c r="J38" s="2029"/>
      <c r="K38" s="1267">
        <f>'数据-汇总表'!D3</f>
        <v>157370.63</v>
      </c>
      <c r="L38" s="1268">
        <f>'数据-汇总表'!E3</f>
        <v>140004.31000000006</v>
      </c>
      <c r="M38" s="1268">
        <f ca="1">C34</f>
        <v>291</v>
      </c>
      <c r="N38" s="1268">
        <f ca="1">C33</f>
        <v>327</v>
      </c>
      <c r="O38" s="1269">
        <f ca="1">C32</f>
        <v>4580</v>
      </c>
      <c r="P38" s="2027"/>
      <c r="V38" s="2027"/>
    </row>
    <row r="39" spans="1:26" ht="16.5" customHeight="1" thickBot="1">
      <c r="A39" s="1264"/>
      <c r="B39" s="307"/>
      <c r="C39" s="308"/>
      <c r="D39" s="308"/>
      <c r="E39" s="309"/>
      <c r="F39" s="310"/>
      <c r="G39" s="310"/>
      <c r="H39" s="310"/>
      <c r="I39" s="310"/>
      <c r="J39" s="2029"/>
      <c r="K39" s="3398" t="str">
        <f>MID(A44,3,LEN(A44)-2)</f>
        <v>抵押价格</v>
      </c>
      <c r="L39" s="3399"/>
      <c r="M39" s="3399"/>
      <c r="N39" s="3400"/>
      <c r="O39" s="1391">
        <f ca="1">C44</f>
        <v>4580</v>
      </c>
      <c r="P39" s="2027"/>
      <c r="V39" s="2027"/>
    </row>
    <row r="40" spans="1:26" ht="19.5" thickBot="1">
      <c r="A40" s="104" t="s">
        <v>873</v>
      </c>
      <c r="B40" s="310"/>
      <c r="C40" s="310"/>
      <c r="D40" s="310"/>
      <c r="E40" s="310"/>
      <c r="F40" s="310"/>
      <c r="G40" s="310"/>
      <c r="H40" s="310"/>
      <c r="I40" s="310"/>
      <c r="J40" s="2029"/>
      <c r="K40" s="3398" t="str">
        <f t="shared" ref="K40:K41" si="0">MID(A45,3,LEN(A45)-2)</f>
        <v/>
      </c>
      <c r="L40" s="3399"/>
      <c r="M40" s="3399"/>
      <c r="N40" s="3400"/>
      <c r="O40" s="1391" t="str">
        <f>C45</f>
        <v>——</v>
      </c>
      <c r="P40" s="2027"/>
      <c r="V40" s="2027"/>
    </row>
    <row r="41" spans="1:26" ht="16.5" thickBot="1">
      <c r="A41" s="311" t="s">
        <v>356</v>
      </c>
      <c r="B41" s="312"/>
      <c r="C41" s="313" t="s">
        <v>357</v>
      </c>
      <c r="D41" s="314" t="s">
        <v>358</v>
      </c>
      <c r="E41" s="314" t="s">
        <v>359</v>
      </c>
      <c r="F41" s="315" t="s">
        <v>360</v>
      </c>
      <c r="G41" s="310"/>
      <c r="H41" s="310"/>
      <c r="I41" s="310"/>
      <c r="J41" s="2029"/>
      <c r="K41" s="3398" t="str">
        <f t="shared" si="0"/>
        <v/>
      </c>
      <c r="L41" s="3399"/>
      <c r="M41" s="3399"/>
      <c r="N41" s="3400"/>
      <c r="O41" s="1391" t="str">
        <f>C46</f>
        <v>——</v>
      </c>
      <c r="P41" s="2027"/>
      <c r="V41" s="2027"/>
    </row>
    <row r="42" spans="1:26" ht="29.25">
      <c r="A42" s="3340" t="s">
        <v>2068</v>
      </c>
      <c r="B42" s="3341"/>
      <c r="C42" s="263">
        <f ca="1">C32</f>
        <v>4580</v>
      </c>
      <c r="D42" s="316">
        <f ca="1">C33</f>
        <v>327</v>
      </c>
      <c r="E42" s="316">
        <f ca="1">C34</f>
        <v>291</v>
      </c>
      <c r="F42" s="317">
        <f ca="1">C35</f>
        <v>19</v>
      </c>
      <c r="G42" s="310"/>
      <c r="H42" s="310"/>
      <c r="I42" s="318"/>
      <c r="J42" s="2029"/>
      <c r="K42" s="1270" t="s">
        <v>361</v>
      </c>
      <c r="L42" s="2046" t="s">
        <v>362</v>
      </c>
      <c r="M42" s="1271" t="s">
        <v>363</v>
      </c>
      <c r="N42" s="2047" t="s">
        <v>364</v>
      </c>
      <c r="O42" s="2048" t="s">
        <v>365</v>
      </c>
      <c r="P42" s="2027"/>
      <c r="V42" s="2027"/>
    </row>
    <row r="43" spans="1:26" ht="18">
      <c r="A43" s="3351" t="s">
        <v>2731</v>
      </c>
      <c r="B43" s="3352"/>
      <c r="C43" s="263">
        <f>IF(H33="正常操作",G33+G34+G35,G34+G35)</f>
        <v>0</v>
      </c>
      <c r="D43" s="316" t="s">
        <v>43</v>
      </c>
      <c r="E43" s="316" t="s">
        <v>44</v>
      </c>
      <c r="F43" s="317" t="s">
        <v>44</v>
      </c>
      <c r="G43" s="2889" t="s">
        <v>952</v>
      </c>
      <c r="H43" s="310"/>
      <c r="I43" s="318"/>
      <c r="J43" s="2029"/>
      <c r="K43" s="1272" t="str">
        <f>C4</f>
        <v>比较法-工业</v>
      </c>
      <c r="L43" s="1273">
        <f ca="1">IF(L42="估价结果/万元",C19,C20)</f>
        <v>4926</v>
      </c>
      <c r="M43" s="1274">
        <f>C18</f>
        <v>0.5</v>
      </c>
      <c r="N43" s="1275">
        <f ca="1">IF(N42="测算结果/万元",G19,G20)</f>
        <v>4580</v>
      </c>
      <c r="O43" s="1276">
        <f ca="1">IF(O42="最终结果/万元",C32,C33)</f>
        <v>4580</v>
      </c>
      <c r="P43" s="2027"/>
      <c r="V43" s="2027"/>
    </row>
    <row r="44" spans="1:26" ht="30.75" thickBot="1">
      <c r="A44" s="3340" t="str">
        <f>IF(OR(项目基本情况!E8="抵押价格",项目基本情况!E8="已注销及未注销"),"3.抵押价格","——")</f>
        <v>3.抵押价格</v>
      </c>
      <c r="B44" s="3341"/>
      <c r="C44" s="263">
        <f ca="1">IF(A44="——","——",C42-C43)</f>
        <v>4580</v>
      </c>
      <c r="D44" s="316">
        <f ca="1">ROUND(C44*10000/'数据-汇总表'!E3,0)</f>
        <v>327</v>
      </c>
      <c r="E44" s="316">
        <f ca="1">ROUND(C44*10000/'数据-汇总表'!D3,0)</f>
        <v>291</v>
      </c>
      <c r="F44" s="317">
        <f ca="1">ROUND(C44/('数据-汇总表'!D3/666.67),0)</f>
        <v>19</v>
      </c>
      <c r="G44" s="310"/>
      <c r="H44" s="310"/>
      <c r="I44" s="318"/>
      <c r="J44" s="2029"/>
      <c r="K44" s="1277" t="str">
        <f>D4</f>
        <v>剩余法-待开发</v>
      </c>
      <c r="L44" s="1278">
        <f ca="1">IF(L42="估价结果/万元",D19,D20)</f>
        <v>4234</v>
      </c>
      <c r="M44" s="1279">
        <f>D18</f>
        <v>0.5</v>
      </c>
      <c r="N44" s="1280"/>
      <c r="O44" s="1281"/>
      <c r="P44" s="2027"/>
      <c r="V44" s="2027"/>
    </row>
    <row r="45" spans="1:26" ht="15">
      <c r="A45" s="3346" t="str">
        <f>IF(项目基本情况!E8="已注销及未注销","4.抵押担保权已注销时的抵押价格",IF(项目基本情况!E8="已注销","3.抵押担保权已注销时的抵押价格","——"))</f>
        <v>——</v>
      </c>
      <c r="B45" s="334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42" t="str">
        <f>IF(项目基本情况!E9="抵押净值",IF(A45="——","4.抵押净值","5.抵押净值"),"——")</f>
        <v>——</v>
      </c>
      <c r="B46" s="3343"/>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2"/>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87" t="s">
        <v>374</v>
      </c>
      <c r="B63" s="3388"/>
      <c r="C63" s="3389"/>
      <c r="D63" s="340">
        <f ca="1">ROUND(C42*F63,0)</f>
        <v>2748</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348" t="s">
        <v>378</v>
      </c>
      <c r="B64" s="3349"/>
      <c r="C64" s="3349"/>
      <c r="D64" s="3349"/>
      <c r="E64" s="3349"/>
      <c r="F64" s="3349"/>
      <c r="G64" s="3350"/>
      <c r="H64" s="1287"/>
      <c r="I64" s="947"/>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7"/>
      <c r="I65" s="947"/>
      <c r="J65" s="1989"/>
      <c r="K65" s="1288"/>
      <c r="L65" s="1289"/>
      <c r="M65" s="1289"/>
      <c r="N65" s="1321" t="s">
        <v>379</v>
      </c>
      <c r="O65" s="1322"/>
      <c r="P65" s="1323"/>
      <c r="Q65" s="2027"/>
      <c r="R65" s="2027"/>
      <c r="S65" s="2027"/>
      <c r="T65" s="2027"/>
      <c r="U65" s="2027"/>
      <c r="V65" s="2027"/>
    </row>
    <row r="66" spans="1:22" ht="25.5">
      <c r="A66" s="3344" t="s">
        <v>386</v>
      </c>
      <c r="B66" s="3345"/>
      <c r="C66" s="3345"/>
      <c r="D66" s="260">
        <f ca="1">IF(H66="情况1",0,IF(H66="情况2",D70,IF(H66="情况3",D71,IF(H66="情况4",D72))))</f>
        <v>147</v>
      </c>
      <c r="E66" s="992" t="str">
        <f>IF(H66="情况4","(销售额-原购置价)×税（费）率","销售额×税（费）率")</f>
        <v>销售额×税（费）率</v>
      </c>
      <c r="F66" s="349">
        <f>IF(H66="情况1","免征",'数据-取费表'!B41)</f>
        <v>5.6000000000000001E-2</v>
      </c>
      <c r="G66" s="350" t="s">
        <v>387</v>
      </c>
      <c r="H66" s="191" t="s">
        <v>388</v>
      </c>
      <c r="I66" s="1287"/>
      <c r="J66" s="2033"/>
      <c r="K66" s="1290">
        <v>1</v>
      </c>
      <c r="L66" s="3402" t="s">
        <v>385</v>
      </c>
      <c r="M66" s="3403"/>
      <c r="N66" s="2481"/>
      <c r="O66" s="2482"/>
      <c r="P66" s="2483"/>
      <c r="Q66" s="2027"/>
      <c r="R66" s="2027"/>
      <c r="S66" s="2027"/>
      <c r="T66" s="2027"/>
      <c r="U66" s="2027"/>
      <c r="V66" s="2027"/>
    </row>
    <row r="67" spans="1:22" ht="25.5" customHeight="1">
      <c r="A67" s="351" t="s">
        <v>390</v>
      </c>
      <c r="B67" s="3335" t="s">
        <v>391</v>
      </c>
      <c r="C67" s="3335"/>
      <c r="D67" s="352">
        <v>0</v>
      </c>
      <c r="E67" s="41" t="s">
        <v>392</v>
      </c>
      <c r="F67" s="62" t="s">
        <v>21</v>
      </c>
      <c r="G67" s="3390"/>
      <c r="H67" s="310"/>
      <c r="I67" s="1291"/>
      <c r="J67" s="2034"/>
      <c r="K67" s="1975">
        <v>2</v>
      </c>
      <c r="L67" s="3401" t="s">
        <v>389</v>
      </c>
      <c r="M67" s="3401"/>
      <c r="N67" s="1324">
        <f>'数据-取费表'!B2</f>
        <v>43244</v>
      </c>
      <c r="O67" s="1324"/>
      <c r="P67" s="1324"/>
      <c r="Q67" s="2027"/>
      <c r="R67" s="2027"/>
      <c r="S67" s="2027"/>
      <c r="T67" s="2027"/>
      <c r="U67" s="2027"/>
      <c r="V67" s="2027"/>
    </row>
    <row r="68" spans="1:22" ht="25.5" customHeight="1">
      <c r="A68" s="353"/>
      <c r="B68" s="3335" t="s">
        <v>394</v>
      </c>
      <c r="C68" s="3335"/>
      <c r="D68" s="354"/>
      <c r="E68" s="77"/>
      <c r="F68" s="355"/>
      <c r="G68" s="3391"/>
      <c r="H68" s="310"/>
      <c r="I68" s="1291"/>
      <c r="J68" s="2034"/>
      <c r="K68" s="1975">
        <v>3</v>
      </c>
      <c r="L68" s="3401" t="s">
        <v>393</v>
      </c>
      <c r="M68" s="3401"/>
      <c r="N68" s="1292">
        <f ca="1">C42</f>
        <v>4580</v>
      </c>
      <c r="O68" s="1292"/>
      <c r="P68" s="1292"/>
      <c r="Q68" s="2027"/>
      <c r="R68" s="2027"/>
      <c r="S68" s="2027"/>
      <c r="T68" s="2027"/>
      <c r="U68" s="2027"/>
      <c r="V68" s="2027"/>
    </row>
    <row r="69" spans="1:22" ht="12" customHeight="1">
      <c r="A69" s="356"/>
      <c r="B69" s="3335" t="s">
        <v>395</v>
      </c>
      <c r="C69" s="3335"/>
      <c r="D69" s="357"/>
      <c r="E69" s="73"/>
      <c r="F69" s="355"/>
      <c r="G69" s="3392"/>
      <c r="H69" s="310"/>
      <c r="I69" s="1291"/>
      <c r="J69" s="2034"/>
      <c r="K69" s="1293">
        <v>4</v>
      </c>
      <c r="L69" s="3406" t="s">
        <v>2884</v>
      </c>
      <c r="M69" s="3407"/>
      <c r="N69" s="1294">
        <f ca="1">C44</f>
        <v>4580</v>
      </c>
      <c r="O69" s="1294"/>
      <c r="P69" s="1294"/>
      <c r="Q69" s="2027"/>
      <c r="R69" s="2027"/>
      <c r="S69" s="2027"/>
      <c r="T69" s="2027"/>
      <c r="U69" s="2027"/>
      <c r="V69" s="2027"/>
    </row>
    <row r="70" spans="1:22" ht="24" customHeight="1">
      <c r="A70" s="358" t="s">
        <v>396</v>
      </c>
      <c r="B70" s="3335" t="s">
        <v>397</v>
      </c>
      <c r="C70" s="3335"/>
      <c r="D70" s="357">
        <f ca="1">ROUND(D63*'数据-取费表'!B41/(1+'数据-取费表'!C42),0)</f>
        <v>147</v>
      </c>
      <c r="E70" s="17" t="s">
        <v>398</v>
      </c>
      <c r="F70" s="359">
        <f>'数据-取费表'!B41</f>
        <v>5.6000000000000001E-2</v>
      </c>
      <c r="G70" s="360"/>
      <c r="H70" s="310"/>
      <c r="I70" s="1291"/>
      <c r="J70" s="2034"/>
      <c r="K70" s="3085"/>
      <c r="L70" s="3086"/>
      <c r="M70" s="3086"/>
      <c r="N70" s="3087" t="s">
        <v>2889</v>
      </c>
      <c r="O70" s="3086"/>
      <c r="P70" s="3088"/>
      <c r="Q70" s="2027"/>
      <c r="R70" s="2027"/>
      <c r="S70" s="2027"/>
      <c r="T70" s="2027"/>
      <c r="U70" s="2027"/>
      <c r="V70" s="2027"/>
    </row>
    <row r="71" spans="1:22" ht="12" customHeight="1">
      <c r="A71" s="358" t="s">
        <v>404</v>
      </c>
      <c r="B71" s="3336" t="s">
        <v>405</v>
      </c>
      <c r="C71" s="3337"/>
      <c r="D71" s="357">
        <f ca="1">ROUND(D63*'数据-取费表'!B41/(1+'数据-取费表'!C42),0)</f>
        <v>147</v>
      </c>
      <c r="E71" s="17" t="s">
        <v>398</v>
      </c>
      <c r="F71" s="359">
        <f>'数据-取费表'!B41</f>
        <v>5.6000000000000001E-2</v>
      </c>
      <c r="G71" s="360"/>
      <c r="H71" s="310"/>
      <c r="I71" s="1291"/>
      <c r="J71" s="2034"/>
      <c r="K71" s="3084" t="s">
        <v>399</v>
      </c>
      <c r="L71" s="3408" t="s">
        <v>400</v>
      </c>
      <c r="M71" s="3408"/>
      <c r="N71" s="3084" t="s">
        <v>401</v>
      </c>
      <c r="O71" s="3084" t="s">
        <v>402</v>
      </c>
      <c r="P71" s="3084" t="s">
        <v>403</v>
      </c>
      <c r="Q71" s="2027"/>
      <c r="R71" s="2027"/>
      <c r="S71" s="2027"/>
      <c r="T71" s="2027"/>
      <c r="U71" s="2027"/>
      <c r="V71" s="2027"/>
    </row>
    <row r="72" spans="1:22" ht="12" customHeight="1">
      <c r="A72" s="358" t="s">
        <v>407</v>
      </c>
      <c r="B72" s="3336" t="s">
        <v>408</v>
      </c>
      <c r="C72" s="3337"/>
      <c r="D72" s="357">
        <f ca="1">C86</f>
        <v>35</v>
      </c>
      <c r="E72" s="73" t="s">
        <v>409</v>
      </c>
      <c r="F72" s="359">
        <f>'数据-取费表'!B41</f>
        <v>5.6000000000000001E-2</v>
      </c>
      <c r="G72" s="360"/>
      <c r="H72" s="1297"/>
      <c r="I72" s="1291"/>
      <c r="J72" s="2034"/>
      <c r="K72" s="1975">
        <v>1</v>
      </c>
      <c r="L72" s="3383" t="s">
        <v>406</v>
      </c>
      <c r="M72" s="3383"/>
      <c r="N72" s="1295">
        <f ca="1">D66</f>
        <v>147</v>
      </c>
      <c r="O72" s="1858" t="str">
        <f>E66</f>
        <v>销售额×税（费）率</v>
      </c>
      <c r="P72" s="1296">
        <f>F66</f>
        <v>5.6000000000000001E-2</v>
      </c>
      <c r="Q72" s="2027"/>
      <c r="R72" s="2027"/>
      <c r="S72" s="2027"/>
      <c r="T72" s="2027"/>
      <c r="U72" s="2027"/>
      <c r="V72" s="2027"/>
    </row>
    <row r="73" spans="1:22" ht="24" customHeight="1">
      <c r="A73" s="3377" t="s">
        <v>411</v>
      </c>
      <c r="B73" s="3345"/>
      <c r="C73" s="3345"/>
      <c r="D73" s="361">
        <f>IF(H73="个人住宅",0,ROUND(D63*I73,0))</f>
        <v>0</v>
      </c>
      <c r="E73" s="17" t="s">
        <v>412</v>
      </c>
      <c r="F73" s="359" t="str">
        <f>IF(H73="正常",I73,"免征")</f>
        <v>免征</v>
      </c>
      <c r="G73" s="360"/>
      <c r="H73" s="191" t="s">
        <v>2456</v>
      </c>
      <c r="I73" s="359">
        <f>'数据-取费表'!B49</f>
        <v>5.0000000000000001E-4</v>
      </c>
      <c r="J73" s="2034"/>
      <c r="K73" s="1975">
        <v>2</v>
      </c>
      <c r="L73" s="3383" t="s">
        <v>410</v>
      </c>
      <c r="M73" s="3383"/>
      <c r="N73" s="1295">
        <f t="shared" ref="N73:P74" si="1">D73</f>
        <v>0</v>
      </c>
      <c r="O73" s="1858" t="str">
        <f t="shared" si="1"/>
        <v>销售额×税（费）率</v>
      </c>
      <c r="P73" s="1296" t="str">
        <f t="shared" si="1"/>
        <v>免征</v>
      </c>
      <c r="Q73" s="2027"/>
      <c r="R73" s="2027"/>
      <c r="S73" s="2027"/>
      <c r="T73" s="2027"/>
      <c r="U73" s="2027"/>
      <c r="V73" s="2027"/>
    </row>
    <row r="74" spans="1:22" ht="24.75">
      <c r="A74" s="3377" t="s">
        <v>415</v>
      </c>
      <c r="B74" s="3345"/>
      <c r="C74" s="3345"/>
      <c r="D74" s="361">
        <f ca="1">IF(H74="个人住宅",D75,D76)</f>
        <v>900</v>
      </c>
      <c r="E74" s="17" t="s">
        <v>416</v>
      </c>
      <c r="F74" s="359" t="str">
        <f>IF(H74="正常",F76,"免征")</f>
        <v>——</v>
      </c>
      <c r="G74" s="982" t="s">
        <v>417</v>
      </c>
      <c r="H74" s="362" t="s">
        <v>413</v>
      </c>
      <c r="I74" s="42"/>
      <c r="J74" s="2034"/>
      <c r="K74" s="1975">
        <v>3</v>
      </c>
      <c r="L74" s="3383" t="s">
        <v>414</v>
      </c>
      <c r="M74" s="3383"/>
      <c r="N74" s="1295">
        <f t="shared" ca="1" si="1"/>
        <v>900</v>
      </c>
      <c r="O74" s="1858" t="str">
        <f t="shared" si="1"/>
        <v>增值额×税（费）率</v>
      </c>
      <c r="P74" s="1298" t="str">
        <f t="shared" si="1"/>
        <v>——</v>
      </c>
      <c r="Q74" s="2027"/>
      <c r="R74" s="2027"/>
      <c r="S74" s="2027"/>
      <c r="T74" s="2027"/>
      <c r="U74" s="2027"/>
      <c r="V74" s="2027"/>
    </row>
    <row r="75" spans="1:22" ht="24">
      <c r="A75" s="358" t="s">
        <v>418</v>
      </c>
      <c r="B75" s="3333" t="s">
        <v>419</v>
      </c>
      <c r="C75" s="3363"/>
      <c r="D75" s="363">
        <v>0</v>
      </c>
      <c r="E75" s="41" t="s">
        <v>420</v>
      </c>
      <c r="F75" s="364"/>
      <c r="G75" s="360"/>
      <c r="H75" s="42"/>
      <c r="I75" s="42"/>
      <c r="J75" s="2034"/>
      <c r="K75" s="3077">
        <f>IF(H77="非个人房产","",4)</f>
        <v>4</v>
      </c>
      <c r="L75" s="3383" t="str">
        <f>IF(H77="非个人房产","——","个人所得税")</f>
        <v>个人所得税</v>
      </c>
      <c r="M75" s="3383"/>
      <c r="N75" s="1299">
        <f ca="1">D77</f>
        <v>27</v>
      </c>
      <c r="O75" s="1871" t="str">
        <f>E77</f>
        <v>销售额×税（费）率</v>
      </c>
      <c r="P75" s="1300">
        <f>F77</f>
        <v>0.01</v>
      </c>
      <c r="Q75" s="2027"/>
      <c r="R75" s="2027"/>
      <c r="S75" s="2027"/>
      <c r="T75" s="2027"/>
      <c r="U75" s="2027"/>
      <c r="V75" s="2027"/>
    </row>
    <row r="76" spans="1:22" ht="24.75">
      <c r="A76" s="358" t="s">
        <v>396</v>
      </c>
      <c r="B76" s="3333" t="s">
        <v>422</v>
      </c>
      <c r="C76" s="3334"/>
      <c r="D76" s="361">
        <f ca="1">IF(H76="转让取得",C99,C115)</f>
        <v>900</v>
      </c>
      <c r="E76" s="17" t="s">
        <v>423</v>
      </c>
      <c r="F76" s="53" t="s">
        <v>21</v>
      </c>
      <c r="G76" s="360"/>
      <c r="H76" s="362" t="s">
        <v>424</v>
      </c>
      <c r="I76" s="42"/>
      <c r="J76" s="2034"/>
      <c r="K76" s="3077" t="str">
        <f>IF(项目基本情况!K6="上海银行",IF(K75="",4,K75+1),"")</f>
        <v/>
      </c>
      <c r="L76" s="3394" t="str">
        <f>IF(项目基本情况!K6="上海银行","其他处置费用","")</f>
        <v/>
      </c>
      <c r="M76" s="3395"/>
      <c r="N76" s="1295" t="str">
        <f>IF(项目基本情况!K6="上海银行",N89,"")</f>
        <v/>
      </c>
      <c r="O76" s="3396" t="str">
        <f>IF(项目基本情况!K6="上海银行","包含处置中涉及的律师、诉讼、拍卖、评估等费用","")</f>
        <v/>
      </c>
      <c r="P76" s="3397"/>
      <c r="Q76" s="2027"/>
      <c r="R76" s="2027"/>
      <c r="S76" s="2027"/>
      <c r="T76" s="2027"/>
      <c r="U76" s="2027"/>
      <c r="V76" s="2027"/>
    </row>
    <row r="77" spans="1:22" ht="26.25" thickBot="1">
      <c r="A77" s="3385" t="s">
        <v>426</v>
      </c>
      <c r="B77" s="3386"/>
      <c r="C77" s="3386"/>
      <c r="D77" s="365">
        <f ca="1">IF(H77="非个人房产","——",IF(H77="个人住宅",0,ROUND(D63*I77,0)))</f>
        <v>27</v>
      </c>
      <c r="E77" s="366" t="str">
        <f>IF(H77="非个人房产","——","销售额×税（费）率")</f>
        <v>销售额×税（费）率</v>
      </c>
      <c r="F77" s="367">
        <f>IF(H77="非个人房产","——",IF(H77="个人住宅","免征",I77))</f>
        <v>0.01</v>
      </c>
      <c r="G77" s="983" t="s">
        <v>417</v>
      </c>
      <c r="H77" s="362" t="s">
        <v>2885</v>
      </c>
      <c r="I77" s="368">
        <v>0.01</v>
      </c>
      <c r="J77" s="2034"/>
      <c r="K77" s="3384">
        <f>IF(AND(K75="",K76=""),4,IF(项目基本情况!K6="上海银行",K76+1,K75+1))</f>
        <v>5</v>
      </c>
      <c r="L77" s="3383" t="s">
        <v>2886</v>
      </c>
      <c r="M77" s="3083" t="s">
        <v>421</v>
      </c>
      <c r="N77" s="1301"/>
      <c r="O77" s="1302">
        <f ca="1">SUMIF(N72:N76,"&lt;9e307")</f>
        <v>1074</v>
      </c>
      <c r="P77" s="1303"/>
      <c r="Q77" s="3081">
        <f ca="1">O77/N69</f>
        <v>0.23449781659388647</v>
      </c>
      <c r="R77" s="2027"/>
      <c r="S77" s="2027"/>
      <c r="T77" s="2027"/>
      <c r="U77" s="2027"/>
      <c r="V77" s="2027"/>
    </row>
    <row r="78" spans="1:22" ht="12" customHeight="1">
      <c r="A78" s="1304"/>
      <c r="B78" s="310"/>
      <c r="C78" s="310"/>
      <c r="D78" s="310"/>
      <c r="E78" s="42"/>
      <c r="F78" s="42"/>
      <c r="G78" s="42"/>
      <c r="H78" s="1002"/>
      <c r="I78" s="310"/>
      <c r="J78" s="2034"/>
      <c r="K78" s="3384"/>
      <c r="L78" s="3383"/>
      <c r="M78" s="3083" t="s">
        <v>425</v>
      </c>
      <c r="N78" s="1301"/>
      <c r="O78" s="1302" t="str">
        <f ca="1">NUMBERSTRING(INT(O77*10000),2)&amp;"元整"</f>
        <v>壹仟零柒拾肆万元整</v>
      </c>
      <c r="P78" s="1303"/>
      <c r="Q78" s="2027"/>
      <c r="R78" s="2027"/>
      <c r="S78" s="2027"/>
      <c r="T78" s="2027"/>
      <c r="U78" s="2027"/>
      <c r="V78" s="2027"/>
    </row>
    <row r="79" spans="1:22" ht="13.5" thickBot="1">
      <c r="A79" s="3378" t="s">
        <v>427</v>
      </c>
      <c r="B79" s="3378"/>
      <c r="C79" s="3378"/>
      <c r="D79" s="3378"/>
      <c r="E79" s="3378"/>
      <c r="F79" s="42"/>
      <c r="G79" s="42"/>
      <c r="H79" s="1002"/>
      <c r="I79" s="310"/>
      <c r="J79" s="2034"/>
      <c r="K79" s="3404">
        <f>K77+1</f>
        <v>6</v>
      </c>
      <c r="L79" s="3383" t="s">
        <v>2887</v>
      </c>
      <c r="M79" s="3083" t="s">
        <v>421</v>
      </c>
      <c r="N79" s="1301"/>
      <c r="O79" s="1302">
        <f ca="1">N69-O77</f>
        <v>3506</v>
      </c>
      <c r="P79" s="1303"/>
      <c r="Q79" s="2027"/>
      <c r="R79" s="2027"/>
      <c r="S79" s="2027"/>
      <c r="T79" s="2027"/>
      <c r="U79" s="2027"/>
      <c r="V79" s="2027"/>
    </row>
    <row r="80" spans="1:22" ht="25.5">
      <c r="A80" s="3373" t="s">
        <v>428</v>
      </c>
      <c r="B80" s="3374"/>
      <c r="C80" s="993"/>
      <c r="D80" s="993" t="s">
        <v>429</v>
      </c>
      <c r="E80" s="369" t="s">
        <v>430</v>
      </c>
      <c r="F80" s="42"/>
      <c r="G80" s="42"/>
      <c r="H80" s="1002"/>
      <c r="I80" s="310"/>
      <c r="J80" s="2027"/>
      <c r="K80" s="3405"/>
      <c r="L80" s="3383"/>
      <c r="M80" s="3083" t="s">
        <v>425</v>
      </c>
      <c r="N80" s="1301"/>
      <c r="O80" s="1302" t="str">
        <f ca="1">NUMBERSTRING(INT(O79*10000),2)&amp;"元整"</f>
        <v>叁仟伍佰零陆万元整</v>
      </c>
      <c r="P80" s="1303"/>
      <c r="Q80" s="2027"/>
      <c r="R80" s="2027"/>
      <c r="S80" s="2027"/>
      <c r="T80" s="2027"/>
      <c r="U80" s="2027"/>
      <c r="V80" s="2027"/>
    </row>
    <row r="81" spans="1:26" ht="13.5" thickBot="1">
      <c r="A81" s="380" t="s">
        <v>1824</v>
      </c>
      <c r="B81" s="370" t="s">
        <v>431</v>
      </c>
      <c r="C81" s="371">
        <f ca="1">ROUND((C82+C83)/(1+'数据-取费表'!C42),0)</f>
        <v>2617</v>
      </c>
      <c r="D81" s="372"/>
      <c r="E81" s="373"/>
      <c r="F81" s="42"/>
      <c r="G81" s="42"/>
      <c r="H81" s="1002"/>
      <c r="I81" s="310"/>
      <c r="J81" s="2027"/>
      <c r="K81" s="3077">
        <f>K79+1</f>
        <v>7</v>
      </c>
      <c r="L81" s="3381" t="s">
        <v>2888</v>
      </c>
      <c r="M81" s="3382"/>
      <c r="N81" s="1305"/>
      <c r="O81" s="1306">
        <f ca="1">ROUND(O79*10000/'数据-汇总表'!E3,0)</f>
        <v>250</v>
      </c>
      <c r="P81" s="1307"/>
      <c r="Q81" s="2027"/>
      <c r="R81" s="2027"/>
      <c r="S81" s="2027"/>
      <c r="T81" s="2027"/>
      <c r="U81" s="2027"/>
      <c r="V81" s="2027"/>
    </row>
    <row r="82" spans="1:26" ht="13.5" thickTop="1">
      <c r="A82" s="374" t="s">
        <v>1825</v>
      </c>
      <c r="B82" s="375" t="s">
        <v>432</v>
      </c>
      <c r="C82" s="376">
        <f ca="1">D63</f>
        <v>2748</v>
      </c>
      <c r="D82" s="377" t="s">
        <v>19</v>
      </c>
      <c r="E82" s="378"/>
      <c r="F82" s="42"/>
      <c r="G82" s="42"/>
      <c r="H82" s="1002"/>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2"/>
      <c r="G83" s="42"/>
      <c r="H83" s="1002"/>
      <c r="I83" s="310"/>
      <c r="J83" s="2027"/>
      <c r="K83" s="3393" t="s">
        <v>2875</v>
      </c>
      <c r="L83" s="3089" t="s">
        <v>2876</v>
      </c>
      <c r="M83" s="3079">
        <f ca="1">IF(N69&gt;10000,N69*0.5%,IF(AND(N69&gt;1000,N69&lt;=10000),N69*1%,IF(AND(N69&gt;100,N69&lt;=1000),N69*3%,IF(AND(N69&gt;10,N69&lt;=100),N69*5%,N69*8%))))</f>
        <v>45.800000000000004</v>
      </c>
      <c r="N83" s="53">
        <f ca="1">ROUND(M83,1)</f>
        <v>45.8</v>
      </c>
      <c r="O83" s="3082"/>
      <c r="P83" s="2027"/>
      <c r="Q83" s="2027"/>
      <c r="R83" s="2027"/>
      <c r="S83" s="2027"/>
      <c r="T83" s="2027"/>
      <c r="U83" s="2027"/>
      <c r="V83" s="2027"/>
    </row>
    <row r="84" spans="1:26" ht="12.75">
      <c r="A84" s="380" t="s">
        <v>1827</v>
      </c>
      <c r="B84" s="381" t="s">
        <v>434</v>
      </c>
      <c r="C84" s="382">
        <v>2000</v>
      </c>
      <c r="D84" s="383" t="s">
        <v>19</v>
      </c>
      <c r="E84" s="3118" t="s">
        <v>2931</v>
      </c>
      <c r="F84" s="42"/>
      <c r="G84" s="42"/>
      <c r="H84" s="1002"/>
      <c r="I84" s="310"/>
      <c r="J84" s="2027"/>
      <c r="K84" s="3393"/>
      <c r="L84" s="3089" t="s">
        <v>2877</v>
      </c>
      <c r="M84" s="3079">
        <f ca="1">IF(N69&gt;2000,N69*0.5%,IF(AND(N69&gt;1000,N69&lt;=2000),N69*0.6%,IF(AND(N69&gt;500,N69&lt;=1000),N69*0.7%,IF(AND(N69&gt;200,N69&lt;=500),N69*0.8%,IF(AND(N69&gt;100,N69&lt;=200),N69*0.9%,IF(AND(N69&gt;50,N69&lt;=100),N69*1%,IF(AND(N69&gt;20,N69&lt;=50),N69*1.5%,IF(AND(N69&gt;10,N69&lt;=20),N69*2%,IF(AND(N69&gt;1,N69&lt;=10),N69*2.5%)))))))))</f>
        <v>22.900000000000002</v>
      </c>
      <c r="N84" s="53">
        <f t="shared" ref="N84:N85" ca="1" si="2">ROUND(M84,1)</f>
        <v>22.9</v>
      </c>
      <c r="O84" s="2027" t="s">
        <v>2878</v>
      </c>
      <c r="P84" s="2027"/>
      <c r="Q84" s="2027"/>
      <c r="R84" s="2027"/>
      <c r="S84" s="2027"/>
      <c r="T84" s="2027"/>
      <c r="U84" s="2027"/>
      <c r="V84" s="2027"/>
    </row>
    <row r="85" spans="1:26" ht="12.75">
      <c r="A85" s="380" t="s">
        <v>1828</v>
      </c>
      <c r="B85" s="381" t="s">
        <v>435</v>
      </c>
      <c r="C85" s="384">
        <f ca="1">C81-C84</f>
        <v>617</v>
      </c>
      <c r="D85" s="377" t="s">
        <v>19</v>
      </c>
      <c r="E85" s="378"/>
      <c r="F85" s="42"/>
      <c r="G85" s="42"/>
      <c r="H85" s="1002"/>
      <c r="I85" s="310"/>
      <c r="J85" s="2027"/>
      <c r="K85" s="3393"/>
      <c r="L85" s="3089" t="s">
        <v>2879</v>
      </c>
      <c r="M85" s="3079">
        <f ca="1">IF(N69&gt;1000,N69*0.1%,IF(AND(N69&gt;500,N69&lt;=1000),N69*0.5%,IF(AND(N69&gt;50,N69&lt;=500),N69*1%,IF(AND(N69&gt;1,N69&lt;=50),N69*1.5%))))</f>
        <v>4.58</v>
      </c>
      <c r="N85" s="53">
        <f t="shared" ca="1" si="2"/>
        <v>4.5999999999999996</v>
      </c>
      <c r="O85" s="2027" t="s">
        <v>2878</v>
      </c>
      <c r="P85" s="2027"/>
      <c r="Q85" s="2027"/>
      <c r="R85" s="2027"/>
      <c r="S85" s="2027"/>
      <c r="T85" s="2027"/>
      <c r="U85" s="2027"/>
      <c r="V85" s="2027"/>
    </row>
    <row r="86" spans="1:26" ht="13.5" thickBot="1">
      <c r="A86" s="385" t="s">
        <v>1829</v>
      </c>
      <c r="B86" s="386" t="s">
        <v>436</v>
      </c>
      <c r="C86" s="387">
        <f ca="1">IF(C85&lt;=0,0,ROUND(C85*D86,0))</f>
        <v>35</v>
      </c>
      <c r="D86" s="388">
        <f>'数据-取费表'!B41</f>
        <v>5.6000000000000001E-2</v>
      </c>
      <c r="E86" s="389"/>
      <c r="F86" s="42"/>
      <c r="G86" s="42"/>
      <c r="H86" s="1002"/>
      <c r="I86" s="310"/>
      <c r="J86" s="2027"/>
      <c r="K86" s="3393"/>
      <c r="L86" s="3089" t="s">
        <v>2880</v>
      </c>
      <c r="M86" s="3079">
        <f ca="1">N69*0.5%</f>
        <v>22.900000000000002</v>
      </c>
      <c r="N86" s="53">
        <f ca="1">IF(M86&gt;0.5,0.5,ROUND(M86,0))</f>
        <v>0.5</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0"/>
      <c r="J87" s="2027"/>
      <c r="K87" s="3393"/>
      <c r="L87" s="3089" t="s">
        <v>2882</v>
      </c>
      <c r="M87" s="3079">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82"/>
      <c r="P87" s="310"/>
      <c r="Q87" s="2027"/>
      <c r="R87" s="2027"/>
      <c r="S87" s="2027"/>
      <c r="T87" s="2027"/>
      <c r="U87" s="2027"/>
      <c r="V87" s="2027"/>
      <c r="W87" s="291"/>
      <c r="X87" s="291"/>
      <c r="Y87" s="291"/>
      <c r="Z87" s="291"/>
    </row>
    <row r="88" spans="1:26" s="1313" customFormat="1" ht="15" thickBot="1">
      <c r="A88" s="3375" t="s">
        <v>437</v>
      </c>
      <c r="B88" s="3376"/>
      <c r="C88" s="3376"/>
      <c r="D88" s="3376"/>
      <c r="E88" s="3376"/>
      <c r="F88" s="3376"/>
      <c r="G88" s="3376"/>
      <c r="H88" s="3376"/>
      <c r="I88" s="1314"/>
      <c r="J88" s="2035"/>
      <c r="K88" s="3393"/>
      <c r="L88" s="3089" t="s">
        <v>2883</v>
      </c>
      <c r="M88" s="3079">
        <f ca="1">IF(N69&gt;10000,N69*0.5%,IF(AND(N69&gt;5000,N69&lt;=10000),N69*1%,IF(AND(N69&gt;1000,N69&lt;=5000),N69*2%,IF(AND(N69&gt;200,N69&lt;=1000),N69*3%,N69*5%))))</f>
        <v>91.600000000000009</v>
      </c>
      <c r="N88" s="53">
        <f ca="1">ROUND(M88,1)</f>
        <v>91.6</v>
      </c>
      <c r="O88" s="3082"/>
      <c r="P88" s="11"/>
      <c r="Q88" s="2032"/>
      <c r="R88" s="2032"/>
      <c r="S88" s="2032"/>
      <c r="T88" s="2032"/>
      <c r="U88" s="2032"/>
      <c r="V88" s="2032"/>
      <c r="W88" s="2036"/>
      <c r="X88" s="2036"/>
      <c r="Y88" s="2036"/>
      <c r="Z88" s="2036"/>
    </row>
    <row r="89" spans="1:26" s="1313" customFormat="1" ht="14.25">
      <c r="A89" s="3373" t="s">
        <v>428</v>
      </c>
      <c r="B89" s="3374"/>
      <c r="C89" s="993"/>
      <c r="D89" s="993" t="s">
        <v>429</v>
      </c>
      <c r="E89" s="390" t="s">
        <v>438</v>
      </c>
      <c r="F89" s="391"/>
      <c r="G89" s="391"/>
      <c r="H89" s="392"/>
      <c r="I89" s="1315"/>
      <c r="J89" s="2037"/>
      <c r="K89" s="3393"/>
      <c r="L89" s="3089" t="s">
        <v>27</v>
      </c>
      <c r="M89" s="3080"/>
      <c r="N89" s="53">
        <f ca="1">ROUND(SUM(N83:N88),0)</f>
        <v>168</v>
      </c>
      <c r="O89" s="3090">
        <f ca="1">N89/N69</f>
        <v>3.6681222707423577E-2</v>
      </c>
      <c r="P89" s="2032"/>
      <c r="Q89" s="2032"/>
      <c r="R89" s="2032"/>
      <c r="S89" s="2032"/>
      <c r="T89" s="2032"/>
      <c r="U89" s="2032"/>
      <c r="V89" s="2032"/>
      <c r="W89" s="2036"/>
      <c r="X89" s="2036"/>
      <c r="Y89" s="2036"/>
      <c r="Z89" s="2036"/>
    </row>
    <row r="90" spans="1:26" s="1313" customFormat="1" ht="14.25">
      <c r="A90" s="380" t="s">
        <v>1824</v>
      </c>
      <c r="B90" s="381" t="s">
        <v>439</v>
      </c>
      <c r="C90" s="384">
        <f ca="1">ROUND(D63/(1+'数据-取费表'!C42),0)</f>
        <v>2617</v>
      </c>
      <c r="D90" s="377" t="s">
        <v>19</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1830</v>
      </c>
      <c r="B91" s="347" t="s">
        <v>440</v>
      </c>
      <c r="C91" s="384">
        <f ca="1">C92+C96</f>
        <v>2577</v>
      </c>
      <c r="D91" s="377" t="s">
        <v>19</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1833</v>
      </c>
      <c r="B94" s="399" t="s">
        <v>446</v>
      </c>
      <c r="C94" s="377">
        <f>IF(F93="购房发票",ROUND(C93*H93*5%,0),0)</f>
        <v>500</v>
      </c>
      <c r="D94" s="400">
        <v>0.05</v>
      </c>
      <c r="E94" s="3336" t="s">
        <v>447</v>
      </c>
      <c r="F94" s="3335"/>
      <c r="G94" s="3335"/>
      <c r="H94" s="3372"/>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1835</v>
      </c>
      <c r="B96" s="375" t="s">
        <v>450</v>
      </c>
      <c r="C96" s="404">
        <f ca="1">ROUND(D63*D96/(1+'数据-取费表'!C42),0)</f>
        <v>16</v>
      </c>
      <c r="D96" s="405">
        <f>'数据-取费表'!B43</f>
        <v>6.000000000000001E-3</v>
      </c>
      <c r="E96" s="3364" t="s">
        <v>2429</v>
      </c>
      <c r="F96" s="3365"/>
      <c r="G96" s="3365"/>
      <c r="H96" s="3366"/>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1" t="s">
        <v>451</v>
      </c>
      <c r="C97" s="384">
        <f ca="1">C90-C91</f>
        <v>40</v>
      </c>
      <c r="D97" s="377" t="s">
        <v>19</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1" t="s">
        <v>452</v>
      </c>
      <c r="C98" s="406">
        <f ca="1">IF(C97&lt;=0,0,C97/C91)</f>
        <v>1.5521924718665115E-2</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6" t="s">
        <v>453</v>
      </c>
      <c r="C99" s="407">
        <f ca="1">ROUND(IF(C97&lt;=0,0,IF(C98&gt;=200%,C97*60%-C91*35%,IF(C98&gt;=100%,C97*50%-C91*15%,IF(C98&gt;=50%,C97*40%-C91*5%,IF(C98&lt;50%,C97*30%,0))))),0)</f>
        <v>12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5" t="s">
        <v>454</v>
      </c>
      <c r="B101" s="3376"/>
      <c r="C101" s="3376"/>
      <c r="D101" s="3376"/>
      <c r="E101" s="3376"/>
      <c r="F101" s="3376"/>
      <c r="G101" s="3376"/>
      <c r="H101" s="3376"/>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73" t="s">
        <v>428</v>
      </c>
      <c r="B102" s="3374"/>
      <c r="C102" s="993"/>
      <c r="D102" s="993"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1824</v>
      </c>
      <c r="B103" s="381" t="s">
        <v>439</v>
      </c>
      <c r="C103" s="384">
        <f ca="1">ROUND(D63/(1+'数据-取费表'!C42),0)</f>
        <v>2617</v>
      </c>
      <c r="D103" s="377" t="s">
        <v>19</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1830</v>
      </c>
      <c r="B104" s="347" t="s">
        <v>440</v>
      </c>
      <c r="C104" s="384">
        <f ca="1">IF(H106="仅含出让金",C105+C108+C109+C110+C111+C112,C105+C109+C110+C111+C112)</f>
        <v>706</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1831</v>
      </c>
      <c r="B105" s="375" t="s">
        <v>455</v>
      </c>
      <c r="C105" s="404">
        <f>C106+C107</f>
        <v>572</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1832</v>
      </c>
      <c r="B106" s="375" t="s">
        <v>456</v>
      </c>
      <c r="C106" s="415">
        <v>555</v>
      </c>
      <c r="D106" s="405"/>
      <c r="E106" s="416" t="s">
        <v>457</v>
      </c>
      <c r="F106" s="985"/>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5" t="s">
        <v>461</v>
      </c>
      <c r="C109" s="404">
        <f>IF(H109="——",IF(F1="现房",'剩余法-现房'!C18,'剩余法-待开发'!C18),I109)</f>
        <v>55</v>
      </c>
      <c r="D109" s="405"/>
      <c r="E109" s="3367" t="s">
        <v>462</v>
      </c>
      <c r="F109" s="3365"/>
      <c r="G109" s="3365"/>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5" t="s">
        <v>463</v>
      </c>
      <c r="C110" s="404">
        <f>ROUND((C105+C108+C109)*D110,0)</f>
        <v>63</v>
      </c>
      <c r="D110" s="405">
        <v>0.1</v>
      </c>
      <c r="E110" s="3367" t="s">
        <v>464</v>
      </c>
      <c r="F110" s="3365"/>
      <c r="G110" s="3365"/>
      <c r="H110" s="3366"/>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5" t="s">
        <v>450</v>
      </c>
      <c r="C111" s="404">
        <f ca="1">ROUND(D63*D111/(1+'数据-取费表'!C42),0)</f>
        <v>16</v>
      </c>
      <c r="D111" s="405">
        <f>'数据-取费表'!B43</f>
        <v>6.000000000000001E-3</v>
      </c>
      <c r="E111" s="3364" t="s">
        <v>2429</v>
      </c>
      <c r="F111" s="3365"/>
      <c r="G111" s="3365"/>
      <c r="H111" s="3366"/>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5" t="s">
        <v>465</v>
      </c>
      <c r="C112" s="404">
        <f>ROUND(C108*D112,0)</f>
        <v>0</v>
      </c>
      <c r="D112" s="405">
        <v>0.2</v>
      </c>
      <c r="E112" s="3367" t="s">
        <v>2454</v>
      </c>
      <c r="F112" s="3365"/>
      <c r="G112" s="3365"/>
      <c r="H112" s="3366"/>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1" t="s">
        <v>451</v>
      </c>
      <c r="C113" s="384">
        <f ca="1">ROUND(C103-C104,0)</f>
        <v>1911</v>
      </c>
      <c r="D113" s="377" t="s">
        <v>19</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1" t="s">
        <v>452</v>
      </c>
      <c r="C114" s="406">
        <f ca="1">IF(C113&lt;=0,0,C113/C104)</f>
        <v>2.7067988668555243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6" t="s">
        <v>453</v>
      </c>
      <c r="C115" s="407">
        <f ca="1">ROUND(IF(C113&lt;=0,0,IF(C114&gt;=200%,C113*60%-C104*35%,IF(C114&gt;=100%,C113*50%-C104*15%,IF(C114&gt;=50%,C113*40%-C104*5%,IF(C114&lt;50%,C113*30%,0))))),0)</f>
        <v>900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5" zoomScale="80" zoomScaleNormal="95" zoomScaleSheetLayoutView="80" workbookViewId="0">
      <selection activeCell="B34" sqref="B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t="e">
        <f>F68</f>
        <v>#REF!</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t="e">
        <f>ROUND(B2*10000/'数据-汇总表'!E3,0)</f>
        <v>#REF!</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520</v>
      </c>
      <c r="B4" s="426" t="e">
        <f>IF(B48="单位面积地价",C50,ROUND(B2*10000/'数据-汇总表'!D3,0))</f>
        <v>#REF!</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t="e">
        <f>ROUND(B2/('数据-汇总表'!D3/666.67),0)</f>
        <v>#REF!</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521</v>
      </c>
      <c r="B6" s="512"/>
      <c r="C6" s="3418" t="s">
        <v>522</v>
      </c>
      <c r="D6" s="3419"/>
      <c r="E6" s="3418" t="s">
        <v>523</v>
      </c>
      <c r="F6" s="3419"/>
      <c r="G6" s="3418" t="s">
        <v>524</v>
      </c>
      <c r="H6" s="3419"/>
      <c r="I6" s="3418" t="s">
        <v>525</v>
      </c>
      <c r="J6" s="3419"/>
      <c r="K6" s="513" t="s">
        <v>526</v>
      </c>
      <c r="L6" s="2132"/>
      <c r="M6" s="2131"/>
      <c r="N6" s="2131"/>
      <c r="O6" s="2133"/>
      <c r="P6" s="3420" t="s">
        <v>527</v>
      </c>
      <c r="Q6" s="3421"/>
      <c r="R6" s="3426" t="s">
        <v>523</v>
      </c>
      <c r="S6" s="3427"/>
      <c r="T6" s="3426" t="s">
        <v>524</v>
      </c>
      <c r="U6" s="3427"/>
      <c r="V6" s="3413" t="s">
        <v>525</v>
      </c>
      <c r="W6" s="3413"/>
      <c r="X6" s="1566"/>
      <c r="Y6" s="3426" t="s">
        <v>527</v>
      </c>
      <c r="Z6" s="3427"/>
      <c r="AA6" s="3415" t="s">
        <v>523</v>
      </c>
      <c r="AB6" s="3416" t="s">
        <v>524</v>
      </c>
      <c r="AC6" s="3415" t="s">
        <v>525</v>
      </c>
    </row>
    <row r="7" spans="1:30" ht="42.75" customHeight="1">
      <c r="A7" s="514"/>
      <c r="B7" s="515"/>
      <c r="C7" s="3436" t="s">
        <v>3044</v>
      </c>
      <c r="D7" s="3435"/>
      <c r="E7" s="3434" t="e">
        <f>#REF!</f>
        <v>#REF!</v>
      </c>
      <c r="F7" s="3435"/>
      <c r="G7" s="3434" t="e">
        <f>#REF!</f>
        <v>#REF!</v>
      </c>
      <c r="H7" s="3435"/>
      <c r="I7" s="3434" t="e">
        <f>#REF!</f>
        <v>#REF!</v>
      </c>
      <c r="J7" s="3435"/>
      <c r="K7" s="513"/>
      <c r="L7" s="2132"/>
      <c r="M7" s="2131"/>
      <c r="N7" s="2131"/>
      <c r="O7" s="2133"/>
      <c r="P7" s="3422"/>
      <c r="Q7" s="3423"/>
      <c r="R7" s="3428"/>
      <c r="S7" s="3429"/>
      <c r="T7" s="3428"/>
      <c r="U7" s="3429"/>
      <c r="V7" s="3413"/>
      <c r="W7" s="3413"/>
      <c r="X7" s="1566"/>
      <c r="Y7" s="3428"/>
      <c r="Z7" s="3429"/>
      <c r="AA7" s="3416"/>
      <c r="AB7" s="3416"/>
      <c r="AC7" s="3416"/>
    </row>
    <row r="8" spans="1:30" ht="21" thickBot="1">
      <c r="A8" s="514"/>
      <c r="B8" s="515"/>
      <c r="C8" s="3437" t="s">
        <v>3042</v>
      </c>
      <c r="D8" s="3438"/>
      <c r="E8" s="3437" t="s">
        <v>3042</v>
      </c>
      <c r="F8" s="3438"/>
      <c r="G8" s="3432" t="s">
        <v>3043</v>
      </c>
      <c r="H8" s="3433"/>
      <c r="I8" s="3432" t="s">
        <v>3043</v>
      </c>
      <c r="J8" s="3433"/>
      <c r="K8" s="513" t="s">
        <v>528</v>
      </c>
      <c r="L8" s="2132"/>
      <c r="M8" s="2131"/>
      <c r="N8" s="2131"/>
      <c r="O8" s="2133"/>
      <c r="P8" s="3424"/>
      <c r="Q8" s="3425"/>
      <c r="R8" s="3428"/>
      <c r="S8" s="3429"/>
      <c r="T8" s="3430"/>
      <c r="U8" s="3431"/>
      <c r="V8" s="3413"/>
      <c r="W8" s="3413"/>
      <c r="X8" s="1566"/>
      <c r="Y8" s="3430"/>
      <c r="Z8" s="3431"/>
      <c r="AA8" s="3417"/>
      <c r="AB8" s="3417"/>
      <c r="AC8" s="3417"/>
    </row>
    <row r="9" spans="1:30" s="1219" customFormat="1" ht="21" thickBot="1">
      <c r="A9" s="2935"/>
      <c r="B9" s="2942" t="s">
        <v>529</v>
      </c>
      <c r="C9" s="2934">
        <f>'数据-取费表'!B2</f>
        <v>43244</v>
      </c>
      <c r="D9" s="519">
        <v>100</v>
      </c>
      <c r="E9" s="520" t="e">
        <f>#REF!</f>
        <v>#REF!</v>
      </c>
      <c r="F9" s="521">
        <f>SUMIF(72:72,YEAR(E9)&amp;"-"&amp;INT((MONTH(E9)+2)/3),73:73)</f>
        <v>0</v>
      </c>
      <c r="G9" s="522" t="e">
        <f>#REF!</f>
        <v>#REF!</v>
      </c>
      <c r="H9" s="519">
        <f>SUMIF(72:72,YEAR(G9)&amp;"-"&amp;INT((MONTH(G9)+2)/3),73:73)</f>
        <v>0</v>
      </c>
      <c r="I9" s="522" t="e">
        <f>#REF!</f>
        <v>#REF!</v>
      </c>
      <c r="J9" s="519">
        <f>SUMIF(72:72,YEAR(I9)&amp;"-"&amp;INT((MONTH(I9)+2)/3),73:73)</f>
        <v>0</v>
      </c>
      <c r="K9" s="523"/>
      <c r="L9" s="2134"/>
      <c r="M9" s="2131"/>
      <c r="N9" s="2131"/>
      <c r="O9" s="2135"/>
      <c r="P9" s="3444" t="s">
        <v>530</v>
      </c>
      <c r="Q9" s="3446"/>
      <c r="R9" s="1567" t="s">
        <v>8</v>
      </c>
      <c r="S9" s="1568">
        <f t="shared" ref="S9:S17" si="0">F9</f>
        <v>0</v>
      </c>
      <c r="T9" s="1567" t="s">
        <v>8</v>
      </c>
      <c r="U9" s="1568">
        <f t="shared" ref="U9:U17" si="1">H9</f>
        <v>0</v>
      </c>
      <c r="V9" s="1567" t="s">
        <v>8</v>
      </c>
      <c r="W9" s="1568">
        <f t="shared" ref="W9:W17" si="2">J9</f>
        <v>0</v>
      </c>
      <c r="X9" s="1569"/>
      <c r="Y9" s="3444" t="s">
        <v>530</v>
      </c>
      <c r="Z9" s="3445"/>
      <c r="AA9" s="1570" t="e">
        <f>D9/F9</f>
        <v>#DIV/0!</v>
      </c>
      <c r="AB9" s="1570" t="e">
        <f>D9/H9</f>
        <v>#DIV/0!</v>
      </c>
      <c r="AC9" s="1570" t="e">
        <f>D9/J9</f>
        <v>#DIV/0!</v>
      </c>
    </row>
    <row r="10" spans="1:30" s="1219" customFormat="1" ht="21" thickBot="1">
      <c r="A10" s="2936"/>
      <c r="B10" s="2943" t="s">
        <v>531</v>
      </c>
      <c r="C10" s="855" t="s">
        <v>532</v>
      </c>
      <c r="D10" s="519">
        <v>100</v>
      </c>
      <c r="E10" s="524" t="s">
        <v>3041</v>
      </c>
      <c r="F10" s="521">
        <f>SUMIF(75:75,E10,76:76)-SUMIF(75:75,C10,76:76)+100</f>
        <v>100</v>
      </c>
      <c r="G10" s="524" t="s">
        <v>3045</v>
      </c>
      <c r="H10" s="519">
        <f>SUMIF(75:75,G10,76:76)-SUMIF(75:75,C10,76:76)+100</f>
        <v>115</v>
      </c>
      <c r="I10" s="524" t="s">
        <v>3048</v>
      </c>
      <c r="J10" s="519">
        <f>SUMIF(75:75,I10,76:76)-SUMIF(75:75,C10,76:76)+100</f>
        <v>105</v>
      </c>
      <c r="K10" s="523"/>
      <c r="L10" s="2134"/>
      <c r="M10" s="2131"/>
      <c r="N10" s="2131"/>
      <c r="O10" s="2135"/>
      <c r="P10" s="3444" t="s">
        <v>533</v>
      </c>
      <c r="Q10" s="3445"/>
      <c r="R10" s="1567" t="s">
        <v>8</v>
      </c>
      <c r="S10" s="1568">
        <f t="shared" si="0"/>
        <v>100</v>
      </c>
      <c r="T10" s="1567" t="s">
        <v>8</v>
      </c>
      <c r="U10" s="1568">
        <f t="shared" si="1"/>
        <v>115</v>
      </c>
      <c r="V10" s="1567" t="s">
        <v>8</v>
      </c>
      <c r="W10" s="1568">
        <f t="shared" si="2"/>
        <v>105</v>
      </c>
      <c r="X10" s="1569"/>
      <c r="Y10" s="3444" t="s">
        <v>533</v>
      </c>
      <c r="Z10" s="3445"/>
      <c r="AA10" s="1570">
        <f t="shared" ref="AA10:AA47" si="3">D10/F10</f>
        <v>1</v>
      </c>
      <c r="AB10" s="1570">
        <f t="shared" ref="AB10:AB47" si="4">D10/H10</f>
        <v>0.86956521739130432</v>
      </c>
      <c r="AC10" s="1570">
        <f t="shared" ref="AC10:AC47" si="5">D10/J10</f>
        <v>0.95238095238095233</v>
      </c>
    </row>
    <row r="11" spans="1:30" s="1219" customFormat="1" ht="20.25">
      <c r="A11" s="2937"/>
      <c r="B11" s="2944" t="s">
        <v>2757</v>
      </c>
      <c r="C11" s="2931" t="s">
        <v>923</v>
      </c>
      <c r="D11" s="253">
        <v>100</v>
      </c>
      <c r="E11" s="525" t="s">
        <v>3050</v>
      </c>
      <c r="F11" s="253">
        <f>SUMIF(77:77,E11,78:78)-SUMIF(77:77,C11,78:78)+100</f>
        <v>102</v>
      </c>
      <c r="G11" s="525" t="s">
        <v>3050</v>
      </c>
      <c r="H11" s="253">
        <f>SUMIF(77:77,G11,78:78)-SUMIF(77:77,C11,78:78)+100</f>
        <v>102</v>
      </c>
      <c r="I11" s="525" t="s">
        <v>3050</v>
      </c>
      <c r="J11" s="253">
        <f>SUMIF(77:77,I11,78:78)-SUMIF(77:77,C11,78:78)+100</f>
        <v>102</v>
      </c>
      <c r="K11" s="523"/>
      <c r="L11" s="2134"/>
      <c r="M11" s="2131"/>
      <c r="N11" s="2131"/>
      <c r="O11" s="2136"/>
      <c r="P11" s="3412" t="s">
        <v>535</v>
      </c>
      <c r="Q11" s="1150" t="str">
        <f t="shared" ref="Q11:Q17" si="6">B11</f>
        <v>用途</v>
      </c>
      <c r="R11" s="1567" t="s">
        <v>8</v>
      </c>
      <c r="S11" s="1568">
        <f t="shared" si="0"/>
        <v>102</v>
      </c>
      <c r="T11" s="1567" t="s">
        <v>8</v>
      </c>
      <c r="U11" s="1568">
        <f t="shared" si="1"/>
        <v>102</v>
      </c>
      <c r="V11" s="1567" t="s">
        <v>8</v>
      </c>
      <c r="W11" s="1568">
        <f t="shared" si="2"/>
        <v>102</v>
      </c>
      <c r="X11" s="1569"/>
      <c r="Y11" s="3358" t="s">
        <v>536</v>
      </c>
      <c r="Z11" s="1149" t="str">
        <f t="shared" ref="Z11:Z17" si="7">Q11</f>
        <v>用途</v>
      </c>
      <c r="AA11" s="1570">
        <f t="shared" si="3"/>
        <v>0.98039215686274506</v>
      </c>
      <c r="AB11" s="1570">
        <f t="shared" si="4"/>
        <v>0.98039215686274506</v>
      </c>
      <c r="AC11" s="1570">
        <f t="shared" si="5"/>
        <v>0.98039215686274506</v>
      </c>
    </row>
    <row r="12" spans="1:30" s="1337" customFormat="1" ht="27">
      <c r="A12" s="2938"/>
      <c r="B12" s="2943" t="s">
        <v>2758</v>
      </c>
      <c r="C12" s="909" t="str">
        <f>项目基本情况!D20</f>
        <v>工业34.26</v>
      </c>
      <c r="D12" s="254">
        <v>100</v>
      </c>
      <c r="E12" s="528" t="s">
        <v>3077</v>
      </c>
      <c r="F12" s="254">
        <f>ROUND(100/'数据-取费表'!G16,0)</f>
        <v>119</v>
      </c>
      <c r="G12" s="529" t="s">
        <v>3077</v>
      </c>
      <c r="H12" s="254">
        <f>ROUND(100/'数据-取费表'!G16,0)</f>
        <v>119</v>
      </c>
      <c r="I12" s="529" t="s">
        <v>3077</v>
      </c>
      <c r="J12" s="254">
        <f>ROUND(100/'数据-取费表'!G16,0)</f>
        <v>119</v>
      </c>
      <c r="K12" s="530"/>
      <c r="L12" s="2137"/>
      <c r="M12" s="2131"/>
      <c r="N12" s="2131"/>
      <c r="O12" s="2138"/>
      <c r="P12" s="3412"/>
      <c r="Q12" s="1150" t="str">
        <f t="shared" si="6"/>
        <v>土地使用年限（年）</v>
      </c>
      <c r="R12" s="1567" t="s">
        <v>8</v>
      </c>
      <c r="S12" s="1568">
        <f t="shared" si="0"/>
        <v>119</v>
      </c>
      <c r="T12" s="1567" t="s">
        <v>8</v>
      </c>
      <c r="U12" s="1568">
        <f t="shared" si="1"/>
        <v>119</v>
      </c>
      <c r="V12" s="1567" t="s">
        <v>8</v>
      </c>
      <c r="W12" s="1568">
        <f t="shared" si="2"/>
        <v>119</v>
      </c>
      <c r="X12" s="1569"/>
      <c r="Y12" s="3358"/>
      <c r="Z12" s="1149" t="str">
        <f t="shared" si="7"/>
        <v>土地使用年限（年）</v>
      </c>
      <c r="AA12" s="1570">
        <f t="shared" si="3"/>
        <v>0.84033613445378152</v>
      </c>
      <c r="AB12" s="1570">
        <f t="shared" si="4"/>
        <v>0.84033613445378152</v>
      </c>
      <c r="AC12" s="1570">
        <f t="shared" si="5"/>
        <v>0.84033613445378152</v>
      </c>
    </row>
    <row r="13" spans="1:30" ht="20.25">
      <c r="A13" s="2939"/>
      <c r="B13" s="2943" t="s">
        <v>2759</v>
      </c>
      <c r="C13" s="533">
        <v>1</v>
      </c>
      <c r="D13" s="254">
        <v>100</v>
      </c>
      <c r="E13" s="532" t="e">
        <f>#REF!</f>
        <v>#REF!</v>
      </c>
      <c r="F13" s="254" t="e">
        <f>LOOKUP(E13,82:82,83:83)-LOOKUP(C13,82:82,83:83)+100</f>
        <v>#REF!</v>
      </c>
      <c r="G13" s="533" t="e">
        <f>#REF!</f>
        <v>#REF!</v>
      </c>
      <c r="H13" s="254" t="e">
        <f>LOOKUP(G13,82:82,83:83)-LOOKUP(C13,82:82,83:83)+100</f>
        <v>#REF!</v>
      </c>
      <c r="I13" s="532" t="e">
        <f>#REF!</f>
        <v>#REF!</v>
      </c>
      <c r="J13" s="254" t="e">
        <f>LOOKUP(I13,82:82,83:83)-LOOKUP(C13,82:82,83:83)+100</f>
        <v>#REF!</v>
      </c>
      <c r="K13" s="534">
        <v>2</v>
      </c>
      <c r="L13" s="2139"/>
      <c r="M13" s="2131"/>
      <c r="N13" s="2131"/>
      <c r="O13" s="2140"/>
      <c r="P13" s="3412"/>
      <c r="Q13" s="1150" t="str">
        <f t="shared" si="6"/>
        <v>容积率</v>
      </c>
      <c r="R13" s="1567" t="s">
        <v>8</v>
      </c>
      <c r="S13" s="1568" t="e">
        <f t="shared" si="0"/>
        <v>#REF!</v>
      </c>
      <c r="T13" s="1567" t="s">
        <v>8</v>
      </c>
      <c r="U13" s="1568" t="e">
        <f t="shared" si="1"/>
        <v>#REF!</v>
      </c>
      <c r="V13" s="1567" t="s">
        <v>8</v>
      </c>
      <c r="W13" s="1568" t="e">
        <f t="shared" si="2"/>
        <v>#REF!</v>
      </c>
      <c r="X13" s="1569"/>
      <c r="Y13" s="3358"/>
      <c r="Z13" s="1149" t="str">
        <f t="shared" si="7"/>
        <v>容积率</v>
      </c>
      <c r="AA13" s="1570" t="e">
        <f t="shared" si="3"/>
        <v>#REF!</v>
      </c>
      <c r="AB13" s="1570" t="e">
        <f t="shared" si="4"/>
        <v>#REF!</v>
      </c>
      <c r="AC13" s="1570" t="e">
        <f t="shared" si="5"/>
        <v>#REF!</v>
      </c>
    </row>
    <row r="14" spans="1:30" s="1219" customFormat="1" ht="20.25">
      <c r="A14" s="2936"/>
      <c r="B14" s="2945" t="s">
        <v>2760</v>
      </c>
      <c r="C14" s="2932" t="s">
        <v>3078</v>
      </c>
      <c r="D14" s="537">
        <v>100</v>
      </c>
      <c r="E14" s="1374" t="s">
        <v>3079</v>
      </c>
      <c r="F14" s="254">
        <f>SUMIF(84:84,E14,85:85)-SUMIF(84:84,C14,85:85)+100</f>
        <v>98</v>
      </c>
      <c r="G14" s="3195" t="s">
        <v>3080</v>
      </c>
      <c r="H14" s="254">
        <f>SUMIF(84:84,G14,85:85)-SUMIF(84:84,C14,85:85)+100</f>
        <v>98</v>
      </c>
      <c r="I14" s="3196" t="s">
        <v>3079</v>
      </c>
      <c r="J14" s="254">
        <f>SUMIF(84:84,I14,85:85)-SUMIF(84:84,C14,85:85)+100</f>
        <v>98</v>
      </c>
      <c r="K14" s="530"/>
      <c r="L14" s="2134"/>
      <c r="M14" s="2131"/>
      <c r="N14" s="2131"/>
      <c r="O14" s="2136"/>
      <c r="P14" s="3412"/>
      <c r="Q14" s="1150" t="str">
        <f t="shared" si="6"/>
        <v>配建</v>
      </c>
      <c r="R14" s="1567" t="s">
        <v>8</v>
      </c>
      <c r="S14" s="1568">
        <f t="shared" si="0"/>
        <v>98</v>
      </c>
      <c r="T14" s="1567" t="s">
        <v>8</v>
      </c>
      <c r="U14" s="1568">
        <f t="shared" si="1"/>
        <v>98</v>
      </c>
      <c r="V14" s="1567" t="s">
        <v>8</v>
      </c>
      <c r="W14" s="1568">
        <f t="shared" si="2"/>
        <v>98</v>
      </c>
      <c r="X14" s="1569"/>
      <c r="Y14" s="3358"/>
      <c r="Z14" s="1149" t="str">
        <f t="shared" si="7"/>
        <v>配建</v>
      </c>
      <c r="AA14" s="1570">
        <f>D14/F14</f>
        <v>1.0204081632653061</v>
      </c>
      <c r="AB14" s="1570">
        <f>D14/H14</f>
        <v>1.0204081632653061</v>
      </c>
      <c r="AC14" s="1570">
        <f>D14/J14</f>
        <v>1.0204081632653061</v>
      </c>
    </row>
    <row r="15" spans="1:30" ht="20.25">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12"/>
      <c r="Q15" s="1150">
        <f t="shared" si="6"/>
        <v>111</v>
      </c>
      <c r="R15" s="1567" t="s">
        <v>8</v>
      </c>
      <c r="S15" s="1568">
        <f t="shared" si="0"/>
        <v>100</v>
      </c>
      <c r="T15" s="1567" t="s">
        <v>8</v>
      </c>
      <c r="U15" s="1568">
        <f t="shared" si="1"/>
        <v>100</v>
      </c>
      <c r="V15" s="1567" t="s">
        <v>8</v>
      </c>
      <c r="W15" s="1568">
        <f t="shared" si="2"/>
        <v>100</v>
      </c>
      <c r="X15" s="1569"/>
      <c r="Y15" s="3358"/>
      <c r="Z15" s="1149">
        <f t="shared" si="7"/>
        <v>111</v>
      </c>
      <c r="AA15" s="1570">
        <f>D15/F15</f>
        <v>1</v>
      </c>
      <c r="AB15" s="1570">
        <f>D15/H15</f>
        <v>1</v>
      </c>
      <c r="AC15" s="1570">
        <f>D15/J15</f>
        <v>1</v>
      </c>
    </row>
    <row r="16" spans="1:30" ht="2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12"/>
      <c r="Q16" s="1150">
        <f t="shared" si="6"/>
        <v>111</v>
      </c>
      <c r="R16" s="1567" t="s">
        <v>8</v>
      </c>
      <c r="S16" s="1568">
        <f t="shared" si="0"/>
        <v>100</v>
      </c>
      <c r="T16" s="1567" t="s">
        <v>8</v>
      </c>
      <c r="U16" s="1568">
        <f t="shared" si="1"/>
        <v>100</v>
      </c>
      <c r="V16" s="1567" t="s">
        <v>8</v>
      </c>
      <c r="W16" s="1568">
        <f t="shared" si="2"/>
        <v>100</v>
      </c>
      <c r="X16" s="1569"/>
      <c r="Y16" s="3358"/>
      <c r="Z16" s="1149">
        <f t="shared" si="7"/>
        <v>111</v>
      </c>
      <c r="AA16" s="1570">
        <f>D16/F16</f>
        <v>1</v>
      </c>
      <c r="AB16" s="1570">
        <f>D16/H16</f>
        <v>1</v>
      </c>
      <c r="AC16" s="1570">
        <f>D16/J16</f>
        <v>1</v>
      </c>
    </row>
    <row r="17" spans="1:29" ht="20.25">
      <c r="A17" s="2933" t="s">
        <v>2755</v>
      </c>
      <c r="B17" s="577" t="s">
        <v>295</v>
      </c>
      <c r="C17" s="547">
        <f>估价对象房地状况!C15</f>
        <v>0</v>
      </c>
      <c r="D17" s="550">
        <v>100</v>
      </c>
      <c r="E17" s="3197" t="s">
        <v>3084</v>
      </c>
      <c r="F17" s="548">
        <f>SUMIF(90:90,E18,91:91)-SUMIF(90:90,C18,91:91)+100</f>
        <v>106</v>
      </c>
      <c r="G17" s="3198" t="s">
        <v>3085</v>
      </c>
      <c r="H17" s="548">
        <f>SUMIF(90:90,G18,91:91)-SUMIF(90:90,C18,91:91)+100</f>
        <v>100</v>
      </c>
      <c r="I17" s="3197" t="s">
        <v>3083</v>
      </c>
      <c r="J17" s="548">
        <f>SUMIF(90:90,I18,91:91)-SUMIF(90:90,C18,91:91)+100</f>
        <v>103</v>
      </c>
      <c r="K17" s="534">
        <v>3</v>
      </c>
      <c r="L17" s="2141"/>
      <c r="M17" s="2131"/>
      <c r="N17" s="2131"/>
      <c r="O17" s="2140"/>
      <c r="P17" s="3447" t="s">
        <v>540</v>
      </c>
      <c r="Q17" s="1571" t="str">
        <f t="shared" si="6"/>
        <v>居住社区成熟度</v>
      </c>
      <c r="R17" s="1572" t="s">
        <v>8</v>
      </c>
      <c r="S17" s="1573">
        <f t="shared" si="0"/>
        <v>106</v>
      </c>
      <c r="T17" s="1572" t="s">
        <v>8</v>
      </c>
      <c r="U17" s="1573">
        <f t="shared" si="1"/>
        <v>100</v>
      </c>
      <c r="V17" s="1572" t="s">
        <v>8</v>
      </c>
      <c r="W17" s="1573">
        <f t="shared" si="2"/>
        <v>103</v>
      </c>
      <c r="X17" s="1566"/>
      <c r="Y17" s="3447" t="s">
        <v>540</v>
      </c>
      <c r="Z17" s="1574" t="str">
        <f t="shared" si="7"/>
        <v>居住社区成熟度</v>
      </c>
      <c r="AA17" s="1575">
        <f t="shared" si="3"/>
        <v>0.94339622641509435</v>
      </c>
      <c r="AB17" s="1575">
        <f t="shared" si="4"/>
        <v>1</v>
      </c>
      <c r="AC17" s="1575">
        <f t="shared" si="5"/>
        <v>0.970873786407767</v>
      </c>
    </row>
    <row r="18" spans="1:29" ht="20.25">
      <c r="A18" s="531"/>
      <c r="B18" s="552"/>
      <c r="C18" s="553" t="s">
        <v>3075</v>
      </c>
      <c r="D18" s="556"/>
      <c r="E18" s="557" t="s">
        <v>3082</v>
      </c>
      <c r="F18" s="554"/>
      <c r="G18" s="555" t="s">
        <v>3075</v>
      </c>
      <c r="H18" s="558"/>
      <c r="I18" s="557" t="s">
        <v>3081</v>
      </c>
      <c r="J18" s="554"/>
      <c r="K18" s="530"/>
      <c r="L18" s="2141"/>
      <c r="M18" s="2131"/>
      <c r="N18" s="2131"/>
      <c r="O18" s="2140"/>
      <c r="P18" s="3448"/>
      <c r="Q18" s="1571"/>
      <c r="R18" s="1572"/>
      <c r="S18" s="1573"/>
      <c r="T18" s="1572"/>
      <c r="U18" s="1573"/>
      <c r="V18" s="1572"/>
      <c r="W18" s="1573"/>
      <c r="X18" s="1566"/>
      <c r="Y18" s="3448"/>
      <c r="Z18" s="1574"/>
      <c r="AA18" s="1575">
        <v>1</v>
      </c>
      <c r="AB18" s="1575">
        <v>1</v>
      </c>
      <c r="AC18" s="1575">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448"/>
      <c r="Q19" s="1571" t="str">
        <f>B19</f>
        <v>商业繁华度</v>
      </c>
      <c r="R19" s="1572" t="s">
        <v>8</v>
      </c>
      <c r="S19" s="1573">
        <f>F19</f>
        <v>100</v>
      </c>
      <c r="T19" s="1572" t="s">
        <v>8</v>
      </c>
      <c r="U19" s="1573">
        <f>H19</f>
        <v>100</v>
      </c>
      <c r="V19" s="1572" t="s">
        <v>8</v>
      </c>
      <c r="W19" s="1573">
        <f>J19</f>
        <v>100</v>
      </c>
      <c r="X19" s="1566"/>
      <c r="Y19" s="3448"/>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1"/>
      <c r="M20" s="2131"/>
      <c r="N20" s="2131"/>
      <c r="O20" s="2140"/>
      <c r="P20" s="3448"/>
      <c r="Q20" s="1571"/>
      <c r="R20" s="1572"/>
      <c r="S20" s="1573"/>
      <c r="T20" s="1572"/>
      <c r="U20" s="1573"/>
      <c r="V20" s="1572"/>
      <c r="W20" s="1573"/>
      <c r="X20" s="1566"/>
      <c r="Y20" s="3448"/>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48"/>
      <c r="Q21" s="1571" t="str">
        <f>B21</f>
        <v>办公集聚程度</v>
      </c>
      <c r="R21" s="1572" t="s">
        <v>8</v>
      </c>
      <c r="S21" s="1573">
        <f>F21</f>
        <v>100</v>
      </c>
      <c r="T21" s="1572" t="s">
        <v>8</v>
      </c>
      <c r="U21" s="1573">
        <f>H21</f>
        <v>100</v>
      </c>
      <c r="V21" s="1572" t="s">
        <v>8</v>
      </c>
      <c r="W21" s="1573">
        <f>J21</f>
        <v>100</v>
      </c>
      <c r="X21" s="1566"/>
      <c r="Y21" s="3448"/>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448"/>
      <c r="Q22" s="1571"/>
      <c r="R22" s="1572"/>
      <c r="S22" s="1573"/>
      <c r="T22" s="1572"/>
      <c r="U22" s="1573"/>
      <c r="V22" s="1572"/>
      <c r="W22" s="1573"/>
      <c r="X22" s="1566"/>
      <c r="Y22" s="3448"/>
      <c r="Z22" s="1574"/>
      <c r="AA22" s="1575">
        <v>1</v>
      </c>
      <c r="AB22" s="1575">
        <v>1</v>
      </c>
      <c r="AC22" s="1575">
        <v>1</v>
      </c>
    </row>
    <row r="23" spans="1:29" ht="20.25">
      <c r="A23" s="531"/>
      <c r="B23" s="559" t="s">
        <v>543</v>
      </c>
      <c r="C23" s="572">
        <f>估价对象房地状况!C18</f>
        <v>0</v>
      </c>
      <c r="D23" s="562">
        <v>100</v>
      </c>
      <c r="E23" s="563"/>
      <c r="F23" s="564">
        <f>SUMIF(96:96,E24,97:97)-SUMIF(96:96,C24,97:97)+100</f>
        <v>104</v>
      </c>
      <c r="G23" s="561"/>
      <c r="H23" s="558">
        <f>SUMIF(96:96,G24,97:97)-SUMIF(96:96,C24,97:97)+100</f>
        <v>100</v>
      </c>
      <c r="I23" s="563"/>
      <c r="J23" s="558">
        <f>SUMIF(96:96,I24,97:97)-SUMIF(96:96,C24,97:97)+100</f>
        <v>102</v>
      </c>
      <c r="K23" s="534">
        <v>2</v>
      </c>
      <c r="L23" s="2141"/>
      <c r="M23" s="2131"/>
      <c r="N23" s="2131"/>
      <c r="O23" s="2140"/>
      <c r="P23" s="3448"/>
      <c r="Q23" s="1571" t="str">
        <f>B23</f>
        <v>交通便捷度</v>
      </c>
      <c r="R23" s="1572" t="s">
        <v>8</v>
      </c>
      <c r="S23" s="1573">
        <f>F23</f>
        <v>104</v>
      </c>
      <c r="T23" s="1572" t="s">
        <v>8</v>
      </c>
      <c r="U23" s="1573">
        <f>H23</f>
        <v>100</v>
      </c>
      <c r="V23" s="1572" t="s">
        <v>8</v>
      </c>
      <c r="W23" s="1573">
        <f>J23</f>
        <v>102</v>
      </c>
      <c r="X23" s="1566"/>
      <c r="Y23" s="3448"/>
      <c r="Z23" s="1574" t="str">
        <f>Q23</f>
        <v>交通便捷度</v>
      </c>
      <c r="AA23" s="1575">
        <f t="shared" si="3"/>
        <v>0.96153846153846156</v>
      </c>
      <c r="AB23" s="1575">
        <f t="shared" si="4"/>
        <v>1</v>
      </c>
      <c r="AC23" s="1575">
        <f t="shared" si="5"/>
        <v>0.98039215686274506</v>
      </c>
    </row>
    <row r="24" spans="1:29" ht="20.25">
      <c r="A24" s="531"/>
      <c r="B24" s="577"/>
      <c r="C24" s="553" t="s">
        <v>3075</v>
      </c>
      <c r="D24" s="556"/>
      <c r="E24" s="557" t="s">
        <v>3082</v>
      </c>
      <c r="F24" s="554"/>
      <c r="G24" s="555" t="s">
        <v>3075</v>
      </c>
      <c r="H24" s="554"/>
      <c r="I24" s="557" t="s">
        <v>3081</v>
      </c>
      <c r="J24" s="554"/>
      <c r="K24" s="530"/>
      <c r="L24" s="2141"/>
      <c r="M24" s="2131"/>
      <c r="N24" s="2131"/>
      <c r="O24" s="2140"/>
      <c r="P24" s="3448"/>
      <c r="Q24" s="1571"/>
      <c r="R24" s="1572"/>
      <c r="S24" s="1573"/>
      <c r="T24" s="1572"/>
      <c r="U24" s="1573"/>
      <c r="V24" s="1572"/>
      <c r="W24" s="1573"/>
      <c r="X24" s="1566"/>
      <c r="Y24" s="3448"/>
      <c r="Z24" s="1574"/>
      <c r="AA24" s="1575">
        <v>1</v>
      </c>
      <c r="AB24" s="1575">
        <v>1</v>
      </c>
      <c r="AC24" s="1575">
        <v>1</v>
      </c>
    </row>
    <row r="25" spans="1:29" ht="27">
      <c r="A25" s="514"/>
      <c r="B25" s="258" t="s">
        <v>544</v>
      </c>
      <c r="C25" s="572">
        <f>估价对象房地状况!C19</f>
        <v>0</v>
      </c>
      <c r="D25" s="562">
        <v>100</v>
      </c>
      <c r="E25" s="563"/>
      <c r="F25" s="564">
        <f>SUMIF(98:98,E26,99:99)-SUMIF(98:98,C26,99:99)+100</f>
        <v>102</v>
      </c>
      <c r="G25" s="561" t="s">
        <v>3086</v>
      </c>
      <c r="H25" s="558">
        <f>SUMIF(98:98,G26,99:99)-SUMIF(98:98,C26,99:99)+100</f>
        <v>100</v>
      </c>
      <c r="I25" s="563"/>
      <c r="J25" s="558">
        <f>SUMIF(98:98,I26,99:99)-SUMIF(98:98,C26,99:99)+100</f>
        <v>102</v>
      </c>
      <c r="K25" s="534">
        <v>2</v>
      </c>
      <c r="L25" s="2141"/>
      <c r="M25" s="2131"/>
      <c r="N25" s="2131"/>
      <c r="O25" s="2140"/>
      <c r="P25" s="3448"/>
      <c r="Q25" s="1571" t="str">
        <f t="shared" ref="Q25:Q39" si="8">B25</f>
        <v>区域土地利用方向</v>
      </c>
      <c r="R25" s="1572" t="s">
        <v>8</v>
      </c>
      <c r="S25" s="1573">
        <f>F25</f>
        <v>102</v>
      </c>
      <c r="T25" s="1572" t="s">
        <v>8</v>
      </c>
      <c r="U25" s="1573">
        <f>H25</f>
        <v>100</v>
      </c>
      <c r="V25" s="1572" t="s">
        <v>8</v>
      </c>
      <c r="W25" s="1573">
        <f>J25</f>
        <v>102</v>
      </c>
      <c r="X25" s="1566"/>
      <c r="Y25" s="3448"/>
      <c r="Z25" s="1574" t="str">
        <f>Q25</f>
        <v>区域土地利用方向</v>
      </c>
      <c r="AA25" s="1575">
        <f t="shared" si="3"/>
        <v>0.98039215686274506</v>
      </c>
      <c r="AB25" s="1575">
        <f t="shared" si="4"/>
        <v>1</v>
      </c>
      <c r="AC25" s="1575">
        <f t="shared" si="5"/>
        <v>0.98039215686274506</v>
      </c>
    </row>
    <row r="26" spans="1:29" ht="20.25">
      <c r="A26" s="514"/>
      <c r="B26" s="1006"/>
      <c r="C26" s="553" t="s">
        <v>3081</v>
      </c>
      <c r="D26" s="556"/>
      <c r="E26" s="557" t="s">
        <v>3082</v>
      </c>
      <c r="F26" s="554"/>
      <c r="G26" s="555" t="s">
        <v>3081</v>
      </c>
      <c r="H26" s="554"/>
      <c r="I26" s="557" t="s">
        <v>3082</v>
      </c>
      <c r="J26" s="554"/>
      <c r="K26" s="530"/>
      <c r="L26" s="2141"/>
      <c r="M26" s="2131"/>
      <c r="N26" s="2131"/>
      <c r="O26" s="2140"/>
      <c r="P26" s="3448"/>
      <c r="Q26" s="1571"/>
      <c r="R26" s="1572"/>
      <c r="S26" s="1573"/>
      <c r="T26" s="1572"/>
      <c r="U26" s="1573"/>
      <c r="V26" s="1572"/>
      <c r="W26" s="1573"/>
      <c r="X26" s="1566"/>
      <c r="Y26" s="3448"/>
      <c r="Z26" s="1574"/>
      <c r="AA26" s="1575"/>
      <c r="AB26" s="1575"/>
      <c r="AC26" s="1575"/>
    </row>
    <row r="27" spans="1:29" ht="27">
      <c r="A27" s="514"/>
      <c r="B27" s="577" t="s">
        <v>545</v>
      </c>
      <c r="C27" s="560">
        <f>估价对象房地状况!C20</f>
        <v>0</v>
      </c>
      <c r="D27" s="562">
        <v>100</v>
      </c>
      <c r="E27" s="563"/>
      <c r="F27" s="558">
        <f>SUMIF(100:100,E28,101:101)-SUMIF(100:100,C28,101:101)+100</f>
        <v>104</v>
      </c>
      <c r="G27" s="561"/>
      <c r="H27" s="558">
        <f>SUMIF(100:100,G28,101:101)-SUMIF(100:100,C28,101:101)+100</f>
        <v>100</v>
      </c>
      <c r="I27" s="563"/>
      <c r="J27" s="558">
        <f>SUMIF(100:100,I28,101:101)-SUMIF(100:100,C28,101:101)+100</f>
        <v>102</v>
      </c>
      <c r="K27" s="534">
        <v>2</v>
      </c>
      <c r="L27" s="2141"/>
      <c r="M27" s="2131"/>
      <c r="N27" s="2131"/>
      <c r="O27" s="2140"/>
      <c r="P27" s="3448"/>
      <c r="Q27" s="1571" t="str">
        <f t="shared" si="8"/>
        <v>自然及人文环境状况</v>
      </c>
      <c r="R27" s="1572" t="s">
        <v>8</v>
      </c>
      <c r="S27" s="1573">
        <f>F27</f>
        <v>104</v>
      </c>
      <c r="T27" s="1572" t="s">
        <v>8</v>
      </c>
      <c r="U27" s="1573">
        <f>H27</f>
        <v>100</v>
      </c>
      <c r="V27" s="1572" t="s">
        <v>8</v>
      </c>
      <c r="W27" s="1573">
        <f>J27</f>
        <v>102</v>
      </c>
      <c r="X27" s="1566"/>
      <c r="Y27" s="3448"/>
      <c r="Z27" s="1574" t="str">
        <f>Q27</f>
        <v>自然及人文环境状况</v>
      </c>
      <c r="AA27" s="1575">
        <f t="shared" si="3"/>
        <v>0.96153846153846156</v>
      </c>
      <c r="AB27" s="1575">
        <f t="shared" si="4"/>
        <v>1</v>
      </c>
      <c r="AC27" s="1575">
        <f t="shared" si="5"/>
        <v>0.98039215686274506</v>
      </c>
    </row>
    <row r="28" spans="1:29" ht="20.25">
      <c r="A28" s="514"/>
      <c r="B28" s="565"/>
      <c r="C28" s="553" t="s">
        <v>3075</v>
      </c>
      <c r="D28" s="556"/>
      <c r="E28" s="575" t="s">
        <v>3082</v>
      </c>
      <c r="F28" s="554"/>
      <c r="G28" s="553" t="s">
        <v>3075</v>
      </c>
      <c r="H28" s="554"/>
      <c r="I28" s="575" t="s">
        <v>3081</v>
      </c>
      <c r="J28" s="554"/>
      <c r="K28" s="530"/>
      <c r="L28" s="2141"/>
      <c r="M28" s="2131"/>
      <c r="N28" s="2131"/>
      <c r="O28" s="2140"/>
      <c r="P28" s="3448"/>
      <c r="Q28" s="1571"/>
      <c r="R28" s="1572"/>
      <c r="S28" s="1573"/>
      <c r="T28" s="1572"/>
      <c r="U28" s="1573"/>
      <c r="V28" s="1572"/>
      <c r="W28" s="1573"/>
      <c r="X28" s="1566"/>
      <c r="Y28" s="3448"/>
      <c r="Z28" s="1574"/>
      <c r="AA28" s="1575">
        <v>1</v>
      </c>
      <c r="AB28" s="1575">
        <v>1</v>
      </c>
      <c r="AC28" s="1575">
        <v>1</v>
      </c>
    </row>
    <row r="29" spans="1:29" s="1219" customFormat="1" ht="20.25">
      <c r="A29" s="576"/>
      <c r="B29" s="2614" t="s">
        <v>2549</v>
      </c>
      <c r="C29" s="572">
        <f>估价对象房地状况!C21</f>
        <v>0</v>
      </c>
      <c r="D29" s="562">
        <v>100</v>
      </c>
      <c r="E29" s="563"/>
      <c r="F29" s="558">
        <f>SUMIF(102:102,E30,103:103)-SUMIF(102:102,C30,103:103)+100</f>
        <v>104</v>
      </c>
      <c r="G29" s="561"/>
      <c r="H29" s="558">
        <f>SUMIF(102:102,G30,103:103)-SUMIF(102:102,C30,103:103)+100</f>
        <v>100</v>
      </c>
      <c r="I29" s="563"/>
      <c r="J29" s="558">
        <f>SUMIF(102:102,I30,103:103)-SUMIF(102:102,C30,103:103)+100</f>
        <v>102</v>
      </c>
      <c r="K29" s="534">
        <v>2</v>
      </c>
      <c r="L29" s="2134"/>
      <c r="M29" s="2131"/>
      <c r="N29" s="2131"/>
      <c r="O29" s="2136"/>
      <c r="P29" s="3448"/>
      <c r="Q29" s="1150" t="str">
        <f t="shared" si="8"/>
        <v>公共配套设施</v>
      </c>
      <c r="R29" s="1567" t="s">
        <v>8</v>
      </c>
      <c r="S29" s="1568">
        <f>F29</f>
        <v>104</v>
      </c>
      <c r="T29" s="1567" t="s">
        <v>8</v>
      </c>
      <c r="U29" s="1568">
        <f>H29</f>
        <v>100</v>
      </c>
      <c r="V29" s="1567" t="s">
        <v>8</v>
      </c>
      <c r="W29" s="1568">
        <f>J29</f>
        <v>102</v>
      </c>
      <c r="X29" s="1569"/>
      <c r="Y29" s="3448"/>
      <c r="Z29" s="1149" t="str">
        <f>Q29</f>
        <v>公共配套设施</v>
      </c>
      <c r="AA29" s="1575">
        <f>D29/F29</f>
        <v>0.96153846153846156</v>
      </c>
      <c r="AB29" s="1575">
        <f>D29/H29</f>
        <v>1</v>
      </c>
      <c r="AC29" s="1575">
        <f>D29/J29</f>
        <v>0.98039215686274506</v>
      </c>
    </row>
    <row r="30" spans="1:29" s="1219" customFormat="1" ht="20.25">
      <c r="A30" s="576"/>
      <c r="B30" s="565"/>
      <c r="C30" s="578" t="s">
        <v>3075</v>
      </c>
      <c r="D30" s="556"/>
      <c r="E30" s="575" t="s">
        <v>3082</v>
      </c>
      <c r="F30" s="554"/>
      <c r="G30" s="553" t="s">
        <v>3075</v>
      </c>
      <c r="H30" s="554"/>
      <c r="I30" s="575" t="s">
        <v>3081</v>
      </c>
      <c r="J30" s="554"/>
      <c r="K30" s="530"/>
      <c r="L30" s="2134"/>
      <c r="M30" s="2131"/>
      <c r="N30" s="2131"/>
      <c r="O30" s="2136"/>
      <c r="P30" s="3448"/>
      <c r="Q30" s="1150"/>
      <c r="R30" s="1567"/>
      <c r="S30" s="1568"/>
      <c r="T30" s="1567"/>
      <c r="U30" s="1568"/>
      <c r="V30" s="1567"/>
      <c r="W30" s="1568"/>
      <c r="X30" s="1569"/>
      <c r="Y30" s="3448"/>
      <c r="Z30" s="1149"/>
      <c r="AA30" s="1575">
        <v>1</v>
      </c>
      <c r="AB30" s="1575">
        <v>1</v>
      </c>
      <c r="AC30" s="1575">
        <v>1</v>
      </c>
    </row>
    <row r="31" spans="1:29" s="1219" customFormat="1" ht="20.25">
      <c r="A31" s="576"/>
      <c r="B31" s="2614" t="s">
        <v>2550</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448"/>
      <c r="Q31" s="2601" t="str">
        <f t="shared" ref="Q31" si="9">B31</f>
        <v>基础设施水平</v>
      </c>
      <c r="R31" s="1567" t="s">
        <v>8</v>
      </c>
      <c r="S31" s="1568">
        <f>F31</f>
        <v>100</v>
      </c>
      <c r="T31" s="1567" t="s">
        <v>8</v>
      </c>
      <c r="U31" s="1568">
        <f>H31</f>
        <v>100</v>
      </c>
      <c r="V31" s="1567" t="s">
        <v>8</v>
      </c>
      <c r="W31" s="1568">
        <f>J31</f>
        <v>100</v>
      </c>
      <c r="X31" s="1569"/>
      <c r="Y31" s="3448"/>
      <c r="Z31" s="2598" t="str">
        <f>Q31</f>
        <v>基础设施水平</v>
      </c>
      <c r="AA31" s="1575">
        <f>D31/F31</f>
        <v>1</v>
      </c>
      <c r="AB31" s="1575">
        <f>D31/H31</f>
        <v>1</v>
      </c>
      <c r="AC31" s="1575">
        <f>D31/J31</f>
        <v>1</v>
      </c>
    </row>
    <row r="32" spans="1:29" s="1219" customFormat="1" ht="20.25">
      <c r="A32" s="576"/>
      <c r="B32" s="565"/>
      <c r="C32" s="578" t="s">
        <v>3020</v>
      </c>
      <c r="D32" s="556"/>
      <c r="E32" s="2615" t="s">
        <v>3020</v>
      </c>
      <c r="F32" s="554"/>
      <c r="G32" s="578" t="s">
        <v>3020</v>
      </c>
      <c r="H32" s="554"/>
      <c r="I32" s="578" t="s">
        <v>3020</v>
      </c>
      <c r="J32" s="554"/>
      <c r="K32" s="530"/>
      <c r="L32" s="2134"/>
      <c r="M32" s="2131"/>
      <c r="N32" s="2131"/>
      <c r="O32" s="2136"/>
      <c r="P32" s="3448"/>
      <c r="Q32" s="2601"/>
      <c r="R32" s="1567"/>
      <c r="S32" s="1568"/>
      <c r="T32" s="1567"/>
      <c r="U32" s="1568"/>
      <c r="V32" s="1567"/>
      <c r="W32" s="1568"/>
      <c r="X32" s="1569"/>
      <c r="Y32" s="3448"/>
      <c r="Z32" s="2598"/>
      <c r="AA32" s="1575">
        <v>1</v>
      </c>
      <c r="AB32" s="1575">
        <v>1</v>
      </c>
      <c r="AC32" s="1575">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2</v>
      </c>
      <c r="L33" s="2141"/>
      <c r="M33" s="2131"/>
      <c r="N33" s="2131"/>
      <c r="O33" s="2140"/>
      <c r="P33" s="344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8"/>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102</v>
      </c>
      <c r="G34" s="561"/>
      <c r="H34" s="558">
        <f>SUMIF(108:108,G35,109:109)-SUMIF(108:108,C35,109:109)+100</f>
        <v>102</v>
      </c>
      <c r="I34" s="563"/>
      <c r="J34" s="558">
        <f>SUMIF(108:108,I35,109:109)-SUMIF(108:108,C35,109:109)+100</f>
        <v>102</v>
      </c>
      <c r="K34" s="534">
        <v>2</v>
      </c>
      <c r="L34" s="2141"/>
      <c r="M34" s="2131"/>
      <c r="N34" s="2131"/>
      <c r="O34" s="2140"/>
      <c r="P34" s="3448"/>
      <c r="Q34" s="1571" t="str">
        <f t="shared" si="8"/>
        <v>毗邻道路的类型与等级</v>
      </c>
      <c r="R34" s="1572" t="s">
        <v>8</v>
      </c>
      <c r="S34" s="1573">
        <f t="shared" si="10"/>
        <v>102</v>
      </c>
      <c r="T34" s="1572" t="s">
        <v>8</v>
      </c>
      <c r="U34" s="1573">
        <f t="shared" si="11"/>
        <v>102</v>
      </c>
      <c r="V34" s="1572" t="s">
        <v>8</v>
      </c>
      <c r="W34" s="1573">
        <f t="shared" si="12"/>
        <v>102</v>
      </c>
      <c r="X34" s="1566"/>
      <c r="Y34" s="3448"/>
      <c r="Z34" s="1574" t="str">
        <f t="shared" si="13"/>
        <v>毗邻道路的类型与等级</v>
      </c>
      <c r="AA34" s="1575">
        <f t="shared" si="3"/>
        <v>0.98039215686274506</v>
      </c>
      <c r="AB34" s="1575">
        <f t="shared" si="4"/>
        <v>0.98039215686274506</v>
      </c>
      <c r="AC34" s="1575">
        <f t="shared" si="5"/>
        <v>0.98039215686274506</v>
      </c>
    </row>
    <row r="35" spans="1:29" ht="21" thickBot="1">
      <c r="A35" s="531"/>
      <c r="B35" s="565"/>
      <c r="C35" s="553" t="s">
        <v>3022</v>
      </c>
      <c r="D35" s="556"/>
      <c r="E35" s="575" t="s">
        <v>3058</v>
      </c>
      <c r="F35" s="554"/>
      <c r="G35" s="553" t="s">
        <v>3058</v>
      </c>
      <c r="H35" s="554"/>
      <c r="I35" s="575" t="s">
        <v>3058</v>
      </c>
      <c r="J35" s="554"/>
      <c r="K35" s="580"/>
      <c r="L35" s="2141"/>
      <c r="M35" s="2131"/>
      <c r="N35" s="2131"/>
      <c r="O35" s="2140"/>
      <c r="P35" s="3448"/>
      <c r="Q35" s="1571"/>
      <c r="R35" s="1572"/>
      <c r="S35" s="1573"/>
      <c r="T35" s="1572"/>
      <c r="U35" s="1573"/>
      <c r="V35" s="1572"/>
      <c r="W35" s="1573"/>
      <c r="X35" s="1566"/>
      <c r="Y35" s="3448"/>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48"/>
      <c r="Q36" s="1571" t="str">
        <f t="shared" si="8"/>
        <v>土地级别</v>
      </c>
      <c r="R36" s="1572" t="s">
        <v>8</v>
      </c>
      <c r="S36" s="1573">
        <f t="shared" si="10"/>
        <v>100</v>
      </c>
      <c r="T36" s="1572" t="s">
        <v>8</v>
      </c>
      <c r="U36" s="1573">
        <f t="shared" si="11"/>
        <v>100</v>
      </c>
      <c r="V36" s="1572" t="s">
        <v>8</v>
      </c>
      <c r="W36" s="1573">
        <f t="shared" si="12"/>
        <v>100</v>
      </c>
      <c r="X36" s="1566"/>
      <c r="Y36" s="3448"/>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48"/>
      <c r="Q37" s="1571">
        <f t="shared" si="8"/>
        <v>111</v>
      </c>
      <c r="R37" s="1572" t="s">
        <v>8</v>
      </c>
      <c r="S37" s="1573">
        <f t="shared" si="10"/>
        <v>100</v>
      </c>
      <c r="T37" s="1572" t="s">
        <v>8</v>
      </c>
      <c r="U37" s="1573">
        <f t="shared" si="11"/>
        <v>100</v>
      </c>
      <c r="V37" s="1572" t="s">
        <v>8</v>
      </c>
      <c r="W37" s="1573">
        <f t="shared" si="12"/>
        <v>100</v>
      </c>
      <c r="X37" s="1566"/>
      <c r="Y37" s="3448"/>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49" t="s">
        <v>550</v>
      </c>
      <c r="Q38" s="1571">
        <f t="shared" si="8"/>
        <v>111</v>
      </c>
      <c r="R38" s="1572" t="s">
        <v>8</v>
      </c>
      <c r="S38" s="1573">
        <f t="shared" si="10"/>
        <v>100</v>
      </c>
      <c r="T38" s="1572" t="s">
        <v>8</v>
      </c>
      <c r="U38" s="1573">
        <f t="shared" si="11"/>
        <v>100</v>
      </c>
      <c r="V38" s="1572" t="s">
        <v>8</v>
      </c>
      <c r="W38" s="1573">
        <f t="shared" si="12"/>
        <v>100</v>
      </c>
      <c r="X38" s="1566"/>
      <c r="Y38" s="3450"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50"/>
      <c r="Q39" s="1571">
        <f t="shared" si="8"/>
        <v>111</v>
      </c>
      <c r="R39" s="1576" t="s">
        <v>8</v>
      </c>
      <c r="S39" s="1577">
        <f t="shared" si="10"/>
        <v>100</v>
      </c>
      <c r="T39" s="1576" t="s">
        <v>8</v>
      </c>
      <c r="U39" s="1577">
        <f t="shared" si="11"/>
        <v>100</v>
      </c>
      <c r="V39" s="1576" t="s">
        <v>8</v>
      </c>
      <c r="W39" s="1577">
        <f t="shared" si="12"/>
        <v>100</v>
      </c>
      <c r="X39" s="1578"/>
      <c r="Y39" s="3450"/>
      <c r="Z39" s="1579">
        <f t="shared" si="13"/>
        <v>111</v>
      </c>
      <c r="AA39" s="1575">
        <f t="shared" si="3"/>
        <v>1</v>
      </c>
      <c r="AB39" s="1575">
        <f t="shared" si="4"/>
        <v>1</v>
      </c>
      <c r="AC39" s="1575">
        <f t="shared" si="5"/>
        <v>1</v>
      </c>
    </row>
    <row r="40" spans="1:29" ht="20.25">
      <c r="A40" s="2930" t="s">
        <v>2756</v>
      </c>
      <c r="B40" s="594" t="s">
        <v>552</v>
      </c>
      <c r="C40" s="595">
        <f>'数据-基础表'!A3</f>
        <v>157370.63000000006</v>
      </c>
      <c r="D40" s="596">
        <v>100</v>
      </c>
      <c r="E40" s="595" t="e">
        <f>#REF!</f>
        <v>#REF!</v>
      </c>
      <c r="F40" s="596" t="e">
        <f>LOOKUP(E40,119:119,120:120)-LOOKUP(C40,119:119,120:120)+100</f>
        <v>#REF!</v>
      </c>
      <c r="G40" s="595" t="e">
        <f>#REF!</f>
        <v>#REF!</v>
      </c>
      <c r="H40" s="596" t="e">
        <f>LOOKUP(G40,119:119,120:120)-LOOKUP(C40,119:119,120:120)+100</f>
        <v>#REF!</v>
      </c>
      <c r="I40" s="597" t="e">
        <f>#REF!</f>
        <v>#REF!</v>
      </c>
      <c r="J40" s="596" t="e">
        <f>LOOKUP(I40,119:119,120:120)-LOOKUP(C40,119:119,120:120)+100</f>
        <v>#REF!</v>
      </c>
      <c r="K40" s="580"/>
      <c r="L40" s="2141"/>
      <c r="M40" s="2131"/>
      <c r="N40" s="2131"/>
      <c r="O40" s="2140"/>
      <c r="P40" s="3450"/>
      <c r="Q40" s="1571" t="str">
        <f>B40</f>
        <v>宗地面积</v>
      </c>
      <c r="R40" s="1572" t="s">
        <v>8</v>
      </c>
      <c r="S40" s="1573" t="e">
        <f t="shared" si="10"/>
        <v>#REF!</v>
      </c>
      <c r="T40" s="1572" t="s">
        <v>8</v>
      </c>
      <c r="U40" s="1573" t="e">
        <f t="shared" si="11"/>
        <v>#REF!</v>
      </c>
      <c r="V40" s="1572" t="s">
        <v>8</v>
      </c>
      <c r="W40" s="1573" t="e">
        <f t="shared" si="12"/>
        <v>#REF!</v>
      </c>
      <c r="X40" s="1566"/>
      <c r="Y40" s="3450"/>
      <c r="Z40" s="1574" t="str">
        <f t="shared" si="13"/>
        <v>宗地面积</v>
      </c>
      <c r="AA40" s="1575" t="e">
        <f t="shared" si="3"/>
        <v>#REF!</v>
      </c>
      <c r="AB40" s="1575" t="e">
        <f t="shared" si="4"/>
        <v>#REF!</v>
      </c>
      <c r="AC40" s="1575" t="e">
        <f t="shared" si="5"/>
        <v>#REF!</v>
      </c>
    </row>
    <row r="41" spans="1:29" ht="20.25">
      <c r="A41" s="593"/>
      <c r="B41" s="526" t="s">
        <v>553</v>
      </c>
      <c r="C41" s="598" t="s">
        <v>3064</v>
      </c>
      <c r="D41" s="539">
        <v>100</v>
      </c>
      <c r="E41" s="598" t="s">
        <v>3062</v>
      </c>
      <c r="F41" s="539">
        <f>SUMIF(121:121,E41,122:122)-SUMIF(121:121,C41,122:122)+100</f>
        <v>102</v>
      </c>
      <c r="G41" s="598" t="s">
        <v>3062</v>
      </c>
      <c r="H41" s="539">
        <f>SUMIF(121:121,G41,122:122)-SUMIF(121:121,C41,122:122)+100</f>
        <v>102</v>
      </c>
      <c r="I41" s="598" t="s">
        <v>3062</v>
      </c>
      <c r="J41" s="539">
        <f>SUMIF(121:121,I41,122:122)-SUMIF(121:121,C41,122:122)+100</f>
        <v>102</v>
      </c>
      <c r="K41" s="583">
        <v>2</v>
      </c>
      <c r="L41" s="2141"/>
      <c r="M41" s="2131"/>
      <c r="N41" s="2131"/>
      <c r="O41" s="2140"/>
      <c r="P41" s="3450"/>
      <c r="Q41" s="1571" t="str">
        <f t="shared" ref="Q41:Q47" si="14">B41</f>
        <v>宗地形状</v>
      </c>
      <c r="R41" s="1572" t="s">
        <v>8</v>
      </c>
      <c r="S41" s="1573">
        <f t="shared" si="10"/>
        <v>102</v>
      </c>
      <c r="T41" s="1572" t="s">
        <v>8</v>
      </c>
      <c r="U41" s="1573">
        <f t="shared" si="11"/>
        <v>102</v>
      </c>
      <c r="V41" s="1572" t="s">
        <v>8</v>
      </c>
      <c r="W41" s="1573">
        <f t="shared" si="12"/>
        <v>102</v>
      </c>
      <c r="X41" s="1566"/>
      <c r="Y41" s="3450"/>
      <c r="Z41" s="1574" t="str">
        <f t="shared" si="13"/>
        <v>宗地形状</v>
      </c>
      <c r="AA41" s="1575">
        <f t="shared" si="3"/>
        <v>0.98039215686274506</v>
      </c>
      <c r="AB41" s="1575">
        <f t="shared" si="4"/>
        <v>0.98039215686274506</v>
      </c>
      <c r="AC41" s="1575">
        <f t="shared" si="5"/>
        <v>0.98039215686274506</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450"/>
      <c r="Q42" s="1571" t="str">
        <f t="shared" si="14"/>
        <v>临街宽度及深度</v>
      </c>
      <c r="R42" s="1572" t="s">
        <v>8</v>
      </c>
      <c r="S42" s="1573">
        <f t="shared" si="10"/>
        <v>100</v>
      </c>
      <c r="T42" s="1572" t="s">
        <v>8</v>
      </c>
      <c r="U42" s="1573">
        <f t="shared" si="11"/>
        <v>100</v>
      </c>
      <c r="V42" s="1572" t="s">
        <v>8</v>
      </c>
      <c r="W42" s="1573">
        <f t="shared" si="12"/>
        <v>100</v>
      </c>
      <c r="X42" s="1566"/>
      <c r="Y42" s="3450"/>
      <c r="Z42" s="1574" t="str">
        <f t="shared" si="13"/>
        <v>临街宽度及深度</v>
      </c>
      <c r="AA42" s="1575">
        <f t="shared" si="3"/>
        <v>1</v>
      </c>
      <c r="AB42" s="1575">
        <f t="shared" si="4"/>
        <v>1</v>
      </c>
      <c r="AC42" s="1575">
        <f t="shared" si="5"/>
        <v>1</v>
      </c>
    </row>
    <row r="43" spans="1:29" s="1219" customFormat="1" ht="20.25">
      <c r="A43" s="599"/>
      <c r="B43" s="1894" t="s">
        <v>2425</v>
      </c>
      <c r="C43" s="600" t="s">
        <v>3019</v>
      </c>
      <c r="D43" s="254">
        <v>100</v>
      </c>
      <c r="E43" s="600" t="s">
        <v>3071</v>
      </c>
      <c r="F43" s="539">
        <f>SUMIF(125:125,E43,126:126)-SUMIF(125:125,C43,126:126)+100</f>
        <v>98</v>
      </c>
      <c r="G43" s="600" t="s">
        <v>3071</v>
      </c>
      <c r="H43" s="539">
        <f>SUMIF(125:125,G43,126:126)-SUMIF(125:125,C43,126:126)+100</f>
        <v>98</v>
      </c>
      <c r="I43" s="600" t="s">
        <v>3071</v>
      </c>
      <c r="J43" s="539">
        <f>SUMIF(125:125,I43,126:126)-SUMIF(125:125,C43,126:126)+100</f>
        <v>98</v>
      </c>
      <c r="K43" s="583">
        <v>1</v>
      </c>
      <c r="L43" s="2134"/>
      <c r="M43" s="2131"/>
      <c r="N43" s="2131"/>
      <c r="O43" s="2136"/>
      <c r="P43" s="3450"/>
      <c r="Q43" s="1571" t="str">
        <f t="shared" si="14"/>
        <v>宗地开发程度</v>
      </c>
      <c r="R43" s="1567" t="s">
        <v>8</v>
      </c>
      <c r="S43" s="1568">
        <f t="shared" si="10"/>
        <v>98</v>
      </c>
      <c r="T43" s="1567" t="s">
        <v>8</v>
      </c>
      <c r="U43" s="1568">
        <f t="shared" si="11"/>
        <v>98</v>
      </c>
      <c r="V43" s="1567" t="s">
        <v>8</v>
      </c>
      <c r="W43" s="1568">
        <f t="shared" si="12"/>
        <v>98</v>
      </c>
      <c r="X43" s="1569"/>
      <c r="Y43" s="3450"/>
      <c r="Z43" s="1149" t="str">
        <f t="shared" si="13"/>
        <v>宗地开发程度</v>
      </c>
      <c r="AA43" s="1570">
        <f t="shared" si="3"/>
        <v>1.0204081632653061</v>
      </c>
      <c r="AB43" s="1570">
        <f t="shared" si="4"/>
        <v>1.0204081632653061</v>
      </c>
      <c r="AC43" s="1570">
        <f t="shared" si="5"/>
        <v>1.0204081632653061</v>
      </c>
    </row>
    <row r="44" spans="1:29" ht="21" thickBot="1">
      <c r="A44" s="593"/>
      <c r="B44" s="526" t="s">
        <v>555</v>
      </c>
      <c r="C44" s="598" t="s">
        <v>3073</v>
      </c>
      <c r="D44" s="539">
        <v>100</v>
      </c>
      <c r="E44" s="598" t="s">
        <v>3073</v>
      </c>
      <c r="F44" s="539">
        <f>SUMIF(127:127,E44,128:128)-SUMIF(127:127,C44,128:128)+100</f>
        <v>100</v>
      </c>
      <c r="G44" s="598" t="s">
        <v>3073</v>
      </c>
      <c r="H44" s="539">
        <f>SUMIF(127:127,G44,128:128)-SUMIF(127:127,C44,128:128)+100</f>
        <v>100</v>
      </c>
      <c r="I44" s="598" t="s">
        <v>3073</v>
      </c>
      <c r="J44" s="539">
        <f>SUMIF(127:127,I44,128:128)-SUMIF(127:127,C44,128:128)+100</f>
        <v>100</v>
      </c>
      <c r="K44" s="583">
        <v>2</v>
      </c>
      <c r="L44" s="2141"/>
      <c r="M44" s="2131"/>
      <c r="N44" s="2131"/>
      <c r="O44" s="2140"/>
      <c r="P44" s="3450" t="s">
        <v>550</v>
      </c>
      <c r="Q44" s="1571" t="str">
        <f t="shared" si="14"/>
        <v>工程地质条件</v>
      </c>
      <c r="R44" s="1572" t="s">
        <v>8</v>
      </c>
      <c r="S44" s="1573">
        <f t="shared" si="10"/>
        <v>100</v>
      </c>
      <c r="T44" s="1572" t="s">
        <v>8</v>
      </c>
      <c r="U44" s="1573">
        <f t="shared" si="11"/>
        <v>100</v>
      </c>
      <c r="V44" s="1572" t="s">
        <v>8</v>
      </c>
      <c r="W44" s="1573">
        <f t="shared" si="12"/>
        <v>100</v>
      </c>
      <c r="X44" s="1566"/>
      <c r="Y44" s="3450"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50"/>
      <c r="Q45" s="1571">
        <f t="shared" si="14"/>
        <v>111</v>
      </c>
      <c r="R45" s="1572" t="s">
        <v>8</v>
      </c>
      <c r="S45" s="1573">
        <f t="shared" si="10"/>
        <v>100</v>
      </c>
      <c r="T45" s="1572" t="s">
        <v>8</v>
      </c>
      <c r="U45" s="1573">
        <f t="shared" si="11"/>
        <v>100</v>
      </c>
      <c r="V45" s="1572" t="s">
        <v>8</v>
      </c>
      <c r="W45" s="1573">
        <f t="shared" si="12"/>
        <v>100</v>
      </c>
      <c r="X45" s="1566"/>
      <c r="Y45" s="3450"/>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50"/>
      <c r="Q46" s="1571">
        <f t="shared" si="14"/>
        <v>111</v>
      </c>
      <c r="R46" s="1572" t="s">
        <v>8</v>
      </c>
      <c r="S46" s="1573">
        <f t="shared" si="10"/>
        <v>100</v>
      </c>
      <c r="T46" s="1572" t="s">
        <v>8</v>
      </c>
      <c r="U46" s="1573">
        <f t="shared" si="11"/>
        <v>100</v>
      </c>
      <c r="V46" s="1572" t="s">
        <v>8</v>
      </c>
      <c r="W46" s="1573">
        <f t="shared" si="12"/>
        <v>100</v>
      </c>
      <c r="X46" s="1566"/>
      <c r="Y46" s="3450"/>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50"/>
      <c r="Q47" s="1571">
        <f t="shared" si="14"/>
        <v>111</v>
      </c>
      <c r="R47" s="1576" t="s">
        <v>8</v>
      </c>
      <c r="S47" s="1577">
        <f t="shared" si="10"/>
        <v>100</v>
      </c>
      <c r="T47" s="1576" t="s">
        <v>8</v>
      </c>
      <c r="U47" s="1577">
        <f t="shared" si="11"/>
        <v>100</v>
      </c>
      <c r="V47" s="1576" t="s">
        <v>8</v>
      </c>
      <c r="W47" s="1577">
        <f t="shared" si="12"/>
        <v>100</v>
      </c>
      <c r="X47" s="1578"/>
      <c r="Y47" s="3450"/>
      <c r="Z47" s="1579">
        <f t="shared" si="13"/>
        <v>111</v>
      </c>
      <c r="AA47" s="1575">
        <f t="shared" si="3"/>
        <v>1</v>
      </c>
      <c r="AB47" s="1575">
        <f t="shared" si="4"/>
        <v>1</v>
      </c>
      <c r="AC47" s="1575">
        <f t="shared" si="5"/>
        <v>1</v>
      </c>
    </row>
    <row r="48" spans="1:29" ht="20.25">
      <c r="A48" s="606" t="s">
        <v>556</v>
      </c>
      <c r="B48" s="607" t="s">
        <v>3055</v>
      </c>
      <c r="C48" s="608" t="s">
        <v>1</v>
      </c>
      <c r="D48" s="609"/>
      <c r="E48" s="610" t="e">
        <f>#REF!</f>
        <v>#REF!</v>
      </c>
      <c r="F48" s="611"/>
      <c r="G48" s="612" t="e">
        <f>#REF!</f>
        <v>#REF!</v>
      </c>
      <c r="H48" s="613"/>
      <c r="I48" s="610" t="e">
        <f>#REF!</f>
        <v>#REF!</v>
      </c>
      <c r="J48" s="613"/>
      <c r="K48" s="1339"/>
      <c r="L48" s="2143"/>
      <c r="M48" s="2131"/>
      <c r="N48" s="2131"/>
      <c r="O48" s="2144"/>
      <c r="P48" s="3412" t="str">
        <f>A48</f>
        <v>成交单价</v>
      </c>
      <c r="Q48" s="3412"/>
      <c r="R48" s="3413" t="e">
        <f>E48</f>
        <v>#REF!</v>
      </c>
      <c r="S48" s="3413"/>
      <c r="T48" s="3413" t="e">
        <f>G48</f>
        <v>#REF!</v>
      </c>
      <c r="U48" s="3413"/>
      <c r="V48" s="3413" t="e">
        <f>I48</f>
        <v>#REF!</v>
      </c>
      <c r="W48" s="3413"/>
      <c r="X48" s="1558"/>
      <c r="Y48" s="1580"/>
      <c r="Z48" s="1558"/>
      <c r="AA48" s="1558"/>
      <c r="AB48" s="1558"/>
      <c r="AC48" s="1558"/>
    </row>
    <row r="49" spans="1:29" ht="21" thickBot="1">
      <c r="A49" s="614" t="s">
        <v>2694</v>
      </c>
      <c r="B49" s="615"/>
      <c r="C49" s="616" t="e">
        <f>R50</f>
        <v>#REF!</v>
      </c>
      <c r="D49" s="617"/>
      <c r="E49" s="616" t="e">
        <f>R49</f>
        <v>#REF!</v>
      </c>
      <c r="F49" s="618"/>
      <c r="G49" s="619" t="e">
        <f>T49</f>
        <v>#REF!</v>
      </c>
      <c r="H49" s="617"/>
      <c r="I49" s="616" t="e">
        <f>V49</f>
        <v>#REF!</v>
      </c>
      <c r="J49" s="617"/>
      <c r="K49" s="1340"/>
      <c r="L49" s="2143"/>
      <c r="M49" s="2131"/>
      <c r="N49" s="2131"/>
      <c r="O49" s="2144"/>
      <c r="P49" s="3412" t="str">
        <f>A49</f>
        <v>比较价格（元/平方米）</v>
      </c>
      <c r="Q49" s="3412"/>
      <c r="R49" s="3414" t="e">
        <f>ROUND(PRODUCT(R48,AA9:AA47),0)</f>
        <v>#REF!</v>
      </c>
      <c r="S49" s="3414"/>
      <c r="T49" s="3414" t="e">
        <f>ROUND(PRODUCT(T48,AB9:AB47),0)</f>
        <v>#REF!</v>
      </c>
      <c r="U49" s="3414"/>
      <c r="V49" s="3414" t="e">
        <f>ROUND(PRODUCT(V48,AC9:AC47),0)</f>
        <v>#REF!</v>
      </c>
      <c r="W49" s="3414"/>
      <c r="X49" s="1558"/>
      <c r="Y49" s="1558"/>
      <c r="Z49" s="1558"/>
      <c r="AA49" s="1558"/>
      <c r="AB49" s="1558"/>
      <c r="AC49" s="1558"/>
    </row>
    <row r="50" spans="1:29" ht="21" thickBot="1">
      <c r="A50" s="620" t="s">
        <v>3087</v>
      </c>
      <c r="B50" s="621"/>
      <c r="C50" s="622" t="e">
        <f>R50</f>
        <v>#REF!</v>
      </c>
      <c r="D50" s="622"/>
      <c r="E50" s="622"/>
      <c r="F50" s="622"/>
      <c r="G50" s="622"/>
      <c r="H50" s="622"/>
      <c r="I50" s="622"/>
      <c r="J50" s="622"/>
      <c r="K50" s="1341"/>
      <c r="L50" s="2143"/>
      <c r="M50" s="2131"/>
      <c r="N50" s="2131"/>
      <c r="O50" s="2144"/>
      <c r="P50" s="3409" t="str">
        <f>A50</f>
        <v>估价对象住宅用地比较价格（楼面单价，元/平方米）</v>
      </c>
      <c r="Q50" s="3410"/>
      <c r="R50" s="3411" t="e">
        <f>ROUND(AVERAGE(R49:V49),0)</f>
        <v>#REF!</v>
      </c>
      <c r="S50" s="3411"/>
      <c r="T50" s="3411"/>
      <c r="U50" s="3411"/>
      <c r="V50" s="3411"/>
      <c r="W50" s="3411"/>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#REF!</v>
      </c>
      <c r="F53" s="626" t="e">
        <f>IF(OR(E53&gt;=0.3,E53&lt;=-0.3),"超过30%","")</f>
        <v>#REF!</v>
      </c>
      <c r="G53" s="625" t="e">
        <f>IF(G48&lt;G49,G49/G48-1,G48/G49-1)</f>
        <v>#REF!</v>
      </c>
      <c r="H53" s="626" t="e">
        <f>IF(OR(G53&gt;=0.3,G53&lt;=-0.3),"超过30%","")</f>
        <v>#REF!</v>
      </c>
      <c r="I53" s="625" t="e">
        <f>IF(I48&lt;I49,I49/I48-1,I48/I49-1)</f>
        <v>#REF!</v>
      </c>
      <c r="J53" s="626" t="e">
        <f>IF(OR(I53&gt;=0.3,I53&lt;=-0.3),"超过30%","")</f>
        <v>#REF!</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#REF!</v>
      </c>
      <c r="F54" s="626" t="e">
        <f>IF(OR(E54&gt;=0.2,E54&lt;=-0.2),"超过20%","")</f>
        <v>#REF!</v>
      </c>
      <c r="G54" s="625" t="e">
        <f>IF(G49&lt;I49,I49/G49-1,G49/I49-1)</f>
        <v>#REF!</v>
      </c>
      <c r="H54" s="626" t="e">
        <f>IF(OR(G54&gt;=0.2,G54&lt;=-0.2),"超过20%","")</f>
        <v>#REF!</v>
      </c>
      <c r="I54" s="625" t="e">
        <f>IF(I49&lt;E49,E49/I49-1,I49/E49-1)</f>
        <v>#REF!</v>
      </c>
      <c r="J54" s="626" t="e">
        <f>IF(OR(I54&gt;=0.2,I54&lt;=-0.2),"超过20%","")</f>
        <v>#REF!</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559</v>
      </c>
      <c r="D55" s="627"/>
      <c r="E55" s="625" t="e">
        <f>IF(E48&lt;G48,G48/E48-1,E48/G48-1)</f>
        <v>#REF!</v>
      </c>
      <c r="F55" s="626" t="e">
        <f>IF(OR(E55&gt;=0.3,E55&lt;=-0.3),"超过30%","")</f>
        <v>#REF!</v>
      </c>
      <c r="G55" s="625" t="e">
        <f>IF(G48&lt;I48,I48/G48-1,G48/I48-1)</f>
        <v>#REF!</v>
      </c>
      <c r="H55" s="626" t="e">
        <f>IF(OR(G55&gt;=0.3,G55&lt;=-0.3),"超过30%","")</f>
        <v>#REF!</v>
      </c>
      <c r="I55" s="625" t="e">
        <f>IF(I48&lt;E48,E48/I48-1,I48/E48-1)</f>
        <v>#REF!</v>
      </c>
      <c r="J55" s="626" t="e">
        <f>IF(OR(I55&gt;=0.3,I55&lt;=-0.3),"超过30%","")</f>
        <v>#REF!</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560</v>
      </c>
      <c r="B57" s="629" t="s">
        <v>561</v>
      </c>
      <c r="C57" s="1559" t="s">
        <v>1725</v>
      </c>
      <c r="D57" s="2226" t="s">
        <v>2294</v>
      </c>
      <c r="E57" s="630" t="s">
        <v>562</v>
      </c>
      <c r="F57" s="631" t="s">
        <v>563</v>
      </c>
      <c r="G57" s="3439" t="s">
        <v>2282</v>
      </c>
      <c r="H57" s="3440"/>
      <c r="I57" s="1554" t="s">
        <v>1723</v>
      </c>
      <c r="J57" s="1554" t="str">
        <f>项目基本情况!F41</f>
        <v>广东省珠海市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564</v>
      </c>
      <c r="B58" s="633" t="e">
        <f>C50</f>
        <v>#REF!</v>
      </c>
      <c r="C58" s="634">
        <v>1</v>
      </c>
      <c r="D58" s="2227">
        <v>1</v>
      </c>
      <c r="E58" s="634">
        <f>'数据-汇总表'!E8+'数据-汇总表'!E9</f>
        <v>140004.31000000006</v>
      </c>
      <c r="F58" s="635" t="e">
        <f t="shared" ref="F58:F67" si="15">ROUND(B58*E58/10000,0)</f>
        <v>#REF!</v>
      </c>
      <c r="G58" s="3441"/>
      <c r="H58" s="3442"/>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565</v>
      </c>
      <c r="B59" s="637" t="e">
        <f>ROUND($C$50*C59*D59,0)</f>
        <v>#REF!</v>
      </c>
      <c r="C59" s="377">
        <f t="shared" ref="C59:C67" si="16">IF($C$57="北京市系数",I59,J59)</f>
        <v>0</v>
      </c>
      <c r="D59" s="2228">
        <v>0.25</v>
      </c>
      <c r="E59" s="638">
        <v>0</v>
      </c>
      <c r="F59" s="635" t="e">
        <f t="shared" si="15"/>
        <v>#REF!</v>
      </c>
      <c r="G59" s="3443"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566</v>
      </c>
      <c r="B60" s="637" t="e">
        <f t="shared" ref="B60:B67" si="17">ROUND($C$50*C60*D60,0)</f>
        <v>#REF!</v>
      </c>
      <c r="C60" s="377">
        <f t="shared" si="16"/>
        <v>0</v>
      </c>
      <c r="D60" s="2228">
        <v>0.25</v>
      </c>
      <c r="E60" s="638">
        <v>0</v>
      </c>
      <c r="F60" s="635" t="e">
        <f t="shared" si="15"/>
        <v>#REF!</v>
      </c>
      <c r="G60" s="3443"/>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567</v>
      </c>
      <c r="B61" s="637" t="e">
        <f t="shared" si="17"/>
        <v>#REF!</v>
      </c>
      <c r="C61" s="377">
        <f t="shared" si="16"/>
        <v>0</v>
      </c>
      <c r="D61" s="2228">
        <v>0.25</v>
      </c>
      <c r="E61" s="638">
        <v>0</v>
      </c>
      <c r="F61" s="635" t="e">
        <f t="shared" si="15"/>
        <v>#REF!</v>
      </c>
      <c r="G61" s="3443"/>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568</v>
      </c>
      <c r="B62" s="637" t="e">
        <f t="shared" si="17"/>
        <v>#REF!</v>
      </c>
      <c r="C62" s="377">
        <f t="shared" si="16"/>
        <v>0</v>
      </c>
      <c r="D62" s="2228">
        <v>0.25</v>
      </c>
      <c r="E62" s="638">
        <v>0</v>
      </c>
      <c r="F62" s="635" t="e">
        <f t="shared" si="15"/>
        <v>#REF!</v>
      </c>
      <c r="G62" s="3443"/>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7" t="e">
        <f t="shared" si="17"/>
        <v>#REF!</v>
      </c>
      <c r="C63" s="377">
        <f t="shared" si="16"/>
        <v>0</v>
      </c>
      <c r="D63" s="2228">
        <v>0.25</v>
      </c>
      <c r="E63" s="640">
        <f>'数据-汇总表'!E11</f>
        <v>0</v>
      </c>
      <c r="F63" s="635" t="e">
        <f t="shared" si="15"/>
        <v>#REF!</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569</v>
      </c>
      <c r="B64" s="637" t="e">
        <f t="shared" si="17"/>
        <v>#REF!</v>
      </c>
      <c r="C64" s="377">
        <f t="shared" si="16"/>
        <v>0</v>
      </c>
      <c r="D64" s="2228">
        <v>0.25</v>
      </c>
      <c r="E64" s="640">
        <f>'数据-汇总表'!E12</f>
        <v>0</v>
      </c>
      <c r="F64" s="635" t="e">
        <f t="shared" si="15"/>
        <v>#REF!</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570</v>
      </c>
      <c r="B65" s="637" t="e">
        <f t="shared" si="17"/>
        <v>#REF!</v>
      </c>
      <c r="C65" s="377">
        <f t="shared" si="16"/>
        <v>0</v>
      </c>
      <c r="D65" s="2228">
        <v>0.25</v>
      </c>
      <c r="E65" s="640">
        <f>'数据-汇总表'!E13</f>
        <v>0</v>
      </c>
      <c r="F65" s="635" t="e">
        <f t="shared" si="15"/>
        <v>#REF!</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571</v>
      </c>
      <c r="B66" s="637" t="e">
        <f t="shared" si="17"/>
        <v>#REF!</v>
      </c>
      <c r="C66" s="377">
        <f t="shared" si="16"/>
        <v>0</v>
      </c>
      <c r="D66" s="2228">
        <v>0.25</v>
      </c>
      <c r="E66" s="640">
        <f>'数据-汇总表'!E14</f>
        <v>0</v>
      </c>
      <c r="F66" s="635" t="e">
        <f t="shared" si="15"/>
        <v>#REF!</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572</v>
      </c>
      <c r="B67" s="637" t="e">
        <f t="shared" si="17"/>
        <v>#REF!</v>
      </c>
      <c r="C67" s="377">
        <f t="shared" si="16"/>
        <v>0</v>
      </c>
      <c r="D67" s="2228">
        <v>0.25</v>
      </c>
      <c r="E67" s="640">
        <f>'数据-汇总表'!E15</f>
        <v>0</v>
      </c>
      <c r="F67" s="635" t="e">
        <f t="shared" si="15"/>
        <v>#REF!</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573</v>
      </c>
      <c r="B68" s="642" t="s">
        <v>17</v>
      </c>
      <c r="C68" s="642" t="s">
        <v>18</v>
      </c>
      <c r="D68" s="642" t="s">
        <v>2295</v>
      </c>
      <c r="E68" s="642">
        <f>IF(B48="楼面地价",SUM(E58:E67),'数据-汇总表'!D3)</f>
        <v>140004.31000000006</v>
      </c>
      <c r="F68" s="643" t="e">
        <f>IF(B48="楼面地价",SUM(F58:F67),ROUND(C50*E68/10000,0))</f>
        <v>#REF!</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2533</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9" customFormat="1" ht="27" customHeight="1">
      <c r="A73" s="2829" t="s">
        <v>2648</v>
      </c>
      <c r="B73" s="478" t="str">
        <f>"北京市平均增长率"&amp;TEXT(SUMIF(基准地价!N21:N25,A73,基准地价!P21:P25),"0.00%")</f>
        <v>北京市平均增长率2.27%</v>
      </c>
      <c r="C73" s="893">
        <v>100</v>
      </c>
      <c r="D73" s="3190">
        <f>C73-$C$74</f>
        <v>99.5</v>
      </c>
      <c r="E73" s="3190">
        <f>D73-$C$74</f>
        <v>99</v>
      </c>
      <c r="F73" s="3190">
        <f t="shared" ref="F73:J73" si="20">E73-$C$74</f>
        <v>98.5</v>
      </c>
      <c r="G73" s="3190">
        <f t="shared" si="20"/>
        <v>98</v>
      </c>
      <c r="H73" s="3190">
        <f t="shared" si="20"/>
        <v>97.5</v>
      </c>
      <c r="I73" s="3190">
        <f t="shared" si="20"/>
        <v>97</v>
      </c>
      <c r="J73" s="3190">
        <f t="shared" si="20"/>
        <v>96.5</v>
      </c>
      <c r="K73" s="729"/>
      <c r="L73" s="729"/>
      <c r="M73" s="2815"/>
      <c r="N73" s="2816"/>
      <c r="O73" s="2161"/>
      <c r="P73" s="2157"/>
      <c r="Q73" s="1992"/>
      <c r="R73" s="1992"/>
      <c r="S73" s="1992"/>
      <c r="T73" s="1992"/>
      <c r="U73" s="1992"/>
      <c r="V73" s="1992"/>
      <c r="W73" s="1992"/>
      <c r="X73" s="1992"/>
      <c r="Y73" s="1992"/>
      <c r="Z73" s="1992"/>
      <c r="AA73" s="1992"/>
      <c r="AB73" s="1992"/>
      <c r="AC73" s="1992"/>
    </row>
    <row r="74" spans="1:29" s="1219" customFormat="1" ht="15" customHeight="1" thickBot="1">
      <c r="A74" s="2819" t="s">
        <v>2647</v>
      </c>
      <c r="B74" s="2828"/>
      <c r="C74" s="3189">
        <v>0.5</v>
      </c>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9" customFormat="1" ht="15">
      <c r="A75" s="658" t="s">
        <v>531</v>
      </c>
      <c r="B75" s="647"/>
      <c r="C75" s="659" t="s">
        <v>576</v>
      </c>
      <c r="D75" s="3191" t="s">
        <v>3046</v>
      </c>
      <c r="E75" s="3191" t="s">
        <v>3047</v>
      </c>
      <c r="F75" s="3191" t="s">
        <v>3049</v>
      </c>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v>115</v>
      </c>
      <c r="E76" s="649">
        <v>110</v>
      </c>
      <c r="F76" s="649">
        <v>105</v>
      </c>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577</v>
      </c>
      <c r="B77" s="664" t="s">
        <v>534</v>
      </c>
      <c r="C77" s="3192" t="s">
        <v>3051</v>
      </c>
      <c r="D77" s="3192" t="s">
        <v>3052</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102</v>
      </c>
      <c r="D78" s="670">
        <v>100</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3193" t="s">
        <v>3053</v>
      </c>
      <c r="D84" s="1375" t="s">
        <v>3054</v>
      </c>
      <c r="E84" s="1376"/>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v>98</v>
      </c>
      <c r="D85" s="670">
        <v>100</v>
      </c>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2551</v>
      </c>
      <c r="C104" s="2621" t="s">
        <v>2552</v>
      </c>
      <c r="D104" s="2621" t="s">
        <v>2553</v>
      </c>
      <c r="E104" s="2621" t="s">
        <v>2554</v>
      </c>
      <c r="F104" s="2621" t="s">
        <v>2555</v>
      </c>
      <c r="G104" s="2621"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548</v>
      </c>
      <c r="C108" s="3193" t="s">
        <v>3056</v>
      </c>
      <c r="D108" s="3193" t="s">
        <v>3057</v>
      </c>
      <c r="E108" s="3193" t="s">
        <v>3059</v>
      </c>
      <c r="F108" s="3193" t="s">
        <v>3060</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110" t="str">
        <f t="shared" si="26"/>
        <v>(含)-</v>
      </c>
      <c r="K118" s="3110" t="str">
        <f t="shared" si="26"/>
        <v>(含)-</v>
      </c>
      <c r="L118" s="3111" t="str">
        <f t="shared" si="26"/>
        <v>(含)-</v>
      </c>
      <c r="M118" s="311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20000</v>
      </c>
      <c r="E119" s="729">
        <v>40000</v>
      </c>
      <c r="F119" s="729">
        <v>60000</v>
      </c>
      <c r="G119" s="729">
        <v>80000</v>
      </c>
      <c r="H119" s="729">
        <v>100000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102</v>
      </c>
      <c r="E120" s="725">
        <v>104</v>
      </c>
      <c r="F120" s="725">
        <v>106</v>
      </c>
      <c r="G120" s="725">
        <v>108</v>
      </c>
      <c r="H120" s="725">
        <v>110</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94" t="s">
        <v>3061</v>
      </c>
      <c r="D121" s="3194" t="s">
        <v>3063</v>
      </c>
      <c r="E121" s="3194" t="s">
        <v>3065</v>
      </c>
      <c r="F121" s="3194" t="s">
        <v>3066</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595</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2426</v>
      </c>
      <c r="C125" s="1375" t="s">
        <v>3067</v>
      </c>
      <c r="D125" s="1375" t="s">
        <v>3068</v>
      </c>
      <c r="E125" s="1375" t="s">
        <v>3069</v>
      </c>
      <c r="F125" s="1375" t="s">
        <v>3070</v>
      </c>
      <c r="G125" s="1375" t="s">
        <v>3072</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93" t="s">
        <v>3074</v>
      </c>
      <c r="D127" s="3193" t="s">
        <v>3076</v>
      </c>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4" t="str">
        <f>项目基本情况!B1</f>
        <v>广东省珠海市斗门区乾务镇糖厂内2宗工业用地出让国有建设用地使用权抵押价格预评估</v>
      </c>
      <c r="C37" s="3234"/>
      <c r="D37" s="3234"/>
      <c r="E37" s="3234"/>
      <c r="F37" s="3234"/>
      <c r="G37" s="3234"/>
      <c r="H37" s="3234"/>
      <c r="I37" s="3234"/>
    </row>
    <row r="38" spans="1:9">
      <c r="A38" s="1655"/>
      <c r="B38" s="1655"/>
    </row>
    <row r="39" spans="1:9">
      <c r="A39" s="1653" t="s">
        <v>1902</v>
      </c>
      <c r="B39" s="1653" t="s">
        <v>2047</v>
      </c>
    </row>
    <row r="40" spans="1:9">
      <c r="A40" s="1653"/>
      <c r="B40" s="1653" t="str">
        <f>项目基本情况!B5</f>
        <v>珠海市恒信糖业有限公司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吴薇、刘梅</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5" zoomScaleNormal="85" workbookViewId="0">
      <selection activeCell="G54" sqref="G54:G57"/>
    </sheetView>
  </sheetViews>
  <sheetFormatPr defaultRowHeight="14.25"/>
  <cols>
    <col min="1" max="1" width="13.375" style="1336" customWidth="1"/>
    <col min="2" max="2" width="15.75" style="1336" customWidth="1"/>
    <col min="3" max="3" width="20.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f>F63</f>
        <v>4926</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09">
        <f>ROUND(B2*10000/'数据-汇总表'!E3,0)</f>
        <v>352</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5" customFormat="1" ht="28.5" customHeight="1">
      <c r="A4" s="510" t="s">
        <v>520</v>
      </c>
      <c r="B4" s="426">
        <f>IF(B43="单位面积地价",C45,ROUND(B2*10000/'数据-汇总表'!D3,0))</f>
        <v>313</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5" customFormat="1" ht="28.5" customHeight="1" thickBot="1">
      <c r="A5" s="428"/>
      <c r="B5" s="429">
        <f>ROUND(B2/('数据-汇总表'!D3/666.67),0)</f>
        <v>21</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521</v>
      </c>
      <c r="B6" s="512"/>
      <c r="C6" s="3418" t="s">
        <v>522</v>
      </c>
      <c r="D6" s="3419"/>
      <c r="E6" s="3453" t="s">
        <v>523</v>
      </c>
      <c r="F6" s="3454"/>
      <c r="G6" s="3418" t="s">
        <v>524</v>
      </c>
      <c r="H6" s="3419"/>
      <c r="I6" s="3418" t="s">
        <v>525</v>
      </c>
      <c r="J6" s="3419"/>
      <c r="K6" s="513" t="s">
        <v>526</v>
      </c>
      <c r="L6" s="2132"/>
      <c r="M6" s="2133"/>
      <c r="N6" s="2133"/>
      <c r="O6" s="2133"/>
      <c r="P6" s="3420" t="s">
        <v>527</v>
      </c>
      <c r="Q6" s="3421"/>
      <c r="R6" s="3426" t="s">
        <v>523</v>
      </c>
      <c r="S6" s="3427"/>
      <c r="T6" s="3426" t="s">
        <v>524</v>
      </c>
      <c r="U6" s="3427"/>
      <c r="V6" s="3413" t="s">
        <v>525</v>
      </c>
      <c r="W6" s="3413"/>
      <c r="X6" s="1566"/>
      <c r="Y6" s="3426" t="s">
        <v>527</v>
      </c>
      <c r="Z6" s="3427"/>
      <c r="AA6" s="3415" t="s">
        <v>523</v>
      </c>
      <c r="AB6" s="3416" t="s">
        <v>524</v>
      </c>
      <c r="AC6" s="3415" t="s">
        <v>525</v>
      </c>
    </row>
    <row r="7" spans="1:29" ht="15">
      <c r="A7" s="514"/>
      <c r="B7" s="515"/>
      <c r="C7" s="3436" t="s">
        <v>3413</v>
      </c>
      <c r="D7" s="3435"/>
      <c r="E7" s="3455" t="str">
        <f>土地案例!$A$3</f>
        <v>珠海市斗门区乾务镇沿河西路以东、乾湾路西侧</v>
      </c>
      <c r="F7" s="3456"/>
      <c r="G7" s="3434" t="str">
        <f>土地案例!$A$38</f>
        <v>珠海市平沙镇珠海大道西北侧</v>
      </c>
      <c r="H7" s="3435"/>
      <c r="I7" s="3434" t="str">
        <f>土地案例!$A$43</f>
        <v>珠海市平沙镇升平大道北侧</v>
      </c>
      <c r="J7" s="3435"/>
      <c r="K7" s="513"/>
      <c r="L7" s="2132"/>
      <c r="M7" s="2133"/>
      <c r="N7" s="2133"/>
      <c r="O7" s="2133"/>
      <c r="P7" s="3422"/>
      <c r="Q7" s="3423"/>
      <c r="R7" s="3428"/>
      <c r="S7" s="3429"/>
      <c r="T7" s="3428"/>
      <c r="U7" s="3429"/>
      <c r="V7" s="3413"/>
      <c r="W7" s="3413"/>
      <c r="X7" s="1566"/>
      <c r="Y7" s="3428"/>
      <c r="Z7" s="3429"/>
      <c r="AA7" s="3416"/>
      <c r="AB7" s="3416"/>
      <c r="AC7" s="3416"/>
    </row>
    <row r="8" spans="1:29" ht="15.75" thickBot="1">
      <c r="A8" s="516"/>
      <c r="B8" s="517"/>
      <c r="C8" s="3432" t="s">
        <v>3042</v>
      </c>
      <c r="D8" s="3433"/>
      <c r="E8" s="3451" t="s">
        <v>3042</v>
      </c>
      <c r="F8" s="3452"/>
      <c r="G8" s="3432" t="s">
        <v>3433</v>
      </c>
      <c r="H8" s="3433"/>
      <c r="I8" s="3432" t="s">
        <v>3042</v>
      </c>
      <c r="J8" s="3433"/>
      <c r="K8" s="513" t="s">
        <v>528</v>
      </c>
      <c r="L8" s="2132"/>
      <c r="M8" s="2133"/>
      <c r="N8" s="2133"/>
      <c r="O8" s="2133"/>
      <c r="P8" s="3424"/>
      <c r="Q8" s="3425"/>
      <c r="R8" s="3428"/>
      <c r="S8" s="3429"/>
      <c r="T8" s="3430"/>
      <c r="U8" s="3431"/>
      <c r="V8" s="3413"/>
      <c r="W8" s="3413"/>
      <c r="X8" s="1566"/>
      <c r="Y8" s="3430"/>
      <c r="Z8" s="3431"/>
      <c r="AA8" s="3417"/>
      <c r="AB8" s="3417"/>
      <c r="AC8" s="3417"/>
    </row>
    <row r="9" spans="1:29" s="1219" customFormat="1" ht="15.75" thickBot="1">
      <c r="A9" s="2935"/>
      <c r="B9" s="2942" t="s">
        <v>529</v>
      </c>
      <c r="C9" s="518">
        <f>'数据-取费表'!B2</f>
        <v>43244</v>
      </c>
      <c r="D9" s="519">
        <v>100</v>
      </c>
      <c r="E9" s="520" t="str">
        <f>土地案例!$H$3</f>
        <v>2017-10-12</v>
      </c>
      <c r="F9" s="521">
        <f>SUMIF(67:67,YEAR(E9)&amp;"-"&amp;INT((MONTH(E9)+2)/3),68:68)</f>
        <v>100</v>
      </c>
      <c r="G9" s="522" t="str">
        <f>土地案例!$H$38</f>
        <v>2018-02-28</v>
      </c>
      <c r="H9" s="519">
        <f>SUMIF(67:67,YEAR(G9)&amp;"-"&amp;INT((MONTH(G9)+2)/3),68:68)</f>
        <v>100</v>
      </c>
      <c r="I9" s="522" t="str">
        <f>土地案例!$H$43</f>
        <v>2017-10-12</v>
      </c>
      <c r="J9" s="519">
        <f>SUMIF(67:67,YEAR(I9)&amp;"-"&amp;INT((MONTH(I9)+2)/3),68:68)</f>
        <v>100</v>
      </c>
      <c r="K9" s="523"/>
      <c r="L9" s="2134"/>
      <c r="M9" s="2135"/>
      <c r="N9" s="2135"/>
      <c r="O9" s="2135"/>
      <c r="P9" s="3444" t="s">
        <v>530</v>
      </c>
      <c r="Q9" s="3446"/>
      <c r="R9" s="1567" t="s">
        <v>8</v>
      </c>
      <c r="S9" s="1568">
        <f t="shared" ref="S9:S17" si="0">F9</f>
        <v>100</v>
      </c>
      <c r="T9" s="1567" t="s">
        <v>8</v>
      </c>
      <c r="U9" s="1568">
        <f t="shared" ref="U9:U17" si="1">H9</f>
        <v>100</v>
      </c>
      <c r="V9" s="1567" t="s">
        <v>8</v>
      </c>
      <c r="W9" s="1568">
        <f t="shared" ref="W9:W17" si="2">J9</f>
        <v>100</v>
      </c>
      <c r="X9" s="1569"/>
      <c r="Y9" s="3444" t="s">
        <v>530</v>
      </c>
      <c r="Z9" s="3445"/>
      <c r="AA9" s="1570">
        <f>D9/F9</f>
        <v>1</v>
      </c>
      <c r="AB9" s="1570">
        <f>D9/H9</f>
        <v>1</v>
      </c>
      <c r="AC9" s="1570">
        <f>D9/J9</f>
        <v>1</v>
      </c>
    </row>
    <row r="10" spans="1:29" s="1219" customFormat="1" ht="15.75" thickBot="1">
      <c r="A10" s="2936"/>
      <c r="B10" s="2943" t="s">
        <v>531</v>
      </c>
      <c r="C10" s="524" t="s">
        <v>532</v>
      </c>
      <c r="D10" s="519">
        <v>100</v>
      </c>
      <c r="E10" s="524" t="s">
        <v>3041</v>
      </c>
      <c r="F10" s="521">
        <f>SUMIF(70:70,E10,71:71)-SUMIF(70:70,C10,71:71)+100</f>
        <v>100</v>
      </c>
      <c r="G10" s="524" t="s">
        <v>3041</v>
      </c>
      <c r="H10" s="519">
        <f>SUMIF(70:70,G10,71:71)-SUMIF(70:70,C10,71:71)+100</f>
        <v>100</v>
      </c>
      <c r="I10" s="524" t="s">
        <v>3041</v>
      </c>
      <c r="J10" s="519">
        <f>SUMIF(70:70,I10,71:71)-SUMIF(70:70,C10,71:71)+100</f>
        <v>100</v>
      </c>
      <c r="K10" s="523"/>
      <c r="L10" s="2134"/>
      <c r="M10" s="2135"/>
      <c r="N10" s="2135"/>
      <c r="O10" s="2135"/>
      <c r="P10" s="3444" t="s">
        <v>533</v>
      </c>
      <c r="Q10" s="3445"/>
      <c r="R10" s="1567" t="s">
        <v>8</v>
      </c>
      <c r="S10" s="1568">
        <f t="shared" si="0"/>
        <v>100</v>
      </c>
      <c r="T10" s="1567" t="s">
        <v>8</v>
      </c>
      <c r="U10" s="1568">
        <f t="shared" si="1"/>
        <v>100</v>
      </c>
      <c r="V10" s="1567" t="s">
        <v>8</v>
      </c>
      <c r="W10" s="1568">
        <f t="shared" si="2"/>
        <v>100</v>
      </c>
      <c r="X10" s="1569"/>
      <c r="Y10" s="3444" t="s">
        <v>533</v>
      </c>
      <c r="Z10" s="3445"/>
      <c r="AA10" s="1570">
        <f t="shared" ref="AA10:AA42" si="3">D10/F10</f>
        <v>1</v>
      </c>
      <c r="AB10" s="1570">
        <f t="shared" ref="AB10:AB42" si="4">D10/H10</f>
        <v>1</v>
      </c>
      <c r="AC10" s="1570">
        <f t="shared" ref="AC10:AC42" si="5">D10/J10</f>
        <v>1</v>
      </c>
    </row>
    <row r="11" spans="1:29" s="1219" customFormat="1" ht="15">
      <c r="A11" s="2937"/>
      <c r="B11" s="2944" t="s">
        <v>2757</v>
      </c>
      <c r="C11" s="525" t="s">
        <v>982</v>
      </c>
      <c r="D11" s="253">
        <v>100</v>
      </c>
      <c r="E11" s="525" t="s">
        <v>982</v>
      </c>
      <c r="F11" s="253">
        <f>SUMIF(72:72,E11,73:73)-SUMIF(72:72,C11,73:73)+100</f>
        <v>100</v>
      </c>
      <c r="G11" s="525" t="s">
        <v>982</v>
      </c>
      <c r="H11" s="253">
        <f>SUMIF(72:72,G11,73:73)-SUMIF(72:72,C11,73:73)+100</f>
        <v>100</v>
      </c>
      <c r="I11" s="525" t="s">
        <v>982</v>
      </c>
      <c r="J11" s="253">
        <f>SUMIF(72:72,I11,73:73)-SUMIF(72:72,C11,73:73)+100</f>
        <v>100</v>
      </c>
      <c r="K11" s="523"/>
      <c r="L11" s="2134"/>
      <c r="M11" s="2135"/>
      <c r="N11" s="2135"/>
      <c r="O11" s="2136"/>
      <c r="P11" s="3412" t="s">
        <v>535</v>
      </c>
      <c r="Q11" s="1150" t="str">
        <f t="shared" ref="Q11:Q17" si="6">B11</f>
        <v>用途</v>
      </c>
      <c r="R11" s="1567" t="s">
        <v>8</v>
      </c>
      <c r="S11" s="1568">
        <f t="shared" si="0"/>
        <v>100</v>
      </c>
      <c r="T11" s="1567" t="s">
        <v>8</v>
      </c>
      <c r="U11" s="1568">
        <f t="shared" si="1"/>
        <v>100</v>
      </c>
      <c r="V11" s="1567" t="s">
        <v>8</v>
      </c>
      <c r="W11" s="1568">
        <f t="shared" si="2"/>
        <v>100</v>
      </c>
      <c r="X11" s="1569"/>
      <c r="Y11" s="3358" t="s">
        <v>536</v>
      </c>
      <c r="Z11" s="1149" t="str">
        <f t="shared" ref="Z11:Z17" si="7">Q11</f>
        <v>用途</v>
      </c>
      <c r="AA11" s="1570">
        <f t="shared" si="3"/>
        <v>1</v>
      </c>
      <c r="AB11" s="1570">
        <f t="shared" si="4"/>
        <v>1</v>
      </c>
      <c r="AC11" s="1570">
        <f t="shared" si="5"/>
        <v>1</v>
      </c>
    </row>
    <row r="12" spans="1:29" s="1337" customFormat="1" ht="27">
      <c r="A12" s="2938"/>
      <c r="B12" s="2943" t="s">
        <v>2758</v>
      </c>
      <c r="C12" s="527" t="str">
        <f>项目基本情况!D20</f>
        <v>工业34.26</v>
      </c>
      <c r="D12" s="254">
        <v>100</v>
      </c>
      <c r="E12" s="527">
        <v>50</v>
      </c>
      <c r="F12" s="254">
        <f>ROUND(100/'数据-取费表'!G16,0)</f>
        <v>119</v>
      </c>
      <c r="G12" s="527">
        <v>50</v>
      </c>
      <c r="H12" s="254">
        <f>ROUND(100/'数据-取费表'!G16,0)</f>
        <v>119</v>
      </c>
      <c r="I12" s="527">
        <v>50</v>
      </c>
      <c r="J12" s="254">
        <f>ROUND(100/'数据-取费表'!G16,0)</f>
        <v>119</v>
      </c>
      <c r="K12" s="530"/>
      <c r="L12" s="2137"/>
      <c r="M12" s="2177"/>
      <c r="N12" s="2177"/>
      <c r="O12" s="2138"/>
      <c r="P12" s="3412"/>
      <c r="Q12" s="1150" t="str">
        <f t="shared" si="6"/>
        <v>土地使用年限（年）</v>
      </c>
      <c r="R12" s="1567" t="s">
        <v>8</v>
      </c>
      <c r="S12" s="1568">
        <f t="shared" si="0"/>
        <v>119</v>
      </c>
      <c r="T12" s="1567" t="s">
        <v>8</v>
      </c>
      <c r="U12" s="1568">
        <f t="shared" si="1"/>
        <v>119</v>
      </c>
      <c r="V12" s="1567" t="s">
        <v>8</v>
      </c>
      <c r="W12" s="1568">
        <f t="shared" si="2"/>
        <v>119</v>
      </c>
      <c r="X12" s="1569"/>
      <c r="Y12" s="3358"/>
      <c r="Z12" s="1149" t="str">
        <f t="shared" si="7"/>
        <v>土地使用年限（年）</v>
      </c>
      <c r="AA12" s="1570">
        <f t="shared" si="3"/>
        <v>0.84033613445378152</v>
      </c>
      <c r="AB12" s="1570">
        <f t="shared" si="4"/>
        <v>0.84033613445378152</v>
      </c>
      <c r="AC12" s="1570">
        <f t="shared" si="5"/>
        <v>0.84033613445378152</v>
      </c>
    </row>
    <row r="13" spans="1:29" ht="15.75" thickBot="1">
      <c r="A13" s="2939"/>
      <c r="B13" s="2943" t="s">
        <v>2759</v>
      </c>
      <c r="C13" s="532">
        <f>'数据-汇总表'!I5</f>
        <v>0.89</v>
      </c>
      <c r="D13" s="254">
        <v>100</v>
      </c>
      <c r="E13" s="532">
        <f>土地案例!$F$3</f>
        <v>2</v>
      </c>
      <c r="F13" s="254">
        <f>LOOKUP(E13,77:77,78:78)-LOOKUP(C13,77:77,78:78)+100</f>
        <v>104</v>
      </c>
      <c r="G13" s="533">
        <f>土地案例!$F$38</f>
        <v>2</v>
      </c>
      <c r="H13" s="254">
        <f>LOOKUP(G13,77:77,78:78)-LOOKUP(C13,77:77,78:78)+100</f>
        <v>104</v>
      </c>
      <c r="I13" s="532">
        <f>土地案例!$F$43</f>
        <v>2</v>
      </c>
      <c r="J13" s="254">
        <f>LOOKUP(I13,77:77,78:78)-LOOKUP(C13,77:77,78:78)+100</f>
        <v>104</v>
      </c>
      <c r="K13" s="534">
        <v>2</v>
      </c>
      <c r="L13" s="2139"/>
      <c r="M13" s="2133"/>
      <c r="N13" s="2133"/>
      <c r="O13" s="2140"/>
      <c r="P13" s="3412"/>
      <c r="Q13" s="1150" t="str">
        <f t="shared" si="6"/>
        <v>容积率</v>
      </c>
      <c r="R13" s="1567" t="s">
        <v>8</v>
      </c>
      <c r="S13" s="1568">
        <f t="shared" si="0"/>
        <v>104</v>
      </c>
      <c r="T13" s="1567" t="s">
        <v>8</v>
      </c>
      <c r="U13" s="1568">
        <f t="shared" si="1"/>
        <v>104</v>
      </c>
      <c r="V13" s="1567" t="s">
        <v>8</v>
      </c>
      <c r="W13" s="1568">
        <f t="shared" si="2"/>
        <v>104</v>
      </c>
      <c r="X13" s="1569"/>
      <c r="Y13" s="3358"/>
      <c r="Z13" s="1149" t="str">
        <f t="shared" si="7"/>
        <v>容积率</v>
      </c>
      <c r="AA13" s="1570">
        <f t="shared" si="3"/>
        <v>0.96153846153846156</v>
      </c>
      <c r="AB13" s="1570">
        <f t="shared" si="4"/>
        <v>0.96153846153846156</v>
      </c>
      <c r="AC13" s="1570">
        <f t="shared" si="5"/>
        <v>0.96153846153846156</v>
      </c>
    </row>
    <row r="14" spans="1:29" s="1219" customFormat="1" ht="15" hidden="1">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12"/>
      <c r="Q14" s="1150">
        <f t="shared" si="6"/>
        <v>111</v>
      </c>
      <c r="R14" s="1567" t="s">
        <v>8</v>
      </c>
      <c r="S14" s="1568">
        <f t="shared" si="0"/>
        <v>100</v>
      </c>
      <c r="T14" s="1567" t="s">
        <v>8</v>
      </c>
      <c r="U14" s="1568">
        <f t="shared" si="1"/>
        <v>100</v>
      </c>
      <c r="V14" s="1567" t="s">
        <v>8</v>
      </c>
      <c r="W14" s="1568">
        <f t="shared" si="2"/>
        <v>100</v>
      </c>
      <c r="X14" s="1569"/>
      <c r="Y14" s="3358"/>
      <c r="Z14" s="1149">
        <f t="shared" si="7"/>
        <v>111</v>
      </c>
      <c r="AA14" s="1570">
        <f>D14/F14</f>
        <v>1</v>
      </c>
      <c r="AB14" s="1570">
        <f>D14/H14</f>
        <v>1</v>
      </c>
      <c r="AC14" s="1570">
        <f>D14/J14</f>
        <v>1</v>
      </c>
    </row>
    <row r="15" spans="1:29" ht="15" hidden="1">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12"/>
      <c r="Q15" s="1150">
        <f t="shared" si="6"/>
        <v>111</v>
      </c>
      <c r="R15" s="1567" t="s">
        <v>8</v>
      </c>
      <c r="S15" s="1568">
        <f t="shared" si="0"/>
        <v>100</v>
      </c>
      <c r="T15" s="1567" t="s">
        <v>8</v>
      </c>
      <c r="U15" s="1568">
        <f t="shared" si="1"/>
        <v>100</v>
      </c>
      <c r="V15" s="1567" t="s">
        <v>8</v>
      </c>
      <c r="W15" s="1568">
        <f t="shared" si="2"/>
        <v>100</v>
      </c>
      <c r="X15" s="1569"/>
      <c r="Y15" s="3358"/>
      <c r="Z15" s="1149">
        <f t="shared" si="7"/>
        <v>111</v>
      </c>
      <c r="AA15" s="1570">
        <f t="shared" si="3"/>
        <v>1</v>
      </c>
      <c r="AB15" s="1570">
        <f t="shared" si="4"/>
        <v>1</v>
      </c>
      <c r="AC15" s="1570">
        <f t="shared" si="5"/>
        <v>1</v>
      </c>
    </row>
    <row r="16" spans="1:29" ht="15.75" hidden="1"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12"/>
      <c r="Q16" s="1150">
        <f t="shared" si="6"/>
        <v>111</v>
      </c>
      <c r="R16" s="1567" t="s">
        <v>8</v>
      </c>
      <c r="S16" s="1568">
        <f t="shared" si="0"/>
        <v>100</v>
      </c>
      <c r="T16" s="1567" t="s">
        <v>8</v>
      </c>
      <c r="U16" s="1568">
        <f t="shared" si="1"/>
        <v>100</v>
      </c>
      <c r="V16" s="1567" t="s">
        <v>8</v>
      </c>
      <c r="W16" s="1568">
        <f t="shared" si="2"/>
        <v>100</v>
      </c>
      <c r="X16" s="1569"/>
      <c r="Y16" s="3358"/>
      <c r="Z16" s="1149">
        <f t="shared" si="7"/>
        <v>111</v>
      </c>
      <c r="AA16" s="1570">
        <f t="shared" si="3"/>
        <v>1</v>
      </c>
      <c r="AB16" s="1570">
        <f t="shared" si="4"/>
        <v>1</v>
      </c>
      <c r="AC16" s="1570">
        <f t="shared" si="5"/>
        <v>1</v>
      </c>
    </row>
    <row r="17" spans="1:29" ht="22.5" customHeight="1">
      <c r="A17" s="2933" t="s">
        <v>2755</v>
      </c>
      <c r="B17" s="166" t="s">
        <v>598</v>
      </c>
      <c r="C17" s="920" t="str">
        <f>估价对象房地状况!G15</f>
        <v>工业园内，聚集程度较好</v>
      </c>
      <c r="D17" s="548">
        <v>100</v>
      </c>
      <c r="E17" s="549"/>
      <c r="F17" s="548">
        <f>SUMIF(85:85,E18,86:86)-SUMIF(85:85,C18,86:86)+100</f>
        <v>100</v>
      </c>
      <c r="G17" s="549"/>
      <c r="H17" s="548">
        <f>SUMIF(85:85,G18,86:86)-SUMIF(85:85,C18,86:86)+100</f>
        <v>96</v>
      </c>
      <c r="I17" s="551"/>
      <c r="J17" s="548">
        <f>SUMIF(85:85,I18,86:86)-SUMIF(85:85,C18,86:86)+100</f>
        <v>98</v>
      </c>
      <c r="K17" s="534">
        <v>2</v>
      </c>
      <c r="L17" s="2141"/>
      <c r="M17" s="2133"/>
      <c r="N17" s="2133"/>
      <c r="O17" s="2140"/>
      <c r="P17" s="3447" t="s">
        <v>540</v>
      </c>
      <c r="Q17" s="1571" t="str">
        <f t="shared" si="6"/>
        <v>产业集聚程度</v>
      </c>
      <c r="R17" s="1572" t="s">
        <v>8</v>
      </c>
      <c r="S17" s="1573">
        <f t="shared" si="0"/>
        <v>100</v>
      </c>
      <c r="T17" s="1572" t="s">
        <v>8</v>
      </c>
      <c r="U17" s="1573">
        <f t="shared" si="1"/>
        <v>96</v>
      </c>
      <c r="V17" s="1572" t="s">
        <v>8</v>
      </c>
      <c r="W17" s="1573">
        <f t="shared" si="2"/>
        <v>98</v>
      </c>
      <c r="X17" s="1566"/>
      <c r="Y17" s="3447" t="s">
        <v>540</v>
      </c>
      <c r="Z17" s="1574" t="str">
        <f t="shared" si="7"/>
        <v>产业集聚程度</v>
      </c>
      <c r="AA17" s="1575">
        <f t="shared" si="3"/>
        <v>1</v>
      </c>
      <c r="AB17" s="1575">
        <f t="shared" si="4"/>
        <v>1.0416666666666667</v>
      </c>
      <c r="AC17" s="1575">
        <f t="shared" si="5"/>
        <v>1.0204081632653061</v>
      </c>
    </row>
    <row r="18" spans="1:29" ht="15">
      <c r="A18" s="531"/>
      <c r="B18" s="868"/>
      <c r="C18" s="575" t="s">
        <v>3081</v>
      </c>
      <c r="D18" s="554"/>
      <c r="E18" s="553" t="s">
        <v>3081</v>
      </c>
      <c r="F18" s="554"/>
      <c r="G18" s="553" t="s">
        <v>3434</v>
      </c>
      <c r="H18" s="558"/>
      <c r="I18" s="553" t="s">
        <v>3075</v>
      </c>
      <c r="J18" s="554"/>
      <c r="K18" s="530"/>
      <c r="L18" s="2141"/>
      <c r="M18" s="2133"/>
      <c r="N18" s="2133"/>
      <c r="O18" s="2140"/>
      <c r="P18" s="3448"/>
      <c r="Q18" s="1571"/>
      <c r="R18" s="1572"/>
      <c r="S18" s="1573"/>
      <c r="T18" s="1572"/>
      <c r="U18" s="1573"/>
      <c r="V18" s="1572"/>
      <c r="W18" s="1573"/>
      <c r="X18" s="1566"/>
      <c r="Y18" s="3448"/>
      <c r="Z18" s="1574"/>
      <c r="AA18" s="1575">
        <v>1</v>
      </c>
      <c r="AB18" s="1575">
        <v>1</v>
      </c>
      <c r="AC18" s="1575">
        <v>1</v>
      </c>
    </row>
    <row r="19" spans="1:29" ht="57">
      <c r="A19" s="531"/>
      <c r="B19" s="870" t="s">
        <v>543</v>
      </c>
      <c r="C19" s="871" t="str">
        <f>估价对象房地状况!G16</f>
        <v>周边路网密集程度一般，有一定数量公交车通过，停车较方便，总体考虑一般</v>
      </c>
      <c r="D19" s="558">
        <v>100</v>
      </c>
      <c r="E19" s="561"/>
      <c r="F19" s="564">
        <f>SUMIF(87:87,E20,88:88)-SUMIF(87:87,C20,88:88)+100</f>
        <v>100</v>
      </c>
      <c r="G19" s="561"/>
      <c r="H19" s="564">
        <f>SUMIF(87:87,G20,88:88)-SUMIF(87:87,C20,88:88)+100</f>
        <v>100</v>
      </c>
      <c r="I19" s="563"/>
      <c r="J19" s="558">
        <f>SUMIF(87:87,I20,88:88)-SUMIF(87:87,C20,88:88)+100</f>
        <v>100</v>
      </c>
      <c r="K19" s="534">
        <v>2</v>
      </c>
      <c r="L19" s="2141"/>
      <c r="M19" s="2133"/>
      <c r="N19" s="2133"/>
      <c r="O19" s="2140"/>
      <c r="P19" s="3448"/>
      <c r="Q19" s="1571" t="str">
        <f>B19</f>
        <v>交通便捷度</v>
      </c>
      <c r="R19" s="1572" t="s">
        <v>8</v>
      </c>
      <c r="S19" s="1573">
        <f>F19</f>
        <v>100</v>
      </c>
      <c r="T19" s="1572" t="s">
        <v>8</v>
      </c>
      <c r="U19" s="1573">
        <f>H19</f>
        <v>100</v>
      </c>
      <c r="V19" s="1572" t="s">
        <v>8</v>
      </c>
      <c r="W19" s="1573">
        <f>J19</f>
        <v>100</v>
      </c>
      <c r="X19" s="1566"/>
      <c r="Y19" s="3448"/>
      <c r="Z19" s="1574" t="str">
        <f>Q19</f>
        <v>交通便捷度</v>
      </c>
      <c r="AA19" s="1575">
        <f t="shared" si="3"/>
        <v>1</v>
      </c>
      <c r="AB19" s="1575">
        <f t="shared" si="4"/>
        <v>1</v>
      </c>
      <c r="AC19" s="1575">
        <f t="shared" si="5"/>
        <v>1</v>
      </c>
    </row>
    <row r="20" spans="1:29" ht="15">
      <c r="A20" s="531"/>
      <c r="B20" s="921"/>
      <c r="C20" s="575" t="s">
        <v>3075</v>
      </c>
      <c r="D20" s="554"/>
      <c r="E20" s="555" t="s">
        <v>3075</v>
      </c>
      <c r="F20" s="554"/>
      <c r="G20" s="555" t="s">
        <v>3075</v>
      </c>
      <c r="H20" s="554"/>
      <c r="I20" s="557" t="s">
        <v>3075</v>
      </c>
      <c r="J20" s="554"/>
      <c r="K20" s="530"/>
      <c r="L20" s="2141"/>
      <c r="M20" s="2133"/>
      <c r="N20" s="2133"/>
      <c r="O20" s="2140"/>
      <c r="P20" s="3448"/>
      <c r="Q20" s="1571"/>
      <c r="R20" s="1572"/>
      <c r="S20" s="1573"/>
      <c r="T20" s="1572"/>
      <c r="U20" s="1573"/>
      <c r="V20" s="1572"/>
      <c r="W20" s="1573"/>
      <c r="X20" s="1566"/>
      <c r="Y20" s="3448"/>
      <c r="Z20" s="1574"/>
      <c r="AA20" s="1575">
        <v>1</v>
      </c>
      <c r="AB20" s="1575">
        <v>1</v>
      </c>
      <c r="AC20" s="1575">
        <v>1</v>
      </c>
    </row>
    <row r="21" spans="1:29" ht="27">
      <c r="A21" s="514"/>
      <c r="B21" s="870" t="s">
        <v>544</v>
      </c>
      <c r="C21" s="871" t="str">
        <f>估价对象房地状况!G17</f>
        <v>一致</v>
      </c>
      <c r="D21" s="558">
        <v>100</v>
      </c>
      <c r="E21" s="561"/>
      <c r="F21" s="562">
        <f>SUMIF(89:89,E22,90:90)-SUMIF(89:89,C22,90:90)+100</f>
        <v>100</v>
      </c>
      <c r="G21" s="563"/>
      <c r="H21" s="562">
        <f>SUMIF(89:89,G22,90:90)-SUMIF(89:89,C22,90:90)+100</f>
        <v>100</v>
      </c>
      <c r="I21" s="563"/>
      <c r="J21" s="562">
        <f>SUMIF(89:89,I22,90:90)-SUMIF(89:89,C22,90:90)+100</f>
        <v>98</v>
      </c>
      <c r="K21" s="1007">
        <v>2</v>
      </c>
      <c r="L21" s="2141"/>
      <c r="M21" s="2133"/>
      <c r="N21" s="2133"/>
      <c r="O21" s="2140"/>
      <c r="P21" s="3448"/>
      <c r="Q21" s="1571" t="str">
        <f t="shared" ref="Q21:Q35" si="8">B21</f>
        <v>区域土地利用方向</v>
      </c>
      <c r="R21" s="1572" t="s">
        <v>8</v>
      </c>
      <c r="S21" s="1573">
        <f>F21</f>
        <v>100</v>
      </c>
      <c r="T21" s="1572" t="s">
        <v>8</v>
      </c>
      <c r="U21" s="1573">
        <f>H21</f>
        <v>100</v>
      </c>
      <c r="V21" s="1572" t="s">
        <v>8</v>
      </c>
      <c r="W21" s="1573">
        <f>J21</f>
        <v>98</v>
      </c>
      <c r="X21" s="1566"/>
      <c r="Y21" s="3448"/>
      <c r="Z21" s="1574" t="str">
        <f>Q21</f>
        <v>区域土地利用方向</v>
      </c>
      <c r="AA21" s="1575">
        <f t="shared" si="3"/>
        <v>1</v>
      </c>
      <c r="AB21" s="1575">
        <f t="shared" si="4"/>
        <v>1</v>
      </c>
      <c r="AC21" s="1575">
        <f t="shared" si="5"/>
        <v>1.0204081632653061</v>
      </c>
    </row>
    <row r="22" spans="1:29" ht="15">
      <c r="A22" s="514"/>
      <c r="B22" s="594"/>
      <c r="C22" s="575" t="s">
        <v>3082</v>
      </c>
      <c r="D22" s="554"/>
      <c r="E22" s="555" t="s">
        <v>3082</v>
      </c>
      <c r="F22" s="556"/>
      <c r="G22" s="557" t="s">
        <v>3082</v>
      </c>
      <c r="H22" s="556"/>
      <c r="I22" s="557" t="s">
        <v>3081</v>
      </c>
      <c r="J22" s="556"/>
      <c r="K22" s="1347"/>
      <c r="L22" s="2141"/>
      <c r="M22" s="2133"/>
      <c r="N22" s="2133"/>
      <c r="O22" s="2140"/>
      <c r="P22" s="3448"/>
      <c r="Q22" s="1571"/>
      <c r="R22" s="1572"/>
      <c r="S22" s="1573"/>
      <c r="T22" s="1572"/>
      <c r="U22" s="1573"/>
      <c r="V22" s="1572"/>
      <c r="W22" s="1573"/>
      <c r="X22" s="1566"/>
      <c r="Y22" s="3448"/>
      <c r="Z22" s="1574"/>
      <c r="AA22" s="1575"/>
      <c r="AB22" s="1575"/>
      <c r="AC22" s="1575"/>
    </row>
    <row r="23" spans="1:29" ht="28.5">
      <c r="A23" s="514"/>
      <c r="B23" s="921" t="s">
        <v>599</v>
      </c>
      <c r="C23" s="871" t="str">
        <f>估价对象房地状况!G18</f>
        <v>无大型污染，自然环境一般，综合一般</v>
      </c>
      <c r="D23" s="558">
        <v>100</v>
      </c>
      <c r="E23" s="561"/>
      <c r="F23" s="558">
        <f>SUMIF(91:91,E24,92:92)-SUMIF(91:91,C24,92:92)+100</f>
        <v>100</v>
      </c>
      <c r="G23" s="561"/>
      <c r="H23" s="558">
        <f>SUMIF(91:91,G24,92:92)-SUMIF(91:91,C24,92:92)+100</f>
        <v>100</v>
      </c>
      <c r="I23" s="563"/>
      <c r="J23" s="558">
        <f>SUMIF(91:91,I24,92:92)-SUMIF(91:91,C24,92:92)+100</f>
        <v>100</v>
      </c>
      <c r="K23" s="534">
        <v>2</v>
      </c>
      <c r="L23" s="2141"/>
      <c r="M23" s="2133"/>
      <c r="N23" s="2133"/>
      <c r="O23" s="2140"/>
      <c r="P23" s="3448"/>
      <c r="Q23" s="1571" t="str">
        <f t="shared" si="8"/>
        <v>环境状况</v>
      </c>
      <c r="R23" s="1572" t="s">
        <v>8</v>
      </c>
      <c r="S23" s="1573">
        <f>F23</f>
        <v>100</v>
      </c>
      <c r="T23" s="1572" t="s">
        <v>8</v>
      </c>
      <c r="U23" s="1573">
        <f>H23</f>
        <v>100</v>
      </c>
      <c r="V23" s="1572" t="s">
        <v>8</v>
      </c>
      <c r="W23" s="1573">
        <f>J23</f>
        <v>100</v>
      </c>
      <c r="X23" s="1566"/>
      <c r="Y23" s="3448"/>
      <c r="Z23" s="1574" t="str">
        <f>Q23</f>
        <v>环境状况</v>
      </c>
      <c r="AA23" s="1575">
        <f t="shared" si="3"/>
        <v>1</v>
      </c>
      <c r="AB23" s="1575">
        <f t="shared" si="4"/>
        <v>1</v>
      </c>
      <c r="AC23" s="1575">
        <f t="shared" si="5"/>
        <v>1</v>
      </c>
    </row>
    <row r="24" spans="1:29" ht="15">
      <c r="A24" s="514"/>
      <c r="B24" s="594"/>
      <c r="C24" s="575" t="s">
        <v>3075</v>
      </c>
      <c r="D24" s="554"/>
      <c r="E24" s="553" t="s">
        <v>3075</v>
      </c>
      <c r="F24" s="554"/>
      <c r="G24" s="553" t="s">
        <v>3075</v>
      </c>
      <c r="H24" s="554"/>
      <c r="I24" s="575" t="s">
        <v>3075</v>
      </c>
      <c r="J24" s="554"/>
      <c r="K24" s="530"/>
      <c r="L24" s="2141"/>
      <c r="M24" s="2133"/>
      <c r="N24" s="2133"/>
      <c r="O24" s="2140"/>
      <c r="P24" s="3448"/>
      <c r="Q24" s="1571"/>
      <c r="R24" s="1572"/>
      <c r="S24" s="1573"/>
      <c r="T24" s="1572"/>
      <c r="U24" s="1573"/>
      <c r="V24" s="1572"/>
      <c r="W24" s="1573"/>
      <c r="X24" s="1566"/>
      <c r="Y24" s="3448"/>
      <c r="Z24" s="1574"/>
      <c r="AA24" s="1575">
        <v>1</v>
      </c>
      <c r="AB24" s="1575">
        <v>1</v>
      </c>
      <c r="AC24" s="1575">
        <v>1</v>
      </c>
    </row>
    <row r="25" spans="1:29" s="1219" customFormat="1" ht="42.75">
      <c r="A25" s="576"/>
      <c r="B25" s="2616" t="s">
        <v>2549</v>
      </c>
      <c r="C25" s="871" t="str">
        <f>估价对象房地状况!G19</f>
        <v>工业园区内，各配套设施齐备度一般，综合一般</v>
      </c>
      <c r="D25" s="558">
        <v>100</v>
      </c>
      <c r="E25" s="561"/>
      <c r="F25" s="558">
        <f>SUMIF(93:93,E26,94:94)-SUMIF(93:93,C26,94:94)+100</f>
        <v>100</v>
      </c>
      <c r="G25" s="561"/>
      <c r="H25" s="558">
        <f>SUMIF(93:93,G26,94:94)-SUMIF(93:93,C26,94:94)+100</f>
        <v>100</v>
      </c>
      <c r="I25" s="563"/>
      <c r="J25" s="558">
        <f>SUMIF(93:93,I26,94:94)-SUMIF(93:93,C26,94:94)+100</f>
        <v>100</v>
      </c>
      <c r="K25" s="534">
        <v>2</v>
      </c>
      <c r="L25" s="2134"/>
      <c r="M25" s="2135"/>
      <c r="N25" s="2135"/>
      <c r="O25" s="2136"/>
      <c r="P25" s="3448"/>
      <c r="Q25" s="1150" t="str">
        <f t="shared" si="8"/>
        <v>公共配套设施</v>
      </c>
      <c r="R25" s="1567" t="s">
        <v>8</v>
      </c>
      <c r="S25" s="1568">
        <f>F25</f>
        <v>100</v>
      </c>
      <c r="T25" s="1567" t="s">
        <v>8</v>
      </c>
      <c r="U25" s="1568">
        <f>H25</f>
        <v>100</v>
      </c>
      <c r="V25" s="1567" t="s">
        <v>8</v>
      </c>
      <c r="W25" s="1568">
        <f>J25</f>
        <v>100</v>
      </c>
      <c r="X25" s="1569"/>
      <c r="Y25" s="3448"/>
      <c r="Z25" s="1149" t="str">
        <f>Q25</f>
        <v>公共配套设施</v>
      </c>
      <c r="AA25" s="1575">
        <f>D25/F25</f>
        <v>1</v>
      </c>
      <c r="AB25" s="1575">
        <f>D25/H25</f>
        <v>1</v>
      </c>
      <c r="AC25" s="1575">
        <f>D25/J25</f>
        <v>1</v>
      </c>
    </row>
    <row r="26" spans="1:29" s="1219" customFormat="1" ht="15">
      <c r="A26" s="576"/>
      <c r="B26" s="594"/>
      <c r="C26" s="2615" t="s">
        <v>3075</v>
      </c>
      <c r="D26" s="554"/>
      <c r="E26" s="553" t="s">
        <v>3075</v>
      </c>
      <c r="F26" s="554"/>
      <c r="G26" s="553" t="s">
        <v>3075</v>
      </c>
      <c r="H26" s="554"/>
      <c r="I26" s="575" t="s">
        <v>3075</v>
      </c>
      <c r="J26" s="554"/>
      <c r="K26" s="530"/>
      <c r="L26" s="2134"/>
      <c r="M26" s="2135"/>
      <c r="N26" s="2135"/>
      <c r="O26" s="2136"/>
      <c r="P26" s="3448"/>
      <c r="Q26" s="1150"/>
      <c r="R26" s="1567"/>
      <c r="S26" s="1568"/>
      <c r="T26" s="1567"/>
      <c r="U26" s="1568"/>
      <c r="V26" s="1567"/>
      <c r="W26" s="1568"/>
      <c r="X26" s="1569"/>
      <c r="Y26" s="3448"/>
      <c r="Z26" s="1149"/>
      <c r="AA26" s="1570">
        <v>1</v>
      </c>
      <c r="AB26" s="1570">
        <v>1</v>
      </c>
      <c r="AC26" s="1570">
        <v>1</v>
      </c>
    </row>
    <row r="27" spans="1:29" s="1219" customFormat="1" ht="15">
      <c r="A27" s="576"/>
      <c r="B27" s="2616" t="s">
        <v>2550</v>
      </c>
      <c r="C27" s="871" t="str">
        <f>估价对象房地状况!G20</f>
        <v>六通</v>
      </c>
      <c r="D27" s="558">
        <v>100</v>
      </c>
      <c r="E27" s="561"/>
      <c r="F27" s="558">
        <f>SUMIF(95:95,E28,96:96)-SUMIF(95:95,C28,96:96)+100</f>
        <v>100</v>
      </c>
      <c r="G27" s="561"/>
      <c r="H27" s="558">
        <f>SUMIF(95:95,G28,96:96)-SUMIF(95:95,C28,96:96)+100</f>
        <v>100</v>
      </c>
      <c r="I27" s="563"/>
      <c r="J27" s="558">
        <f>SUMIF(95:95,I28,96:96)-SUMIF(95:95,C28,96:96)+100</f>
        <v>100</v>
      </c>
      <c r="K27" s="534">
        <v>1</v>
      </c>
      <c r="L27" s="2134"/>
      <c r="M27" s="2135"/>
      <c r="N27" s="2135"/>
      <c r="O27" s="2136"/>
      <c r="P27" s="3448"/>
      <c r="Q27" s="2601" t="str">
        <f t="shared" ref="Q27" si="9">B27</f>
        <v>基础设施水平</v>
      </c>
      <c r="R27" s="1567" t="s">
        <v>8</v>
      </c>
      <c r="S27" s="1568">
        <f>F27</f>
        <v>100</v>
      </c>
      <c r="T27" s="1567" t="s">
        <v>8</v>
      </c>
      <c r="U27" s="1568">
        <f>H27</f>
        <v>100</v>
      </c>
      <c r="V27" s="1567" t="s">
        <v>8</v>
      </c>
      <c r="W27" s="1568">
        <f>J27</f>
        <v>100</v>
      </c>
      <c r="X27" s="1569"/>
      <c r="Y27" s="3448"/>
      <c r="Z27" s="2598" t="str">
        <f>Q27</f>
        <v>基础设施水平</v>
      </c>
      <c r="AA27" s="1575">
        <f>D27/F27</f>
        <v>1</v>
      </c>
      <c r="AB27" s="1575">
        <f>D27/H27</f>
        <v>1</v>
      </c>
      <c r="AC27" s="1575">
        <f>D27/J27</f>
        <v>1</v>
      </c>
    </row>
    <row r="28" spans="1:29" s="1219" customFormat="1" ht="15">
      <c r="A28" s="576"/>
      <c r="B28" s="594"/>
      <c r="C28" s="2615" t="s">
        <v>3020</v>
      </c>
      <c r="D28" s="554"/>
      <c r="E28" s="578" t="s">
        <v>3020</v>
      </c>
      <c r="F28" s="554"/>
      <c r="G28" s="578" t="s">
        <v>3020</v>
      </c>
      <c r="H28" s="554"/>
      <c r="I28" s="578" t="s">
        <v>3020</v>
      </c>
      <c r="J28" s="554"/>
      <c r="K28" s="530"/>
      <c r="L28" s="2134"/>
      <c r="M28" s="2135"/>
      <c r="N28" s="2135"/>
      <c r="O28" s="2136"/>
      <c r="P28" s="3448"/>
      <c r="Q28" s="2601"/>
      <c r="R28" s="1567"/>
      <c r="S28" s="1568"/>
      <c r="T28" s="1567"/>
      <c r="U28" s="1568"/>
      <c r="V28" s="1567"/>
      <c r="W28" s="1568"/>
      <c r="X28" s="1569"/>
      <c r="Y28" s="3448"/>
      <c r="Z28" s="2598"/>
      <c r="AA28" s="1570">
        <v>1</v>
      </c>
      <c r="AB28" s="1570">
        <v>1</v>
      </c>
      <c r="AC28" s="1570">
        <v>1</v>
      </c>
    </row>
    <row r="29" spans="1:29" ht="15" hidden="1">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4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8"/>
      <c r="Z29" s="1574" t="str">
        <f t="shared" ref="Z29:Z42" si="13">Q29</f>
        <v>临街状况</v>
      </c>
      <c r="AA29" s="1575">
        <f t="shared" si="3"/>
        <v>1</v>
      </c>
      <c r="AB29" s="1575">
        <f t="shared" si="4"/>
        <v>1</v>
      </c>
      <c r="AC29" s="1575">
        <f t="shared" si="5"/>
        <v>1</v>
      </c>
    </row>
    <row r="30" spans="1:29" ht="27">
      <c r="A30" s="531"/>
      <c r="B30" s="921" t="s">
        <v>548</v>
      </c>
      <c r="C30" s="2618">
        <f>估价对象房地状况!G22</f>
        <v>0</v>
      </c>
      <c r="D30" s="558">
        <v>100</v>
      </c>
      <c r="E30" s="561"/>
      <c r="F30" s="558">
        <f>SUMIF(99:99,E31,100:100)-SUMIF(99:99,C31,100:100)+100</f>
        <v>102</v>
      </c>
      <c r="G30" s="561"/>
      <c r="H30" s="558">
        <f>SUMIF(99:99,G31,100:100)-SUMIF(99:99,C31,100:100)+100</f>
        <v>102</v>
      </c>
      <c r="I30" s="563"/>
      <c r="J30" s="558">
        <f>SUMIF(99:99,I31,100:100)-SUMIF(99:99,C31,100:100)+100</f>
        <v>102</v>
      </c>
      <c r="K30" s="534">
        <v>2</v>
      </c>
      <c r="L30" s="2141"/>
      <c r="M30" s="2133"/>
      <c r="N30" s="2133"/>
      <c r="O30" s="2140"/>
      <c r="P30" s="3448"/>
      <c r="Q30" s="1571" t="str">
        <f t="shared" si="8"/>
        <v>毗邻道路的类型与等级</v>
      </c>
      <c r="R30" s="1572" t="s">
        <v>8</v>
      </c>
      <c r="S30" s="1573">
        <f t="shared" si="10"/>
        <v>102</v>
      </c>
      <c r="T30" s="1572" t="s">
        <v>8</v>
      </c>
      <c r="U30" s="1573">
        <f t="shared" si="11"/>
        <v>102</v>
      </c>
      <c r="V30" s="1572" t="s">
        <v>8</v>
      </c>
      <c r="W30" s="1573">
        <f t="shared" si="12"/>
        <v>102</v>
      </c>
      <c r="X30" s="1566"/>
      <c r="Y30" s="3448"/>
      <c r="Z30" s="1574" t="str">
        <f t="shared" si="13"/>
        <v>毗邻道路的类型与等级</v>
      </c>
      <c r="AA30" s="1575">
        <f t="shared" si="3"/>
        <v>0.98039215686274506</v>
      </c>
      <c r="AB30" s="1575">
        <f t="shared" si="4"/>
        <v>0.98039215686274506</v>
      </c>
      <c r="AC30" s="1575">
        <f t="shared" si="5"/>
        <v>0.98039215686274506</v>
      </c>
    </row>
    <row r="31" spans="1:29" ht="15.75" thickBot="1">
      <c r="A31" s="531"/>
      <c r="B31" s="594"/>
      <c r="C31" s="575" t="s">
        <v>3022</v>
      </c>
      <c r="D31" s="554"/>
      <c r="E31" s="575" t="s">
        <v>3058</v>
      </c>
      <c r="F31" s="554"/>
      <c r="G31" s="575" t="s">
        <v>3058</v>
      </c>
      <c r="H31" s="554"/>
      <c r="I31" s="575" t="s">
        <v>3058</v>
      </c>
      <c r="J31" s="554"/>
      <c r="K31" s="580"/>
      <c r="L31" s="2141"/>
      <c r="M31" s="2133"/>
      <c r="N31" s="2133"/>
      <c r="O31" s="2140"/>
      <c r="P31" s="3448"/>
      <c r="Q31" s="1571"/>
      <c r="R31" s="1572"/>
      <c r="S31" s="1573"/>
      <c r="T31" s="1572"/>
      <c r="U31" s="1573"/>
      <c r="V31" s="1572"/>
      <c r="W31" s="1573"/>
      <c r="X31" s="1566"/>
      <c r="Y31" s="3448"/>
      <c r="Z31" s="1574"/>
      <c r="AA31" s="1575">
        <v>1</v>
      </c>
      <c r="AB31" s="1575">
        <v>1</v>
      </c>
      <c r="AC31" s="1575">
        <v>1</v>
      </c>
    </row>
    <row r="32" spans="1:29" ht="15" hidden="1">
      <c r="A32" s="531"/>
      <c r="B32" s="526" t="s">
        <v>549</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48"/>
      <c r="Q32" s="1571" t="str">
        <f t="shared" si="8"/>
        <v>土地级别</v>
      </c>
      <c r="R32" s="1572" t="s">
        <v>8</v>
      </c>
      <c r="S32" s="1573">
        <f t="shared" si="10"/>
        <v>100</v>
      </c>
      <c r="T32" s="1572" t="s">
        <v>8</v>
      </c>
      <c r="U32" s="1573">
        <f t="shared" si="11"/>
        <v>100</v>
      </c>
      <c r="V32" s="1572" t="s">
        <v>8</v>
      </c>
      <c r="W32" s="1573">
        <f t="shared" si="12"/>
        <v>100</v>
      </c>
      <c r="X32" s="1566"/>
      <c r="Y32" s="3448"/>
      <c r="Z32" s="1574" t="str">
        <f t="shared" si="13"/>
        <v>土地级别</v>
      </c>
      <c r="AA32" s="1575">
        <f t="shared" si="3"/>
        <v>1</v>
      </c>
      <c r="AB32" s="1575">
        <f t="shared" si="4"/>
        <v>1</v>
      </c>
      <c r="AC32" s="1575">
        <f t="shared" si="5"/>
        <v>1</v>
      </c>
    </row>
    <row r="33" spans="1:29" ht="15" hidden="1">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48"/>
      <c r="Q33" s="1571">
        <f t="shared" si="8"/>
        <v>111</v>
      </c>
      <c r="R33" s="1572" t="s">
        <v>8</v>
      </c>
      <c r="S33" s="1573">
        <f t="shared" si="10"/>
        <v>100</v>
      </c>
      <c r="T33" s="1572" t="s">
        <v>8</v>
      </c>
      <c r="U33" s="1573">
        <f t="shared" si="11"/>
        <v>100</v>
      </c>
      <c r="V33" s="1572" t="s">
        <v>8</v>
      </c>
      <c r="W33" s="1573">
        <f t="shared" si="12"/>
        <v>100</v>
      </c>
      <c r="X33" s="1566"/>
      <c r="Y33" s="3448"/>
      <c r="Z33" s="1574">
        <f t="shared" si="13"/>
        <v>111</v>
      </c>
      <c r="AA33" s="1575">
        <f t="shared" si="3"/>
        <v>1</v>
      </c>
      <c r="AB33" s="1575">
        <f t="shared" si="4"/>
        <v>1</v>
      </c>
      <c r="AC33" s="1575">
        <f t="shared" si="5"/>
        <v>1</v>
      </c>
    </row>
    <row r="34" spans="1:29" ht="15" hidden="1">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49" t="s">
        <v>550</v>
      </c>
      <c r="Q34" s="1571">
        <f t="shared" si="8"/>
        <v>111</v>
      </c>
      <c r="R34" s="1572" t="s">
        <v>8</v>
      </c>
      <c r="S34" s="1573">
        <f t="shared" si="10"/>
        <v>100</v>
      </c>
      <c r="T34" s="1572" t="s">
        <v>8</v>
      </c>
      <c r="U34" s="1573">
        <f t="shared" si="11"/>
        <v>100</v>
      </c>
      <c r="V34" s="1572" t="s">
        <v>8</v>
      </c>
      <c r="W34" s="1573">
        <f t="shared" si="12"/>
        <v>100</v>
      </c>
      <c r="X34" s="1566"/>
      <c r="Y34" s="3450" t="s">
        <v>550</v>
      </c>
      <c r="Z34" s="1574">
        <f t="shared" si="13"/>
        <v>111</v>
      </c>
      <c r="AA34" s="1575">
        <f t="shared" si="3"/>
        <v>1</v>
      </c>
      <c r="AB34" s="1575">
        <f t="shared" si="4"/>
        <v>1</v>
      </c>
      <c r="AC34" s="1575">
        <f t="shared" si="5"/>
        <v>1</v>
      </c>
    </row>
    <row r="35" spans="1:29" s="1338" customFormat="1" ht="15.75" hidden="1"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50"/>
      <c r="Q35" s="1571">
        <f t="shared" si="8"/>
        <v>111</v>
      </c>
      <c r="R35" s="1576" t="s">
        <v>8</v>
      </c>
      <c r="S35" s="1577">
        <f t="shared" si="10"/>
        <v>100</v>
      </c>
      <c r="T35" s="1576" t="s">
        <v>8</v>
      </c>
      <c r="U35" s="1577">
        <f t="shared" si="11"/>
        <v>100</v>
      </c>
      <c r="V35" s="1576" t="s">
        <v>8</v>
      </c>
      <c r="W35" s="1577">
        <f t="shared" si="12"/>
        <v>100</v>
      </c>
      <c r="X35" s="1578"/>
      <c r="Y35" s="3450"/>
      <c r="Z35" s="1579">
        <f t="shared" si="13"/>
        <v>111</v>
      </c>
      <c r="AA35" s="1575">
        <f t="shared" si="3"/>
        <v>1</v>
      </c>
      <c r="AB35" s="1575">
        <f t="shared" si="4"/>
        <v>1</v>
      </c>
      <c r="AC35" s="1575">
        <f t="shared" si="5"/>
        <v>1</v>
      </c>
    </row>
    <row r="36" spans="1:29" ht="15">
      <c r="A36" s="2930" t="s">
        <v>2756</v>
      </c>
      <c r="B36" s="594" t="s">
        <v>552</v>
      </c>
      <c r="C36" s="595">
        <f>'数据-基础表'!A3</f>
        <v>157370.63000000006</v>
      </c>
      <c r="D36" s="596">
        <v>100</v>
      </c>
      <c r="E36" s="595">
        <f>土地案例!$D$3</f>
        <v>19577.02</v>
      </c>
      <c r="F36" s="596">
        <f>LOOKUP(E36,110:110,111:111)-LOOKUP(C36,110:110,111:111)+100</f>
        <v>92</v>
      </c>
      <c r="G36" s="595">
        <f>土地案例!$D$38</f>
        <v>29876.44</v>
      </c>
      <c r="H36" s="596">
        <f>LOOKUP(G36,110:110,111:111)-LOOKUP(C36,110:110,111:111)+100</f>
        <v>94</v>
      </c>
      <c r="I36" s="597">
        <f>土地案例!$D$43</f>
        <v>48368.800000000003</v>
      </c>
      <c r="J36" s="596">
        <f>LOOKUP(I36,110:110,111:111)-LOOKUP(C36,110:110,111:111)+100</f>
        <v>96</v>
      </c>
      <c r="K36" s="580"/>
      <c r="L36" s="2141"/>
      <c r="M36" s="2133"/>
      <c r="N36" s="2133"/>
      <c r="O36" s="2140"/>
      <c r="P36" s="3450"/>
      <c r="Q36" s="1571" t="str">
        <f>B36</f>
        <v>宗地面积</v>
      </c>
      <c r="R36" s="1572" t="s">
        <v>8</v>
      </c>
      <c r="S36" s="1573">
        <f t="shared" si="10"/>
        <v>92</v>
      </c>
      <c r="T36" s="1572" t="s">
        <v>8</v>
      </c>
      <c r="U36" s="1573">
        <f t="shared" si="11"/>
        <v>94</v>
      </c>
      <c r="V36" s="1572" t="s">
        <v>8</v>
      </c>
      <c r="W36" s="1573">
        <f t="shared" si="12"/>
        <v>96</v>
      </c>
      <c r="X36" s="1566"/>
      <c r="Y36" s="3450"/>
      <c r="Z36" s="1574" t="str">
        <f t="shared" si="13"/>
        <v>宗地面积</v>
      </c>
      <c r="AA36" s="1575">
        <f t="shared" si="3"/>
        <v>1.0869565217391304</v>
      </c>
      <c r="AB36" s="1575">
        <f t="shared" si="4"/>
        <v>1.0638297872340425</v>
      </c>
      <c r="AC36" s="1575">
        <f t="shared" si="5"/>
        <v>1.0416666666666667</v>
      </c>
    </row>
    <row r="37" spans="1:29" ht="15">
      <c r="A37" s="593"/>
      <c r="B37" s="526" t="s">
        <v>553</v>
      </c>
      <c r="C37" s="598" t="s">
        <v>3064</v>
      </c>
      <c r="D37" s="539">
        <v>100</v>
      </c>
      <c r="E37" s="598" t="s">
        <v>3062</v>
      </c>
      <c r="F37" s="539">
        <f>SUMIF(112:112,E37,113:113)-SUMIF(112:112,C37,113:113)+100</f>
        <v>101</v>
      </c>
      <c r="G37" s="598" t="s">
        <v>3062</v>
      </c>
      <c r="H37" s="539">
        <f>SUMIF(112:112,G37,113:113)-SUMIF(112:112,C37,113:113)+100</f>
        <v>101</v>
      </c>
      <c r="I37" s="598" t="s">
        <v>3062</v>
      </c>
      <c r="J37" s="539">
        <f>SUMIF(112:112,I37,113:113)-SUMIF(112:112,C37,113:113)+100</f>
        <v>101</v>
      </c>
      <c r="K37" s="583">
        <v>1</v>
      </c>
      <c r="L37" s="2141"/>
      <c r="M37" s="2133"/>
      <c r="N37" s="2133"/>
      <c r="O37" s="2140"/>
      <c r="P37" s="3450"/>
      <c r="Q37" s="1571" t="str">
        <f t="shared" ref="Q37:Q42" si="14">B37</f>
        <v>宗地形状</v>
      </c>
      <c r="R37" s="1572" t="s">
        <v>8</v>
      </c>
      <c r="S37" s="1573">
        <f t="shared" si="10"/>
        <v>101</v>
      </c>
      <c r="T37" s="1572" t="s">
        <v>8</v>
      </c>
      <c r="U37" s="1573">
        <f t="shared" si="11"/>
        <v>101</v>
      </c>
      <c r="V37" s="1572" t="s">
        <v>8</v>
      </c>
      <c r="W37" s="1573">
        <f t="shared" si="12"/>
        <v>101</v>
      </c>
      <c r="X37" s="1566"/>
      <c r="Y37" s="3450"/>
      <c r="Z37" s="1574" t="str">
        <f t="shared" si="13"/>
        <v>宗地形状</v>
      </c>
      <c r="AA37" s="1575">
        <f t="shared" si="3"/>
        <v>0.99009900990099009</v>
      </c>
      <c r="AB37" s="1575">
        <f t="shared" si="4"/>
        <v>0.99009900990099009</v>
      </c>
      <c r="AC37" s="1575">
        <f t="shared" si="5"/>
        <v>0.99009900990099009</v>
      </c>
    </row>
    <row r="38" spans="1:29" s="1219" customFormat="1" ht="15">
      <c r="A38" s="599"/>
      <c r="B38" s="1894" t="s">
        <v>2425</v>
      </c>
      <c r="C38" s="600" t="s">
        <v>3019</v>
      </c>
      <c r="D38" s="254">
        <v>100</v>
      </c>
      <c r="E38" s="600" t="s">
        <v>3071</v>
      </c>
      <c r="F38" s="539">
        <f>SUMIF(114:114,E38,115:115)-SUMIF(114:114,C38,115:115)+100</f>
        <v>96</v>
      </c>
      <c r="G38" s="600" t="s">
        <v>3071</v>
      </c>
      <c r="H38" s="539">
        <f>SUMIF(114:114,G38,115:115)-SUMIF(114:114,C38,115:115)+100</f>
        <v>96</v>
      </c>
      <c r="I38" s="600" t="s">
        <v>3071</v>
      </c>
      <c r="J38" s="539">
        <f>SUMIF(114:114,I38,115:115)-SUMIF(114:114,C38,115:115)+100</f>
        <v>96</v>
      </c>
      <c r="K38" s="583">
        <v>2</v>
      </c>
      <c r="L38" s="2134"/>
      <c r="M38" s="2135"/>
      <c r="N38" s="2135"/>
      <c r="O38" s="2136"/>
      <c r="P38" s="3450"/>
      <c r="Q38" s="1571" t="str">
        <f t="shared" si="14"/>
        <v>宗地开发程度</v>
      </c>
      <c r="R38" s="1567" t="s">
        <v>8</v>
      </c>
      <c r="S38" s="1568">
        <f t="shared" si="10"/>
        <v>96</v>
      </c>
      <c r="T38" s="1567" t="s">
        <v>8</v>
      </c>
      <c r="U38" s="1568">
        <f t="shared" si="11"/>
        <v>96</v>
      </c>
      <c r="V38" s="1567" t="s">
        <v>8</v>
      </c>
      <c r="W38" s="1568">
        <f t="shared" si="12"/>
        <v>96</v>
      </c>
      <c r="X38" s="1569"/>
      <c r="Y38" s="3450"/>
      <c r="Z38" s="1149" t="str">
        <f t="shared" si="13"/>
        <v>宗地开发程度</v>
      </c>
      <c r="AA38" s="1570">
        <f t="shared" si="3"/>
        <v>1.0416666666666667</v>
      </c>
      <c r="AB38" s="1570">
        <f t="shared" si="4"/>
        <v>1.0416666666666667</v>
      </c>
      <c r="AC38" s="1570">
        <f t="shared" si="5"/>
        <v>1.0416666666666667</v>
      </c>
    </row>
    <row r="39" spans="1:29" ht="15.75" thickBot="1">
      <c r="A39" s="593"/>
      <c r="B39" s="526" t="s">
        <v>555</v>
      </c>
      <c r="C39" s="598" t="s">
        <v>3073</v>
      </c>
      <c r="D39" s="539">
        <v>100</v>
      </c>
      <c r="E39" s="598" t="s">
        <v>3073</v>
      </c>
      <c r="F39" s="539">
        <f>SUMIF(116:116,E39,117:117)-SUMIF(116:116,C39,117:117)+100</f>
        <v>100</v>
      </c>
      <c r="G39" s="598" t="s">
        <v>3073</v>
      </c>
      <c r="H39" s="539">
        <f>SUMIF(116:116,G39,117:117)-SUMIF(116:116,C39,117:117)+100</f>
        <v>100</v>
      </c>
      <c r="I39" s="598" t="s">
        <v>3073</v>
      </c>
      <c r="J39" s="539">
        <f>SUMIF(116:116,I39,117:117)-SUMIF(116:116,C39,117:117)+100</f>
        <v>100</v>
      </c>
      <c r="K39" s="583">
        <v>2</v>
      </c>
      <c r="L39" s="2141"/>
      <c r="M39" s="2133"/>
      <c r="N39" s="2133"/>
      <c r="O39" s="2140"/>
      <c r="P39" s="3450" t="s">
        <v>601</v>
      </c>
      <c r="Q39" s="1571" t="str">
        <f t="shared" si="14"/>
        <v>工程地质条件</v>
      </c>
      <c r="R39" s="1572" t="s">
        <v>8</v>
      </c>
      <c r="S39" s="1573">
        <f t="shared" si="10"/>
        <v>100</v>
      </c>
      <c r="T39" s="1572" t="s">
        <v>8</v>
      </c>
      <c r="U39" s="1573">
        <f t="shared" si="11"/>
        <v>100</v>
      </c>
      <c r="V39" s="1572" t="s">
        <v>8</v>
      </c>
      <c r="W39" s="1573">
        <f t="shared" si="12"/>
        <v>100</v>
      </c>
      <c r="X39" s="1566"/>
      <c r="Y39" s="3450" t="s">
        <v>601</v>
      </c>
      <c r="Z39" s="1574" t="str">
        <f t="shared" si="13"/>
        <v>工程地质条件</v>
      </c>
      <c r="AA39" s="1575">
        <f t="shared" si="3"/>
        <v>1</v>
      </c>
      <c r="AB39" s="1575">
        <f t="shared" si="4"/>
        <v>1</v>
      </c>
      <c r="AC39" s="1575">
        <f t="shared" si="5"/>
        <v>1</v>
      </c>
    </row>
    <row r="40" spans="1:29" ht="15" hidden="1">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50"/>
      <c r="Q40" s="1571">
        <f t="shared" si="14"/>
        <v>111</v>
      </c>
      <c r="R40" s="1572" t="s">
        <v>8</v>
      </c>
      <c r="S40" s="1573">
        <f t="shared" si="10"/>
        <v>100</v>
      </c>
      <c r="T40" s="1572" t="s">
        <v>8</v>
      </c>
      <c r="U40" s="1573">
        <f t="shared" si="11"/>
        <v>100</v>
      </c>
      <c r="V40" s="1572" t="s">
        <v>8</v>
      </c>
      <c r="W40" s="1573">
        <f t="shared" si="12"/>
        <v>100</v>
      </c>
      <c r="X40" s="1566"/>
      <c r="Y40" s="3450"/>
      <c r="Z40" s="1574">
        <f t="shared" si="13"/>
        <v>111</v>
      </c>
      <c r="AA40" s="1575">
        <f t="shared" si="3"/>
        <v>1</v>
      </c>
      <c r="AB40" s="1575">
        <f t="shared" si="4"/>
        <v>1</v>
      </c>
      <c r="AC40" s="1575">
        <f t="shared" si="5"/>
        <v>1</v>
      </c>
    </row>
    <row r="41" spans="1:29" ht="15" hidden="1">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50"/>
      <c r="Q41" s="1571">
        <f t="shared" si="14"/>
        <v>111</v>
      </c>
      <c r="R41" s="1572" t="s">
        <v>8</v>
      </c>
      <c r="S41" s="1573">
        <f t="shared" si="10"/>
        <v>100</v>
      </c>
      <c r="T41" s="1572" t="s">
        <v>8</v>
      </c>
      <c r="U41" s="1573">
        <f t="shared" si="11"/>
        <v>100</v>
      </c>
      <c r="V41" s="1572" t="s">
        <v>8</v>
      </c>
      <c r="W41" s="1573">
        <f t="shared" si="12"/>
        <v>100</v>
      </c>
      <c r="X41" s="1566"/>
      <c r="Y41" s="3450"/>
      <c r="Z41" s="1574">
        <f t="shared" si="13"/>
        <v>111</v>
      </c>
      <c r="AA41" s="1575">
        <f t="shared" si="3"/>
        <v>1</v>
      </c>
      <c r="AB41" s="1575">
        <f t="shared" si="4"/>
        <v>1</v>
      </c>
      <c r="AC41" s="1575">
        <f t="shared" si="5"/>
        <v>1</v>
      </c>
    </row>
    <row r="42" spans="1:29" s="1338" customFormat="1" ht="15.75" hidden="1"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50"/>
      <c r="Q42" s="1571">
        <f t="shared" si="14"/>
        <v>111</v>
      </c>
      <c r="R42" s="1576" t="s">
        <v>8</v>
      </c>
      <c r="S42" s="1577">
        <f t="shared" si="10"/>
        <v>100</v>
      </c>
      <c r="T42" s="1576" t="s">
        <v>8</v>
      </c>
      <c r="U42" s="1577">
        <f t="shared" si="11"/>
        <v>100</v>
      </c>
      <c r="V42" s="1576" t="s">
        <v>8</v>
      </c>
      <c r="W42" s="1577">
        <f t="shared" si="12"/>
        <v>100</v>
      </c>
      <c r="X42" s="1578"/>
      <c r="Y42" s="3450"/>
      <c r="Z42" s="1579">
        <f t="shared" si="13"/>
        <v>111</v>
      </c>
      <c r="AA42" s="1575">
        <f t="shared" si="3"/>
        <v>1</v>
      </c>
      <c r="AB42" s="1575">
        <f t="shared" si="4"/>
        <v>1</v>
      </c>
      <c r="AC42" s="1575">
        <f t="shared" si="5"/>
        <v>1</v>
      </c>
    </row>
    <row r="43" spans="1:29" ht="15">
      <c r="A43" s="606" t="s">
        <v>556</v>
      </c>
      <c r="B43" s="607" t="s">
        <v>3443</v>
      </c>
      <c r="C43" s="608" t="s">
        <v>1</v>
      </c>
      <c r="D43" s="609"/>
      <c r="E43" s="3222">
        <f>土地案例!L3</f>
        <v>357</v>
      </c>
      <c r="F43" s="3223"/>
      <c r="G43" s="3224">
        <f>土地案例!L38</f>
        <v>336</v>
      </c>
      <c r="H43" s="3225"/>
      <c r="I43" s="3222">
        <f>土地案例!L43</f>
        <v>360</v>
      </c>
      <c r="J43" s="613"/>
      <c r="K43" s="1339"/>
      <c r="L43" s="2143"/>
      <c r="M43" s="2133"/>
      <c r="N43" s="2133"/>
      <c r="O43" s="2144"/>
      <c r="P43" s="3412" t="str">
        <f>A43</f>
        <v>成交单价</v>
      </c>
      <c r="Q43" s="3412"/>
      <c r="R43" s="3413">
        <f>E43</f>
        <v>357</v>
      </c>
      <c r="S43" s="3413"/>
      <c r="T43" s="3413">
        <f>G43</f>
        <v>336</v>
      </c>
      <c r="U43" s="3413"/>
      <c r="V43" s="3413">
        <f>I43</f>
        <v>360</v>
      </c>
      <c r="W43" s="3413"/>
      <c r="X43" s="1558"/>
      <c r="Y43" s="1580"/>
      <c r="Z43" s="1558"/>
      <c r="AA43" s="1558"/>
      <c r="AB43" s="1558"/>
      <c r="AC43" s="1558"/>
    </row>
    <row r="44" spans="1:29" ht="15.75" thickBot="1">
      <c r="A44" s="614" t="s">
        <v>2694</v>
      </c>
      <c r="B44" s="615"/>
      <c r="C44" s="616">
        <f>R45</f>
        <v>313</v>
      </c>
      <c r="D44" s="617"/>
      <c r="E44" s="3218">
        <f>R44</f>
        <v>317</v>
      </c>
      <c r="F44" s="3219"/>
      <c r="G44" s="3220">
        <f>T44</f>
        <v>304</v>
      </c>
      <c r="H44" s="3221"/>
      <c r="I44" s="3218">
        <f>V44</f>
        <v>319</v>
      </c>
      <c r="J44" s="617"/>
      <c r="K44" s="1340"/>
      <c r="L44" s="2143"/>
      <c r="M44" s="2133"/>
      <c r="N44" s="2133"/>
      <c r="O44" s="2144"/>
      <c r="P44" s="3412" t="str">
        <f>A44</f>
        <v>比较价格（元/平方米）</v>
      </c>
      <c r="Q44" s="3412"/>
      <c r="R44" s="3414">
        <f>ROUND(PRODUCT(R43,AA9:AA42),0)</f>
        <v>317</v>
      </c>
      <c r="S44" s="3414"/>
      <c r="T44" s="3414">
        <f>ROUND(PRODUCT(T43,AB9:AB42),0)</f>
        <v>304</v>
      </c>
      <c r="U44" s="3414"/>
      <c r="V44" s="3414">
        <f>ROUND(PRODUCT(V43,AC9:AC42),0)</f>
        <v>319</v>
      </c>
      <c r="W44" s="3414"/>
      <c r="X44" s="1558"/>
      <c r="Y44" s="1558"/>
      <c r="Z44" s="1558"/>
      <c r="AA44" s="1558"/>
      <c r="AB44" s="1558"/>
      <c r="AC44" s="1558"/>
    </row>
    <row r="45" spans="1:29" ht="15.75" thickBot="1">
      <c r="A45" s="620" t="s">
        <v>3435</v>
      </c>
      <c r="B45" s="621"/>
      <c r="C45" s="622">
        <f>R45</f>
        <v>313</v>
      </c>
      <c r="D45" s="622"/>
      <c r="E45" s="622"/>
      <c r="F45" s="622"/>
      <c r="G45" s="622"/>
      <c r="H45" s="622"/>
      <c r="I45" s="622"/>
      <c r="J45" s="622"/>
      <c r="K45" s="1341"/>
      <c r="L45" s="2143"/>
      <c r="M45" s="2133"/>
      <c r="N45" s="2133"/>
      <c r="O45" s="2144"/>
      <c r="P45" s="3409" t="str">
        <f>A45</f>
        <v>估价对象工业用地比较价格（楼面单价，元/平方米）</v>
      </c>
      <c r="Q45" s="3410"/>
      <c r="R45" s="3411">
        <f>ROUND(AVERAGE(R44:V44),0)</f>
        <v>313</v>
      </c>
      <c r="S45" s="3411"/>
      <c r="T45" s="3411"/>
      <c r="U45" s="3411"/>
      <c r="V45" s="3411"/>
      <c r="W45" s="3411"/>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f>IF(E43&lt;E44,E44/E43-1,E43/E44-1)</f>
        <v>0.12618296529968465</v>
      </c>
      <c r="F48" s="626" t="str">
        <f>IF(OR(E48&gt;=0.3,E48&lt;=-0.3),"超过30%","")</f>
        <v/>
      </c>
      <c r="G48" s="625">
        <f>IF(G43&lt;G44,G44/G43-1,G43/G44-1)</f>
        <v>0.10526315789473695</v>
      </c>
      <c r="H48" s="626" t="str">
        <f>IF(OR(G48&gt;=0.3,G48&lt;=-0.3),"超过30%","")</f>
        <v/>
      </c>
      <c r="I48" s="625">
        <f>IF(I43&lt;I44,I44/I43-1,I43/I44-1)</f>
        <v>0.12852664576802497</v>
      </c>
      <c r="J48" s="626" t="str">
        <f>IF(OR(I48&gt;=0.3,I48&lt;=-0.3),"超过30%","")</f>
        <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f>IF(E44&lt;G44,G44/E44-1,E44/G44-1)</f>
        <v>4.2763157894736947E-2</v>
      </c>
      <c r="F49" s="626" t="str">
        <f>IF(OR(E49&gt;=0.2,E49&lt;=-0.2),"超过20%","")</f>
        <v/>
      </c>
      <c r="G49" s="625">
        <f>IF(G44&lt;I44,I44/G44-1,G44/I44-1)</f>
        <v>4.9342105263157965E-2</v>
      </c>
      <c r="H49" s="626" t="str">
        <f>IF(OR(G49&gt;=0.2,G49&lt;=-0.2),"超过20%","")</f>
        <v/>
      </c>
      <c r="I49" s="625">
        <f>IF(I44&lt;E44,E44/I44-1,I44/E44-1)</f>
        <v>6.3091482649841879E-3</v>
      </c>
      <c r="J49" s="626" t="str">
        <f>IF(OR(I49&gt;=0.2,I49&lt;=-0.2),"超过20%","")</f>
        <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559</v>
      </c>
      <c r="D50" s="627"/>
      <c r="E50" s="625">
        <f>IF(E43&lt;G43,G43/E43-1,E43/G43-1)</f>
        <v>6.25E-2</v>
      </c>
      <c r="F50" s="626" t="str">
        <f>IF(OR(E50&gt;=0.3,E50&lt;=-0.3),"超过30%","")</f>
        <v/>
      </c>
      <c r="G50" s="625">
        <f>IF(G43&lt;I43,I43/G43-1,G43/I43-1)</f>
        <v>7.1428571428571397E-2</v>
      </c>
      <c r="H50" s="626" t="str">
        <f>IF(OR(G50&gt;=0.3,G50&lt;=-0.3),"超过30%","")</f>
        <v/>
      </c>
      <c r="I50" s="625">
        <f>IF(I43&lt;E43,E43/I43-1,I43/E43-1)</f>
        <v>8.4033613445377853E-3</v>
      </c>
      <c r="J50" s="626" t="str">
        <f>IF(OR(I50&gt;=0.3,I50&lt;=-0.3),"超过30%","")</f>
        <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560</v>
      </c>
      <c r="B52" s="629" t="s">
        <v>561</v>
      </c>
      <c r="C52" s="1559" t="s">
        <v>1725</v>
      </c>
      <c r="D52" s="2226" t="s">
        <v>2294</v>
      </c>
      <c r="E52" s="630" t="s">
        <v>562</v>
      </c>
      <c r="F52" s="1950" t="s">
        <v>563</v>
      </c>
      <c r="G52" s="3457" t="s">
        <v>2285</v>
      </c>
      <c r="H52" s="3458"/>
      <c r="I52" s="1951" t="s">
        <v>1948</v>
      </c>
      <c r="J52" s="1554" t="str">
        <f>项目基本情况!F41</f>
        <v>广东省珠海市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564</v>
      </c>
      <c r="B53" s="633">
        <f>C45</f>
        <v>313</v>
      </c>
      <c r="C53" s="634">
        <v>1</v>
      </c>
      <c r="D53" s="2227">
        <v>1</v>
      </c>
      <c r="E53" s="634">
        <f>'数据-汇总表'!E8+'数据-汇总表'!E9</f>
        <v>140004.31000000006</v>
      </c>
      <c r="F53" s="1949">
        <f t="shared" ref="F53:F62" si="15">ROUND(B53*E53/10000,0)</f>
        <v>4382</v>
      </c>
      <c r="G53" s="3459"/>
      <c r="H53" s="3460"/>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565</v>
      </c>
      <c r="B54" s="637">
        <f>ROUND($C$45*C54*D54,0)</f>
        <v>0</v>
      </c>
      <c r="C54" s="377">
        <f t="shared" ref="C54:C62" si="16">IF($C$52="北京市系数",I54,J54)</f>
        <v>0</v>
      </c>
      <c r="D54" s="2228">
        <v>0.25</v>
      </c>
      <c r="E54" s="638"/>
      <c r="F54" s="1949">
        <f t="shared" si="15"/>
        <v>0</v>
      </c>
      <c r="G54" s="3461"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566</v>
      </c>
      <c r="B55" s="637">
        <f t="shared" ref="B55:B62" si="17">ROUND($C$45*C55*D55,0)</f>
        <v>0</v>
      </c>
      <c r="C55" s="377">
        <f t="shared" si="16"/>
        <v>0</v>
      </c>
      <c r="D55" s="2228">
        <v>0.25</v>
      </c>
      <c r="E55" s="638"/>
      <c r="F55" s="1949">
        <f t="shared" si="15"/>
        <v>0</v>
      </c>
      <c r="G55" s="3461"/>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567</v>
      </c>
      <c r="B56" s="637">
        <f t="shared" si="17"/>
        <v>0</v>
      </c>
      <c r="C56" s="377">
        <f t="shared" si="16"/>
        <v>0</v>
      </c>
      <c r="D56" s="2228">
        <v>0.25</v>
      </c>
      <c r="E56" s="638"/>
      <c r="F56" s="1949">
        <f t="shared" si="15"/>
        <v>0</v>
      </c>
      <c r="G56" s="3461"/>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568</v>
      </c>
      <c r="B57" s="637">
        <f t="shared" si="17"/>
        <v>0</v>
      </c>
      <c r="C57" s="377">
        <f t="shared" si="16"/>
        <v>0</v>
      </c>
      <c r="D57" s="2228">
        <v>0.25</v>
      </c>
      <c r="E57" s="638"/>
      <c r="F57" s="1949">
        <f t="shared" si="15"/>
        <v>0</v>
      </c>
      <c r="G57" s="3461"/>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7">
        <f t="shared" si="17"/>
        <v>0</v>
      </c>
      <c r="C58" s="377">
        <f t="shared" si="16"/>
        <v>0</v>
      </c>
      <c r="D58" s="2228">
        <v>0.25</v>
      </c>
      <c r="E58" s="640">
        <f>'数据-汇总表'!E11</f>
        <v>0</v>
      </c>
      <c r="F58" s="1949">
        <f t="shared" si="15"/>
        <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569</v>
      </c>
      <c r="B59" s="637">
        <f t="shared" si="17"/>
        <v>0</v>
      </c>
      <c r="C59" s="377">
        <f t="shared" si="16"/>
        <v>0</v>
      </c>
      <c r="D59" s="2228">
        <v>0.25</v>
      </c>
      <c r="E59" s="640">
        <f>'数据-汇总表'!E12</f>
        <v>0</v>
      </c>
      <c r="F59" s="1949">
        <f t="shared" si="15"/>
        <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570</v>
      </c>
      <c r="B60" s="637">
        <f t="shared" si="17"/>
        <v>0</v>
      </c>
      <c r="C60" s="377">
        <f t="shared" si="16"/>
        <v>0</v>
      </c>
      <c r="D60" s="2228">
        <v>0.25</v>
      </c>
      <c r="E60" s="640">
        <f>'数据-汇总表'!E13</f>
        <v>0</v>
      </c>
      <c r="F60" s="1949">
        <f t="shared" si="15"/>
        <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571</v>
      </c>
      <c r="B61" s="637">
        <f t="shared" si="17"/>
        <v>0</v>
      </c>
      <c r="C61" s="377">
        <f t="shared" si="16"/>
        <v>0</v>
      </c>
      <c r="D61" s="2228">
        <v>0.25</v>
      </c>
      <c r="E61" s="640">
        <f>'数据-汇总表'!E14</f>
        <v>0</v>
      </c>
      <c r="F61" s="1949">
        <f t="shared" si="15"/>
        <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572</v>
      </c>
      <c r="B62" s="637">
        <f t="shared" si="17"/>
        <v>0</v>
      </c>
      <c r="C62" s="377">
        <f t="shared" si="16"/>
        <v>0</v>
      </c>
      <c r="D62" s="2228">
        <v>0.25</v>
      </c>
      <c r="E62" s="640">
        <f>'数据-汇总表'!E15</f>
        <v>0</v>
      </c>
      <c r="F62" s="1949">
        <f t="shared" si="15"/>
        <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573</v>
      </c>
      <c r="B63" s="642" t="s">
        <v>17</v>
      </c>
      <c r="C63" s="642" t="s">
        <v>18</v>
      </c>
      <c r="D63" s="642" t="s">
        <v>2295</v>
      </c>
      <c r="E63" s="642">
        <f>IF(B43="楼面地价",SUM(E53:E62),'数据-汇总表'!D3)</f>
        <v>157370.63</v>
      </c>
      <c r="F63" s="643">
        <f>IF(B43="楼面地价",SUM(F53:F62),ROUND(C45*E63/10000,0))</f>
        <v>4926</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1" t="s">
        <v>2534</v>
      </c>
      <c r="B67" s="645"/>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9" customFormat="1" ht="27.75" customHeight="1">
      <c r="A68" s="2821" t="s">
        <v>2650</v>
      </c>
      <c r="B68" s="478" t="str">
        <f>"北京市平均增长率"&amp;TEXT(基准地价!P24,"0.00%")</f>
        <v>北京市平均增长率1.35%</v>
      </c>
      <c r="C68" s="893">
        <v>100</v>
      </c>
      <c r="D68" s="3230">
        <f>C68</f>
        <v>100</v>
      </c>
      <c r="E68" s="3230">
        <f t="shared" ref="E68:N68" si="20">D68</f>
        <v>100</v>
      </c>
      <c r="F68" s="3230">
        <f t="shared" si="20"/>
        <v>100</v>
      </c>
      <c r="G68" s="3230">
        <f t="shared" si="20"/>
        <v>100</v>
      </c>
      <c r="H68" s="3230">
        <f t="shared" si="20"/>
        <v>100</v>
      </c>
      <c r="I68" s="3230">
        <f t="shared" si="20"/>
        <v>100</v>
      </c>
      <c r="J68" s="3230">
        <f t="shared" si="20"/>
        <v>100</v>
      </c>
      <c r="K68" s="3230">
        <f t="shared" si="20"/>
        <v>100</v>
      </c>
      <c r="L68" s="3230">
        <f t="shared" si="20"/>
        <v>100</v>
      </c>
      <c r="M68" s="3230">
        <f t="shared" si="20"/>
        <v>100</v>
      </c>
      <c r="N68" s="729">
        <f t="shared" si="20"/>
        <v>100</v>
      </c>
      <c r="O68" s="2161"/>
      <c r="P68" s="2157"/>
      <c r="Q68" s="1992"/>
      <c r="R68" s="1992"/>
      <c r="S68" s="1992"/>
      <c r="T68" s="1992"/>
      <c r="U68" s="1992"/>
      <c r="V68" s="1992"/>
      <c r="W68" s="1992"/>
      <c r="X68" s="1992"/>
      <c r="Y68" s="1992"/>
      <c r="Z68" s="1992"/>
      <c r="AA68" s="1992"/>
      <c r="AB68" s="1992"/>
      <c r="AC68" s="1992"/>
    </row>
    <row r="69" spans="1:29" s="1219" customFormat="1" ht="15.75" thickBot="1">
      <c r="A69" s="652" t="s">
        <v>575</v>
      </c>
      <c r="B69" s="653"/>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9" customFormat="1" ht="15">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577</v>
      </c>
      <c r="B72" s="664" t="s">
        <v>534</v>
      </c>
      <c r="C72" s="3192" t="s">
        <v>3417</v>
      </c>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v>100</v>
      </c>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538</v>
      </c>
      <c r="C76" s="681" t="str">
        <f>C77&amp;"（含）"&amp;"-"&amp;D77</f>
        <v>0（含）-1</v>
      </c>
      <c r="D76" s="681" t="str">
        <f t="shared" ref="D76:L76" si="21">D77&amp;"（含）"&amp;"-"&amp;E77</f>
        <v>1（含）-2</v>
      </c>
      <c r="E76" s="681" t="str">
        <f t="shared" si="21"/>
        <v>2（含）-3</v>
      </c>
      <c r="F76" s="681" t="str">
        <f t="shared" si="21"/>
        <v>3（含）-4</v>
      </c>
      <c r="G76" s="681" t="str">
        <f t="shared" si="21"/>
        <v>4（含）-</v>
      </c>
      <c r="H76" s="681" t="str">
        <f t="shared" si="21"/>
        <v>（含）-</v>
      </c>
      <c r="I76" s="681" t="str">
        <f t="shared" si="21"/>
        <v>（含）-</v>
      </c>
      <c r="J76" s="681" t="str">
        <f t="shared" si="21"/>
        <v>（含）-</v>
      </c>
      <c r="K76" s="681" t="str">
        <f t="shared" si="21"/>
        <v>（含）-</v>
      </c>
      <c r="L76" s="681" t="str">
        <f t="shared" si="21"/>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v>0</v>
      </c>
      <c r="D77" s="540">
        <v>1</v>
      </c>
      <c r="E77" s="540">
        <v>2</v>
      </c>
      <c r="F77" s="540">
        <v>3</v>
      </c>
      <c r="G77" s="540">
        <v>4</v>
      </c>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102</v>
      </c>
      <c r="E78" s="678">
        <f t="shared" ref="E78:M78" si="22">IF($B$43="单位面积地价",D78+$K13,D78-$K13)</f>
        <v>104</v>
      </c>
      <c r="F78" s="678">
        <f t="shared" si="22"/>
        <v>106</v>
      </c>
      <c r="G78" s="678">
        <f t="shared" si="22"/>
        <v>108</v>
      </c>
      <c r="H78" s="678">
        <f t="shared" si="22"/>
        <v>110</v>
      </c>
      <c r="I78" s="678">
        <f t="shared" si="22"/>
        <v>112</v>
      </c>
      <c r="J78" s="678">
        <f t="shared" si="22"/>
        <v>114</v>
      </c>
      <c r="K78" s="678">
        <f t="shared" si="22"/>
        <v>116</v>
      </c>
      <c r="L78" s="678">
        <f t="shared" si="22"/>
        <v>118</v>
      </c>
      <c r="M78" s="678">
        <f t="shared" si="22"/>
        <v>120</v>
      </c>
      <c r="N78" s="2165"/>
      <c r="O78" s="2165"/>
      <c r="P78" s="2164"/>
      <c r="Q78" s="2157"/>
      <c r="R78" s="2144"/>
      <c r="S78" s="2144"/>
      <c r="T78" s="2144"/>
      <c r="U78" s="2144"/>
      <c r="V78" s="2144"/>
      <c r="W78" s="2144"/>
      <c r="X78" s="2144"/>
      <c r="Y78" s="2144"/>
      <c r="Z78" s="2144"/>
      <c r="AA78" s="2144"/>
      <c r="AB78" s="2144"/>
      <c r="AC78" s="2144"/>
    </row>
    <row r="79" spans="1:29" s="1338" customFormat="1" ht="15.75" hidden="1"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hidden="1"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hidden="1"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hidden="1"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hidden="1"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hidden="1"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5" thickTop="1">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98</v>
      </c>
      <c r="E86" s="678">
        <f>D86-$K17</f>
        <v>96</v>
      </c>
      <c r="F86" s="678">
        <f>E86-$K17</f>
        <v>94</v>
      </c>
      <c r="G86" s="678">
        <f>F86-$K17</f>
        <v>92</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98</v>
      </c>
      <c r="E88" s="678">
        <f>D88-$K19</f>
        <v>96</v>
      </c>
      <c r="F88" s="678">
        <f>E88-$K19</f>
        <v>94</v>
      </c>
      <c r="G88" s="678">
        <f>F88-$K19</f>
        <v>92</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98</v>
      </c>
      <c r="E90" s="678">
        <f>D90-$K21</f>
        <v>96</v>
      </c>
      <c r="F90" s="678">
        <f>E90-$K21</f>
        <v>94</v>
      </c>
      <c r="G90" s="678">
        <f>F90-$K21</f>
        <v>92</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98</v>
      </c>
      <c r="E92" s="678">
        <f>D92-$K23</f>
        <v>96</v>
      </c>
      <c r="F92" s="678">
        <f>E92-$K23</f>
        <v>94</v>
      </c>
      <c r="G92" s="678">
        <f>F92-$K23</f>
        <v>92</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98</v>
      </c>
      <c r="E94" s="678">
        <f>D94-$K25</f>
        <v>96</v>
      </c>
      <c r="F94" s="678">
        <f>E94-$K25</f>
        <v>94</v>
      </c>
      <c r="G94" s="678">
        <f>F94-$K25</f>
        <v>92</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20" t="s">
        <v>2551</v>
      </c>
      <c r="C95" s="2621" t="s">
        <v>2552</v>
      </c>
      <c r="D95" s="2621" t="s">
        <v>2553</v>
      </c>
      <c r="E95" s="2621" t="s">
        <v>2554</v>
      </c>
      <c r="F95" s="2621" t="s">
        <v>2555</v>
      </c>
      <c r="G95" s="2621"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99</v>
      </c>
      <c r="E96" s="678">
        <f>D96-$K27</f>
        <v>98</v>
      </c>
      <c r="F96" s="678">
        <f>E96-$K27</f>
        <v>97</v>
      </c>
      <c r="G96" s="678">
        <f>F96-$K27</f>
        <v>96</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3">C98-$K29</f>
        <v>100</v>
      </c>
      <c r="E98" s="678">
        <f t="shared" si="23"/>
        <v>100</v>
      </c>
      <c r="F98" s="678">
        <f t="shared" si="23"/>
        <v>100</v>
      </c>
      <c r="G98" s="678">
        <f t="shared" si="23"/>
        <v>100</v>
      </c>
      <c r="H98" s="678">
        <f t="shared" si="23"/>
        <v>100</v>
      </c>
      <c r="I98" s="678">
        <f t="shared" si="23"/>
        <v>100</v>
      </c>
      <c r="J98" s="678">
        <f t="shared" si="23"/>
        <v>100</v>
      </c>
      <c r="K98" s="678">
        <f t="shared" si="23"/>
        <v>100</v>
      </c>
      <c r="L98" s="678">
        <f t="shared" si="23"/>
        <v>100</v>
      </c>
      <c r="M98" s="678">
        <f t="shared" si="23"/>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548</v>
      </c>
      <c r="C99" s="3193" t="s">
        <v>3418</v>
      </c>
      <c r="D99" s="3193" t="s">
        <v>3419</v>
      </c>
      <c r="E99" s="3193" t="s">
        <v>3420</v>
      </c>
      <c r="F99" s="3193" t="s">
        <v>3421</v>
      </c>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4">C100-$K30</f>
        <v>98</v>
      </c>
      <c r="E100" s="678">
        <f t="shared" si="24"/>
        <v>96</v>
      </c>
      <c r="F100" s="678">
        <f t="shared" si="24"/>
        <v>94</v>
      </c>
      <c r="G100" s="678">
        <f t="shared" si="24"/>
        <v>92</v>
      </c>
      <c r="H100" s="678">
        <f t="shared" si="24"/>
        <v>90</v>
      </c>
      <c r="I100" s="678">
        <f t="shared" si="24"/>
        <v>88</v>
      </c>
      <c r="J100" s="678">
        <f t="shared" si="24"/>
        <v>86</v>
      </c>
      <c r="K100" s="678">
        <f t="shared" si="24"/>
        <v>84</v>
      </c>
      <c r="L100" s="678">
        <f t="shared" si="24"/>
        <v>82</v>
      </c>
      <c r="M100" s="678">
        <f t="shared" si="24"/>
        <v>80</v>
      </c>
      <c r="N100" s="2165"/>
      <c r="O100" s="2165"/>
      <c r="P100" s="2164"/>
      <c r="Q100" s="2157"/>
      <c r="R100" s="2144"/>
      <c r="S100" s="2144"/>
      <c r="T100" s="2144"/>
      <c r="U100" s="2144"/>
      <c r="V100" s="2144"/>
      <c r="W100" s="2144"/>
      <c r="X100" s="2144"/>
      <c r="Y100" s="2144"/>
      <c r="Z100" s="2144"/>
      <c r="AA100" s="2144"/>
      <c r="AB100" s="2144"/>
      <c r="AC100" s="2144"/>
    </row>
    <row r="101" spans="1:29" ht="15.75" hidden="1"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hidden="1"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65"/>
      <c r="O102" s="2165"/>
      <c r="P102" s="2164"/>
      <c r="Q102" s="2157"/>
      <c r="R102" s="2144"/>
      <c r="S102" s="2144"/>
      <c r="T102" s="2144"/>
      <c r="U102" s="2144"/>
      <c r="V102" s="2144"/>
      <c r="W102" s="2144"/>
      <c r="X102" s="2144"/>
      <c r="Y102" s="2144"/>
      <c r="Z102" s="2144"/>
      <c r="AA102" s="2144"/>
      <c r="AB102" s="2144"/>
      <c r="AC102" s="2144"/>
    </row>
    <row r="103" spans="1:29" ht="15.75" hidden="1"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hidden="1"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hidden="1"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hidden="1"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hidden="1"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hidden="1"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29.25" thickTop="1">
      <c r="A109" s="663" t="s">
        <v>551</v>
      </c>
      <c r="B109" s="664" t="s">
        <v>593</v>
      </c>
      <c r="C109" s="703" t="str">
        <f t="shared" ref="C109:L109" si="26">C110&amp;"(含)"&amp;"-"&amp;D110</f>
        <v>0(含)-20000</v>
      </c>
      <c r="D109" s="703" t="str">
        <f t="shared" si="26"/>
        <v>20000(含)-40000</v>
      </c>
      <c r="E109" s="703" t="str">
        <f t="shared" si="26"/>
        <v>40000(含)-60000</v>
      </c>
      <c r="F109" s="703" t="str">
        <f t="shared" si="26"/>
        <v>60000(含)-80000</v>
      </c>
      <c r="G109" s="703" t="str">
        <f t="shared" si="26"/>
        <v>80000(含)-</v>
      </c>
      <c r="H109" s="703" t="str">
        <f t="shared" si="26"/>
        <v>(含)-</v>
      </c>
      <c r="I109" s="703" t="str">
        <f t="shared" si="26"/>
        <v>(含)-</v>
      </c>
      <c r="J109" s="703" t="str">
        <f t="shared" si="26"/>
        <v>(含)-</v>
      </c>
      <c r="K109" s="3110" t="str">
        <f t="shared" si="26"/>
        <v>(含)-</v>
      </c>
      <c r="L109" s="3111" t="str">
        <f t="shared" si="26"/>
        <v>(含)-</v>
      </c>
      <c r="M109" s="311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v>0</v>
      </c>
      <c r="D110" s="729">
        <v>20000</v>
      </c>
      <c r="E110" s="729">
        <v>40000</v>
      </c>
      <c r="F110" s="729">
        <v>60000</v>
      </c>
      <c r="G110" s="729">
        <v>80000</v>
      </c>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v>100</v>
      </c>
      <c r="D111" s="725">
        <v>102</v>
      </c>
      <c r="E111" s="725">
        <v>104</v>
      </c>
      <c r="F111" s="725">
        <v>106</v>
      </c>
      <c r="G111" s="725">
        <v>108</v>
      </c>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3194" t="s">
        <v>3422</v>
      </c>
      <c r="D112" s="3194" t="s">
        <v>3423</v>
      </c>
      <c r="E112" s="3194" t="s">
        <v>3424</v>
      </c>
      <c r="F112" s="3194" t="s">
        <v>3425</v>
      </c>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7">C113-$K37</f>
        <v>99</v>
      </c>
      <c r="E113" s="678">
        <f t="shared" si="27"/>
        <v>98</v>
      </c>
      <c r="F113" s="678">
        <f t="shared" si="27"/>
        <v>97</v>
      </c>
      <c r="G113" s="678">
        <f t="shared" si="27"/>
        <v>96</v>
      </c>
      <c r="H113" s="678">
        <f t="shared" si="27"/>
        <v>95</v>
      </c>
      <c r="I113" s="678">
        <f t="shared" si="27"/>
        <v>94</v>
      </c>
      <c r="J113" s="678">
        <f t="shared" si="27"/>
        <v>93</v>
      </c>
      <c r="K113" s="678">
        <f t="shared" si="27"/>
        <v>92</v>
      </c>
      <c r="L113" s="678">
        <f t="shared" si="27"/>
        <v>91</v>
      </c>
      <c r="M113" s="679">
        <f t="shared" si="27"/>
        <v>90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2426</v>
      </c>
      <c r="C114" s="1375" t="s">
        <v>3426</v>
      </c>
      <c r="D114" s="1375" t="s">
        <v>3427</v>
      </c>
      <c r="E114" s="1375" t="s">
        <v>3428</v>
      </c>
      <c r="F114" s="1375" t="s">
        <v>3429</v>
      </c>
      <c r="G114" s="1375"/>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9">
        <f t="shared" si="28"/>
        <v>80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3193" t="s">
        <v>3430</v>
      </c>
      <c r="D116" s="3193" t="s">
        <v>3431</v>
      </c>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9">C117-$K39</f>
        <v>98</v>
      </c>
      <c r="E117" s="678">
        <f t="shared" si="29"/>
        <v>96</v>
      </c>
      <c r="F117" s="678">
        <f t="shared" si="29"/>
        <v>94</v>
      </c>
      <c r="G117" s="678">
        <f t="shared" si="29"/>
        <v>92</v>
      </c>
      <c r="H117" s="678">
        <f t="shared" si="29"/>
        <v>90</v>
      </c>
      <c r="I117" s="678">
        <f t="shared" si="29"/>
        <v>88</v>
      </c>
      <c r="J117" s="678">
        <f t="shared" si="29"/>
        <v>86</v>
      </c>
      <c r="K117" s="678">
        <f t="shared" si="29"/>
        <v>84</v>
      </c>
      <c r="L117" s="678">
        <f t="shared" si="29"/>
        <v>82</v>
      </c>
      <c r="M117" s="679">
        <f t="shared" si="29"/>
        <v>80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workbookViewId="0">
      <selection activeCell="L85" sqref="L85"/>
    </sheetView>
  </sheetViews>
  <sheetFormatPr defaultRowHeight="13.5"/>
  <cols>
    <col min="1" max="1" width="42.375" style="3209" customWidth="1"/>
    <col min="2" max="2" width="6.25" style="3209" customWidth="1"/>
    <col min="3" max="3" width="7.875" style="3209" customWidth="1"/>
    <col min="4" max="4" width="12.875" style="3209" customWidth="1"/>
    <col min="5" max="5" width="10.25" style="3209" customWidth="1"/>
    <col min="6" max="6" width="7.125" style="3209" customWidth="1"/>
    <col min="7" max="7" width="6.75" style="3209" customWidth="1"/>
    <col min="8" max="8" width="11" style="3209" customWidth="1"/>
    <col min="9" max="10" width="10.625" style="3209" customWidth="1"/>
    <col min="11" max="12" width="9.375" style="3209" customWidth="1"/>
    <col min="13" max="13" width="6.25" style="3209" customWidth="1"/>
    <col min="14" max="14" width="29.375" style="3209" customWidth="1"/>
    <col min="15" max="257" width="9" style="3209"/>
    <col min="258" max="258" width="44.25" style="3209" customWidth="1"/>
    <col min="259" max="259" width="6.25" style="3209" customWidth="1"/>
    <col min="260" max="260" width="7.875" style="3209" customWidth="1"/>
    <col min="261" max="262" width="13.875" style="3209" customWidth="1"/>
    <col min="263" max="263" width="24" style="3209" customWidth="1"/>
    <col min="264" max="264" width="7.875" style="3209" customWidth="1"/>
    <col min="265" max="265" width="9" style="3209" customWidth="1"/>
    <col min="266" max="267" width="10.625" style="3209" customWidth="1"/>
    <col min="268" max="268" width="14.375" style="3209" customWidth="1"/>
    <col min="269" max="269" width="6.25" style="3209" customWidth="1"/>
    <col min="270" max="270" width="29.375" style="3209" customWidth="1"/>
    <col min="271" max="513" width="9" style="3209"/>
    <col min="514" max="514" width="44.25" style="3209" customWidth="1"/>
    <col min="515" max="515" width="6.25" style="3209" customWidth="1"/>
    <col min="516" max="516" width="7.875" style="3209" customWidth="1"/>
    <col min="517" max="518" width="13.875" style="3209" customWidth="1"/>
    <col min="519" max="519" width="24" style="3209" customWidth="1"/>
    <col min="520" max="520" width="7.875" style="3209" customWidth="1"/>
    <col min="521" max="521" width="9" style="3209" customWidth="1"/>
    <col min="522" max="523" width="10.625" style="3209" customWidth="1"/>
    <col min="524" max="524" width="14.375" style="3209" customWidth="1"/>
    <col min="525" max="525" width="6.25" style="3209" customWidth="1"/>
    <col min="526" max="526" width="29.375" style="3209" customWidth="1"/>
    <col min="527" max="769" width="9" style="3209"/>
    <col min="770" max="770" width="44.25" style="3209" customWidth="1"/>
    <col min="771" max="771" width="6.25" style="3209" customWidth="1"/>
    <col min="772" max="772" width="7.875" style="3209" customWidth="1"/>
    <col min="773" max="774" width="13.875" style="3209" customWidth="1"/>
    <col min="775" max="775" width="24" style="3209" customWidth="1"/>
    <col min="776" max="776" width="7.875" style="3209" customWidth="1"/>
    <col min="777" max="777" width="9" style="3209" customWidth="1"/>
    <col min="778" max="779" width="10.625" style="3209" customWidth="1"/>
    <col min="780" max="780" width="14.375" style="3209" customWidth="1"/>
    <col min="781" max="781" width="6.25" style="3209" customWidth="1"/>
    <col min="782" max="782" width="29.375" style="3209" customWidth="1"/>
    <col min="783" max="1025" width="9" style="3209"/>
    <col min="1026" max="1026" width="44.25" style="3209" customWidth="1"/>
    <col min="1027" max="1027" width="6.25" style="3209" customWidth="1"/>
    <col min="1028" max="1028" width="7.875" style="3209" customWidth="1"/>
    <col min="1029" max="1030" width="13.875" style="3209" customWidth="1"/>
    <col min="1031" max="1031" width="24" style="3209" customWidth="1"/>
    <col min="1032" max="1032" width="7.875" style="3209" customWidth="1"/>
    <col min="1033" max="1033" width="9" style="3209" customWidth="1"/>
    <col min="1034" max="1035" width="10.625" style="3209" customWidth="1"/>
    <col min="1036" max="1036" width="14.375" style="3209" customWidth="1"/>
    <col min="1037" max="1037" width="6.25" style="3209" customWidth="1"/>
    <col min="1038" max="1038" width="29.375" style="3209" customWidth="1"/>
    <col min="1039" max="1281" width="9" style="3209"/>
    <col min="1282" max="1282" width="44.25" style="3209" customWidth="1"/>
    <col min="1283" max="1283" width="6.25" style="3209" customWidth="1"/>
    <col min="1284" max="1284" width="7.875" style="3209" customWidth="1"/>
    <col min="1285" max="1286" width="13.875" style="3209" customWidth="1"/>
    <col min="1287" max="1287" width="24" style="3209" customWidth="1"/>
    <col min="1288" max="1288" width="7.875" style="3209" customWidth="1"/>
    <col min="1289" max="1289" width="9" style="3209" customWidth="1"/>
    <col min="1290" max="1291" width="10.625" style="3209" customWidth="1"/>
    <col min="1292" max="1292" width="14.375" style="3209" customWidth="1"/>
    <col min="1293" max="1293" width="6.25" style="3209" customWidth="1"/>
    <col min="1294" max="1294" width="29.375" style="3209" customWidth="1"/>
    <col min="1295" max="1537" width="9" style="3209"/>
    <col min="1538" max="1538" width="44.25" style="3209" customWidth="1"/>
    <col min="1539" max="1539" width="6.25" style="3209" customWidth="1"/>
    <col min="1540" max="1540" width="7.875" style="3209" customWidth="1"/>
    <col min="1541" max="1542" width="13.875" style="3209" customWidth="1"/>
    <col min="1543" max="1543" width="24" style="3209" customWidth="1"/>
    <col min="1544" max="1544" width="7.875" style="3209" customWidth="1"/>
    <col min="1545" max="1545" width="9" style="3209" customWidth="1"/>
    <col min="1546" max="1547" width="10.625" style="3209" customWidth="1"/>
    <col min="1548" max="1548" width="14.375" style="3209" customWidth="1"/>
    <col min="1549" max="1549" width="6.25" style="3209" customWidth="1"/>
    <col min="1550" max="1550" width="29.375" style="3209" customWidth="1"/>
    <col min="1551" max="1793" width="9" style="3209"/>
    <col min="1794" max="1794" width="44.25" style="3209" customWidth="1"/>
    <col min="1795" max="1795" width="6.25" style="3209" customWidth="1"/>
    <col min="1796" max="1796" width="7.875" style="3209" customWidth="1"/>
    <col min="1797" max="1798" width="13.875" style="3209" customWidth="1"/>
    <col min="1799" max="1799" width="24" style="3209" customWidth="1"/>
    <col min="1800" max="1800" width="7.875" style="3209" customWidth="1"/>
    <col min="1801" max="1801" width="9" style="3209" customWidth="1"/>
    <col min="1802" max="1803" width="10.625" style="3209" customWidth="1"/>
    <col min="1804" max="1804" width="14.375" style="3209" customWidth="1"/>
    <col min="1805" max="1805" width="6.25" style="3209" customWidth="1"/>
    <col min="1806" max="1806" width="29.375" style="3209" customWidth="1"/>
    <col min="1807" max="2049" width="9" style="3209"/>
    <col min="2050" max="2050" width="44.25" style="3209" customWidth="1"/>
    <col min="2051" max="2051" width="6.25" style="3209" customWidth="1"/>
    <col min="2052" max="2052" width="7.875" style="3209" customWidth="1"/>
    <col min="2053" max="2054" width="13.875" style="3209" customWidth="1"/>
    <col min="2055" max="2055" width="24" style="3209" customWidth="1"/>
    <col min="2056" max="2056" width="7.875" style="3209" customWidth="1"/>
    <col min="2057" max="2057" width="9" style="3209" customWidth="1"/>
    <col min="2058" max="2059" width="10.625" style="3209" customWidth="1"/>
    <col min="2060" max="2060" width="14.375" style="3209" customWidth="1"/>
    <col min="2061" max="2061" width="6.25" style="3209" customWidth="1"/>
    <col min="2062" max="2062" width="29.375" style="3209" customWidth="1"/>
    <col min="2063" max="2305" width="9" style="3209"/>
    <col min="2306" max="2306" width="44.25" style="3209" customWidth="1"/>
    <col min="2307" max="2307" width="6.25" style="3209" customWidth="1"/>
    <col min="2308" max="2308" width="7.875" style="3209" customWidth="1"/>
    <col min="2309" max="2310" width="13.875" style="3209" customWidth="1"/>
    <col min="2311" max="2311" width="24" style="3209" customWidth="1"/>
    <col min="2312" max="2312" width="7.875" style="3209" customWidth="1"/>
    <col min="2313" max="2313" width="9" style="3209" customWidth="1"/>
    <col min="2314" max="2315" width="10.625" style="3209" customWidth="1"/>
    <col min="2316" max="2316" width="14.375" style="3209" customWidth="1"/>
    <col min="2317" max="2317" width="6.25" style="3209" customWidth="1"/>
    <col min="2318" max="2318" width="29.375" style="3209" customWidth="1"/>
    <col min="2319" max="2561" width="9" style="3209"/>
    <col min="2562" max="2562" width="44.25" style="3209" customWidth="1"/>
    <col min="2563" max="2563" width="6.25" style="3209" customWidth="1"/>
    <col min="2564" max="2564" width="7.875" style="3209" customWidth="1"/>
    <col min="2565" max="2566" width="13.875" style="3209" customWidth="1"/>
    <col min="2567" max="2567" width="24" style="3209" customWidth="1"/>
    <col min="2568" max="2568" width="7.875" style="3209" customWidth="1"/>
    <col min="2569" max="2569" width="9" style="3209" customWidth="1"/>
    <col min="2570" max="2571" width="10.625" style="3209" customWidth="1"/>
    <col min="2572" max="2572" width="14.375" style="3209" customWidth="1"/>
    <col min="2573" max="2573" width="6.25" style="3209" customWidth="1"/>
    <col min="2574" max="2574" width="29.375" style="3209" customWidth="1"/>
    <col min="2575" max="2817" width="9" style="3209"/>
    <col min="2818" max="2818" width="44.25" style="3209" customWidth="1"/>
    <col min="2819" max="2819" width="6.25" style="3209" customWidth="1"/>
    <col min="2820" max="2820" width="7.875" style="3209" customWidth="1"/>
    <col min="2821" max="2822" width="13.875" style="3209" customWidth="1"/>
    <col min="2823" max="2823" width="24" style="3209" customWidth="1"/>
    <col min="2824" max="2824" width="7.875" style="3209" customWidth="1"/>
    <col min="2825" max="2825" width="9" style="3209" customWidth="1"/>
    <col min="2826" max="2827" width="10.625" style="3209" customWidth="1"/>
    <col min="2828" max="2828" width="14.375" style="3209" customWidth="1"/>
    <col min="2829" max="2829" width="6.25" style="3209" customWidth="1"/>
    <col min="2830" max="2830" width="29.375" style="3209" customWidth="1"/>
    <col min="2831" max="3073" width="9" style="3209"/>
    <col min="3074" max="3074" width="44.25" style="3209" customWidth="1"/>
    <col min="3075" max="3075" width="6.25" style="3209" customWidth="1"/>
    <col min="3076" max="3076" width="7.875" style="3209" customWidth="1"/>
    <col min="3077" max="3078" width="13.875" style="3209" customWidth="1"/>
    <col min="3079" max="3079" width="24" style="3209" customWidth="1"/>
    <col min="3080" max="3080" width="7.875" style="3209" customWidth="1"/>
    <col min="3081" max="3081" width="9" style="3209" customWidth="1"/>
    <col min="3082" max="3083" width="10.625" style="3209" customWidth="1"/>
    <col min="3084" max="3084" width="14.375" style="3209" customWidth="1"/>
    <col min="3085" max="3085" width="6.25" style="3209" customWidth="1"/>
    <col min="3086" max="3086" width="29.375" style="3209" customWidth="1"/>
    <col min="3087" max="3329" width="9" style="3209"/>
    <col min="3330" max="3330" width="44.25" style="3209" customWidth="1"/>
    <col min="3331" max="3331" width="6.25" style="3209" customWidth="1"/>
    <col min="3332" max="3332" width="7.875" style="3209" customWidth="1"/>
    <col min="3333" max="3334" width="13.875" style="3209" customWidth="1"/>
    <col min="3335" max="3335" width="24" style="3209" customWidth="1"/>
    <col min="3336" max="3336" width="7.875" style="3209" customWidth="1"/>
    <col min="3337" max="3337" width="9" style="3209" customWidth="1"/>
    <col min="3338" max="3339" width="10.625" style="3209" customWidth="1"/>
    <col min="3340" max="3340" width="14.375" style="3209" customWidth="1"/>
    <col min="3341" max="3341" width="6.25" style="3209" customWidth="1"/>
    <col min="3342" max="3342" width="29.375" style="3209" customWidth="1"/>
    <col min="3343" max="3585" width="9" style="3209"/>
    <col min="3586" max="3586" width="44.25" style="3209" customWidth="1"/>
    <col min="3587" max="3587" width="6.25" style="3209" customWidth="1"/>
    <col min="3588" max="3588" width="7.875" style="3209" customWidth="1"/>
    <col min="3589" max="3590" width="13.875" style="3209" customWidth="1"/>
    <col min="3591" max="3591" width="24" style="3209" customWidth="1"/>
    <col min="3592" max="3592" width="7.875" style="3209" customWidth="1"/>
    <col min="3593" max="3593" width="9" style="3209" customWidth="1"/>
    <col min="3594" max="3595" width="10.625" style="3209" customWidth="1"/>
    <col min="3596" max="3596" width="14.375" style="3209" customWidth="1"/>
    <col min="3597" max="3597" width="6.25" style="3209" customWidth="1"/>
    <col min="3598" max="3598" width="29.375" style="3209" customWidth="1"/>
    <col min="3599" max="3841" width="9" style="3209"/>
    <col min="3842" max="3842" width="44.25" style="3209" customWidth="1"/>
    <col min="3843" max="3843" width="6.25" style="3209" customWidth="1"/>
    <col min="3844" max="3844" width="7.875" style="3209" customWidth="1"/>
    <col min="3845" max="3846" width="13.875" style="3209" customWidth="1"/>
    <col min="3847" max="3847" width="24" style="3209" customWidth="1"/>
    <col min="3848" max="3848" width="7.875" style="3209" customWidth="1"/>
    <col min="3849" max="3849" width="9" style="3209" customWidth="1"/>
    <col min="3850" max="3851" width="10.625" style="3209" customWidth="1"/>
    <col min="3852" max="3852" width="14.375" style="3209" customWidth="1"/>
    <col min="3853" max="3853" width="6.25" style="3209" customWidth="1"/>
    <col min="3854" max="3854" width="29.375" style="3209" customWidth="1"/>
    <col min="3855" max="4097" width="9" style="3209"/>
    <col min="4098" max="4098" width="44.25" style="3209" customWidth="1"/>
    <col min="4099" max="4099" width="6.25" style="3209" customWidth="1"/>
    <col min="4100" max="4100" width="7.875" style="3209" customWidth="1"/>
    <col min="4101" max="4102" width="13.875" style="3209" customWidth="1"/>
    <col min="4103" max="4103" width="24" style="3209" customWidth="1"/>
    <col min="4104" max="4104" width="7.875" style="3209" customWidth="1"/>
    <col min="4105" max="4105" width="9" style="3209" customWidth="1"/>
    <col min="4106" max="4107" width="10.625" style="3209" customWidth="1"/>
    <col min="4108" max="4108" width="14.375" style="3209" customWidth="1"/>
    <col min="4109" max="4109" width="6.25" style="3209" customWidth="1"/>
    <col min="4110" max="4110" width="29.375" style="3209" customWidth="1"/>
    <col min="4111" max="4353" width="9" style="3209"/>
    <col min="4354" max="4354" width="44.25" style="3209" customWidth="1"/>
    <col min="4355" max="4355" width="6.25" style="3209" customWidth="1"/>
    <col min="4356" max="4356" width="7.875" style="3209" customWidth="1"/>
    <col min="4357" max="4358" width="13.875" style="3209" customWidth="1"/>
    <col min="4359" max="4359" width="24" style="3209" customWidth="1"/>
    <col min="4360" max="4360" width="7.875" style="3209" customWidth="1"/>
    <col min="4361" max="4361" width="9" style="3209" customWidth="1"/>
    <col min="4362" max="4363" width="10.625" style="3209" customWidth="1"/>
    <col min="4364" max="4364" width="14.375" style="3209" customWidth="1"/>
    <col min="4365" max="4365" width="6.25" style="3209" customWidth="1"/>
    <col min="4366" max="4366" width="29.375" style="3209" customWidth="1"/>
    <col min="4367" max="4609" width="9" style="3209"/>
    <col min="4610" max="4610" width="44.25" style="3209" customWidth="1"/>
    <col min="4611" max="4611" width="6.25" style="3209" customWidth="1"/>
    <col min="4612" max="4612" width="7.875" style="3209" customWidth="1"/>
    <col min="4613" max="4614" width="13.875" style="3209" customWidth="1"/>
    <col min="4615" max="4615" width="24" style="3209" customWidth="1"/>
    <col min="4616" max="4616" width="7.875" style="3209" customWidth="1"/>
    <col min="4617" max="4617" width="9" style="3209" customWidth="1"/>
    <col min="4618" max="4619" width="10.625" style="3209" customWidth="1"/>
    <col min="4620" max="4620" width="14.375" style="3209" customWidth="1"/>
    <col min="4621" max="4621" width="6.25" style="3209" customWidth="1"/>
    <col min="4622" max="4622" width="29.375" style="3209" customWidth="1"/>
    <col min="4623" max="4865" width="9" style="3209"/>
    <col min="4866" max="4866" width="44.25" style="3209" customWidth="1"/>
    <col min="4867" max="4867" width="6.25" style="3209" customWidth="1"/>
    <col min="4868" max="4868" width="7.875" style="3209" customWidth="1"/>
    <col min="4869" max="4870" width="13.875" style="3209" customWidth="1"/>
    <col min="4871" max="4871" width="24" style="3209" customWidth="1"/>
    <col min="4872" max="4872" width="7.875" style="3209" customWidth="1"/>
    <col min="4873" max="4873" width="9" style="3209" customWidth="1"/>
    <col min="4874" max="4875" width="10.625" style="3209" customWidth="1"/>
    <col min="4876" max="4876" width="14.375" style="3209" customWidth="1"/>
    <col min="4877" max="4877" width="6.25" style="3209" customWidth="1"/>
    <col min="4878" max="4878" width="29.375" style="3209" customWidth="1"/>
    <col min="4879" max="5121" width="9" style="3209"/>
    <col min="5122" max="5122" width="44.25" style="3209" customWidth="1"/>
    <col min="5123" max="5123" width="6.25" style="3209" customWidth="1"/>
    <col min="5124" max="5124" width="7.875" style="3209" customWidth="1"/>
    <col min="5125" max="5126" width="13.875" style="3209" customWidth="1"/>
    <col min="5127" max="5127" width="24" style="3209" customWidth="1"/>
    <col min="5128" max="5128" width="7.875" style="3209" customWidth="1"/>
    <col min="5129" max="5129" width="9" style="3209" customWidth="1"/>
    <col min="5130" max="5131" width="10.625" style="3209" customWidth="1"/>
    <col min="5132" max="5132" width="14.375" style="3209" customWidth="1"/>
    <col min="5133" max="5133" width="6.25" style="3209" customWidth="1"/>
    <col min="5134" max="5134" width="29.375" style="3209" customWidth="1"/>
    <col min="5135" max="5377" width="9" style="3209"/>
    <col min="5378" max="5378" width="44.25" style="3209" customWidth="1"/>
    <col min="5379" max="5379" width="6.25" style="3209" customWidth="1"/>
    <col min="5380" max="5380" width="7.875" style="3209" customWidth="1"/>
    <col min="5381" max="5382" width="13.875" style="3209" customWidth="1"/>
    <col min="5383" max="5383" width="24" style="3209" customWidth="1"/>
    <col min="5384" max="5384" width="7.875" style="3209" customWidth="1"/>
    <col min="5385" max="5385" width="9" style="3209" customWidth="1"/>
    <col min="5386" max="5387" width="10.625" style="3209" customWidth="1"/>
    <col min="5388" max="5388" width="14.375" style="3209" customWidth="1"/>
    <col min="5389" max="5389" width="6.25" style="3209" customWidth="1"/>
    <col min="5390" max="5390" width="29.375" style="3209" customWidth="1"/>
    <col min="5391" max="5633" width="9" style="3209"/>
    <col min="5634" max="5634" width="44.25" style="3209" customWidth="1"/>
    <col min="5635" max="5635" width="6.25" style="3209" customWidth="1"/>
    <col min="5636" max="5636" width="7.875" style="3209" customWidth="1"/>
    <col min="5637" max="5638" width="13.875" style="3209" customWidth="1"/>
    <col min="5639" max="5639" width="24" style="3209" customWidth="1"/>
    <col min="5640" max="5640" width="7.875" style="3209" customWidth="1"/>
    <col min="5641" max="5641" width="9" style="3209" customWidth="1"/>
    <col min="5642" max="5643" width="10.625" style="3209" customWidth="1"/>
    <col min="5644" max="5644" width="14.375" style="3209" customWidth="1"/>
    <col min="5645" max="5645" width="6.25" style="3209" customWidth="1"/>
    <col min="5646" max="5646" width="29.375" style="3209" customWidth="1"/>
    <col min="5647" max="5889" width="9" style="3209"/>
    <col min="5890" max="5890" width="44.25" style="3209" customWidth="1"/>
    <col min="5891" max="5891" width="6.25" style="3209" customWidth="1"/>
    <col min="5892" max="5892" width="7.875" style="3209" customWidth="1"/>
    <col min="5893" max="5894" width="13.875" style="3209" customWidth="1"/>
    <col min="5895" max="5895" width="24" style="3209" customWidth="1"/>
    <col min="5896" max="5896" width="7.875" style="3209" customWidth="1"/>
    <col min="5897" max="5897" width="9" style="3209" customWidth="1"/>
    <col min="5898" max="5899" width="10.625" style="3209" customWidth="1"/>
    <col min="5900" max="5900" width="14.375" style="3209" customWidth="1"/>
    <col min="5901" max="5901" width="6.25" style="3209" customWidth="1"/>
    <col min="5902" max="5902" width="29.375" style="3209" customWidth="1"/>
    <col min="5903" max="6145" width="9" style="3209"/>
    <col min="6146" max="6146" width="44.25" style="3209" customWidth="1"/>
    <col min="6147" max="6147" width="6.25" style="3209" customWidth="1"/>
    <col min="6148" max="6148" width="7.875" style="3209" customWidth="1"/>
    <col min="6149" max="6150" width="13.875" style="3209" customWidth="1"/>
    <col min="6151" max="6151" width="24" style="3209" customWidth="1"/>
    <col min="6152" max="6152" width="7.875" style="3209" customWidth="1"/>
    <col min="6153" max="6153" width="9" style="3209" customWidth="1"/>
    <col min="6154" max="6155" width="10.625" style="3209" customWidth="1"/>
    <col min="6156" max="6156" width="14.375" style="3209" customWidth="1"/>
    <col min="6157" max="6157" width="6.25" style="3209" customWidth="1"/>
    <col min="6158" max="6158" width="29.375" style="3209" customWidth="1"/>
    <col min="6159" max="6401" width="9" style="3209"/>
    <col min="6402" max="6402" width="44.25" style="3209" customWidth="1"/>
    <col min="6403" max="6403" width="6.25" style="3209" customWidth="1"/>
    <col min="6404" max="6404" width="7.875" style="3209" customWidth="1"/>
    <col min="6405" max="6406" width="13.875" style="3209" customWidth="1"/>
    <col min="6407" max="6407" width="24" style="3209" customWidth="1"/>
    <col min="6408" max="6408" width="7.875" style="3209" customWidth="1"/>
    <col min="6409" max="6409" width="9" style="3209" customWidth="1"/>
    <col min="6410" max="6411" width="10.625" style="3209" customWidth="1"/>
    <col min="6412" max="6412" width="14.375" style="3209" customWidth="1"/>
    <col min="6413" max="6413" width="6.25" style="3209" customWidth="1"/>
    <col min="6414" max="6414" width="29.375" style="3209" customWidth="1"/>
    <col min="6415" max="6657" width="9" style="3209"/>
    <col min="6658" max="6658" width="44.25" style="3209" customWidth="1"/>
    <col min="6659" max="6659" width="6.25" style="3209" customWidth="1"/>
    <col min="6660" max="6660" width="7.875" style="3209" customWidth="1"/>
    <col min="6661" max="6662" width="13.875" style="3209" customWidth="1"/>
    <col min="6663" max="6663" width="24" style="3209" customWidth="1"/>
    <col min="6664" max="6664" width="7.875" style="3209" customWidth="1"/>
    <col min="6665" max="6665" width="9" style="3209" customWidth="1"/>
    <col min="6666" max="6667" width="10.625" style="3209" customWidth="1"/>
    <col min="6668" max="6668" width="14.375" style="3209" customWidth="1"/>
    <col min="6669" max="6669" width="6.25" style="3209" customWidth="1"/>
    <col min="6670" max="6670" width="29.375" style="3209" customWidth="1"/>
    <col min="6671" max="6913" width="9" style="3209"/>
    <col min="6914" max="6914" width="44.25" style="3209" customWidth="1"/>
    <col min="6915" max="6915" width="6.25" style="3209" customWidth="1"/>
    <col min="6916" max="6916" width="7.875" style="3209" customWidth="1"/>
    <col min="6917" max="6918" width="13.875" style="3209" customWidth="1"/>
    <col min="6919" max="6919" width="24" style="3209" customWidth="1"/>
    <col min="6920" max="6920" width="7.875" style="3209" customWidth="1"/>
    <col min="6921" max="6921" width="9" style="3209" customWidth="1"/>
    <col min="6922" max="6923" width="10.625" style="3209" customWidth="1"/>
    <col min="6924" max="6924" width="14.375" style="3209" customWidth="1"/>
    <col min="6925" max="6925" width="6.25" style="3209" customWidth="1"/>
    <col min="6926" max="6926" width="29.375" style="3209" customWidth="1"/>
    <col min="6927" max="7169" width="9" style="3209"/>
    <col min="7170" max="7170" width="44.25" style="3209" customWidth="1"/>
    <col min="7171" max="7171" width="6.25" style="3209" customWidth="1"/>
    <col min="7172" max="7172" width="7.875" style="3209" customWidth="1"/>
    <col min="7173" max="7174" width="13.875" style="3209" customWidth="1"/>
    <col min="7175" max="7175" width="24" style="3209" customWidth="1"/>
    <col min="7176" max="7176" width="7.875" style="3209" customWidth="1"/>
    <col min="7177" max="7177" width="9" style="3209" customWidth="1"/>
    <col min="7178" max="7179" width="10.625" style="3209" customWidth="1"/>
    <col min="7180" max="7180" width="14.375" style="3209" customWidth="1"/>
    <col min="7181" max="7181" width="6.25" style="3209" customWidth="1"/>
    <col min="7182" max="7182" width="29.375" style="3209" customWidth="1"/>
    <col min="7183" max="7425" width="9" style="3209"/>
    <col min="7426" max="7426" width="44.25" style="3209" customWidth="1"/>
    <col min="7427" max="7427" width="6.25" style="3209" customWidth="1"/>
    <col min="7428" max="7428" width="7.875" style="3209" customWidth="1"/>
    <col min="7429" max="7430" width="13.875" style="3209" customWidth="1"/>
    <col min="7431" max="7431" width="24" style="3209" customWidth="1"/>
    <col min="7432" max="7432" width="7.875" style="3209" customWidth="1"/>
    <col min="7433" max="7433" width="9" style="3209" customWidth="1"/>
    <col min="7434" max="7435" width="10.625" style="3209" customWidth="1"/>
    <col min="7436" max="7436" width="14.375" style="3209" customWidth="1"/>
    <col min="7437" max="7437" width="6.25" style="3209" customWidth="1"/>
    <col min="7438" max="7438" width="29.375" style="3209" customWidth="1"/>
    <col min="7439" max="7681" width="9" style="3209"/>
    <col min="7682" max="7682" width="44.25" style="3209" customWidth="1"/>
    <col min="7683" max="7683" width="6.25" style="3209" customWidth="1"/>
    <col min="7684" max="7684" width="7.875" style="3209" customWidth="1"/>
    <col min="7685" max="7686" width="13.875" style="3209" customWidth="1"/>
    <col min="7687" max="7687" width="24" style="3209" customWidth="1"/>
    <col min="7688" max="7688" width="7.875" style="3209" customWidth="1"/>
    <col min="7689" max="7689" width="9" style="3209" customWidth="1"/>
    <col min="7690" max="7691" width="10.625" style="3209" customWidth="1"/>
    <col min="7692" max="7692" width="14.375" style="3209" customWidth="1"/>
    <col min="7693" max="7693" width="6.25" style="3209" customWidth="1"/>
    <col min="7694" max="7694" width="29.375" style="3209" customWidth="1"/>
    <col min="7695" max="7937" width="9" style="3209"/>
    <col min="7938" max="7938" width="44.25" style="3209" customWidth="1"/>
    <col min="7939" max="7939" width="6.25" style="3209" customWidth="1"/>
    <col min="7940" max="7940" width="7.875" style="3209" customWidth="1"/>
    <col min="7941" max="7942" width="13.875" style="3209" customWidth="1"/>
    <col min="7943" max="7943" width="24" style="3209" customWidth="1"/>
    <col min="7944" max="7944" width="7.875" style="3209" customWidth="1"/>
    <col min="7945" max="7945" width="9" style="3209" customWidth="1"/>
    <col min="7946" max="7947" width="10.625" style="3209" customWidth="1"/>
    <col min="7948" max="7948" width="14.375" style="3209" customWidth="1"/>
    <col min="7949" max="7949" width="6.25" style="3209" customWidth="1"/>
    <col min="7950" max="7950" width="29.375" style="3209" customWidth="1"/>
    <col min="7951" max="8193" width="9" style="3209"/>
    <col min="8194" max="8194" width="44.25" style="3209" customWidth="1"/>
    <col min="8195" max="8195" width="6.25" style="3209" customWidth="1"/>
    <col min="8196" max="8196" width="7.875" style="3209" customWidth="1"/>
    <col min="8197" max="8198" width="13.875" style="3209" customWidth="1"/>
    <col min="8199" max="8199" width="24" style="3209" customWidth="1"/>
    <col min="8200" max="8200" width="7.875" style="3209" customWidth="1"/>
    <col min="8201" max="8201" width="9" style="3209" customWidth="1"/>
    <col min="8202" max="8203" width="10.625" style="3209" customWidth="1"/>
    <col min="8204" max="8204" width="14.375" style="3209" customWidth="1"/>
    <col min="8205" max="8205" width="6.25" style="3209" customWidth="1"/>
    <col min="8206" max="8206" width="29.375" style="3209" customWidth="1"/>
    <col min="8207" max="8449" width="9" style="3209"/>
    <col min="8450" max="8450" width="44.25" style="3209" customWidth="1"/>
    <col min="8451" max="8451" width="6.25" style="3209" customWidth="1"/>
    <col min="8452" max="8452" width="7.875" style="3209" customWidth="1"/>
    <col min="8453" max="8454" width="13.875" style="3209" customWidth="1"/>
    <col min="8455" max="8455" width="24" style="3209" customWidth="1"/>
    <col min="8456" max="8456" width="7.875" style="3209" customWidth="1"/>
    <col min="8457" max="8457" width="9" style="3209" customWidth="1"/>
    <col min="8458" max="8459" width="10.625" style="3209" customWidth="1"/>
    <col min="8460" max="8460" width="14.375" style="3209" customWidth="1"/>
    <col min="8461" max="8461" width="6.25" style="3209" customWidth="1"/>
    <col min="8462" max="8462" width="29.375" style="3209" customWidth="1"/>
    <col min="8463" max="8705" width="9" style="3209"/>
    <col min="8706" max="8706" width="44.25" style="3209" customWidth="1"/>
    <col min="8707" max="8707" width="6.25" style="3209" customWidth="1"/>
    <col min="8708" max="8708" width="7.875" style="3209" customWidth="1"/>
    <col min="8709" max="8710" width="13.875" style="3209" customWidth="1"/>
    <col min="8711" max="8711" width="24" style="3209" customWidth="1"/>
    <col min="8712" max="8712" width="7.875" style="3209" customWidth="1"/>
    <col min="8713" max="8713" width="9" style="3209" customWidth="1"/>
    <col min="8714" max="8715" width="10.625" style="3209" customWidth="1"/>
    <col min="8716" max="8716" width="14.375" style="3209" customWidth="1"/>
    <col min="8717" max="8717" width="6.25" style="3209" customWidth="1"/>
    <col min="8718" max="8718" width="29.375" style="3209" customWidth="1"/>
    <col min="8719" max="8961" width="9" style="3209"/>
    <col min="8962" max="8962" width="44.25" style="3209" customWidth="1"/>
    <col min="8963" max="8963" width="6.25" style="3209" customWidth="1"/>
    <col min="8964" max="8964" width="7.875" style="3209" customWidth="1"/>
    <col min="8965" max="8966" width="13.875" style="3209" customWidth="1"/>
    <col min="8967" max="8967" width="24" style="3209" customWidth="1"/>
    <col min="8968" max="8968" width="7.875" style="3209" customWidth="1"/>
    <col min="8969" max="8969" width="9" style="3209" customWidth="1"/>
    <col min="8970" max="8971" width="10.625" style="3209" customWidth="1"/>
    <col min="8972" max="8972" width="14.375" style="3209" customWidth="1"/>
    <col min="8973" max="8973" width="6.25" style="3209" customWidth="1"/>
    <col min="8974" max="8974" width="29.375" style="3209" customWidth="1"/>
    <col min="8975" max="9217" width="9" style="3209"/>
    <col min="9218" max="9218" width="44.25" style="3209" customWidth="1"/>
    <col min="9219" max="9219" width="6.25" style="3209" customWidth="1"/>
    <col min="9220" max="9220" width="7.875" style="3209" customWidth="1"/>
    <col min="9221" max="9222" width="13.875" style="3209" customWidth="1"/>
    <col min="9223" max="9223" width="24" style="3209" customWidth="1"/>
    <col min="9224" max="9224" width="7.875" style="3209" customWidth="1"/>
    <col min="9225" max="9225" width="9" style="3209" customWidth="1"/>
    <col min="9226" max="9227" width="10.625" style="3209" customWidth="1"/>
    <col min="9228" max="9228" width="14.375" style="3209" customWidth="1"/>
    <col min="9229" max="9229" width="6.25" style="3209" customWidth="1"/>
    <col min="9230" max="9230" width="29.375" style="3209" customWidth="1"/>
    <col min="9231" max="9473" width="9" style="3209"/>
    <col min="9474" max="9474" width="44.25" style="3209" customWidth="1"/>
    <col min="9475" max="9475" width="6.25" style="3209" customWidth="1"/>
    <col min="9476" max="9476" width="7.875" style="3209" customWidth="1"/>
    <col min="9477" max="9478" width="13.875" style="3209" customWidth="1"/>
    <col min="9479" max="9479" width="24" style="3209" customWidth="1"/>
    <col min="9480" max="9480" width="7.875" style="3209" customWidth="1"/>
    <col min="9481" max="9481" width="9" style="3209" customWidth="1"/>
    <col min="9482" max="9483" width="10.625" style="3209" customWidth="1"/>
    <col min="9484" max="9484" width="14.375" style="3209" customWidth="1"/>
    <col min="9485" max="9485" width="6.25" style="3209" customWidth="1"/>
    <col min="9486" max="9486" width="29.375" style="3209" customWidth="1"/>
    <col min="9487" max="9729" width="9" style="3209"/>
    <col min="9730" max="9730" width="44.25" style="3209" customWidth="1"/>
    <col min="9731" max="9731" width="6.25" style="3209" customWidth="1"/>
    <col min="9732" max="9732" width="7.875" style="3209" customWidth="1"/>
    <col min="9733" max="9734" width="13.875" style="3209" customWidth="1"/>
    <col min="9735" max="9735" width="24" style="3209" customWidth="1"/>
    <col min="9736" max="9736" width="7.875" style="3209" customWidth="1"/>
    <col min="9737" max="9737" width="9" style="3209" customWidth="1"/>
    <col min="9738" max="9739" width="10.625" style="3209" customWidth="1"/>
    <col min="9740" max="9740" width="14.375" style="3209" customWidth="1"/>
    <col min="9741" max="9741" width="6.25" style="3209" customWidth="1"/>
    <col min="9742" max="9742" width="29.375" style="3209" customWidth="1"/>
    <col min="9743" max="9985" width="9" style="3209"/>
    <col min="9986" max="9986" width="44.25" style="3209" customWidth="1"/>
    <col min="9987" max="9987" width="6.25" style="3209" customWidth="1"/>
    <col min="9988" max="9988" width="7.875" style="3209" customWidth="1"/>
    <col min="9989" max="9990" width="13.875" style="3209" customWidth="1"/>
    <col min="9991" max="9991" width="24" style="3209" customWidth="1"/>
    <col min="9992" max="9992" width="7.875" style="3209" customWidth="1"/>
    <col min="9993" max="9993" width="9" style="3209" customWidth="1"/>
    <col min="9994" max="9995" width="10.625" style="3209" customWidth="1"/>
    <col min="9996" max="9996" width="14.375" style="3209" customWidth="1"/>
    <col min="9997" max="9997" width="6.25" style="3209" customWidth="1"/>
    <col min="9998" max="9998" width="29.375" style="3209" customWidth="1"/>
    <col min="9999" max="10241" width="9" style="3209"/>
    <col min="10242" max="10242" width="44.25" style="3209" customWidth="1"/>
    <col min="10243" max="10243" width="6.25" style="3209" customWidth="1"/>
    <col min="10244" max="10244" width="7.875" style="3209" customWidth="1"/>
    <col min="10245" max="10246" width="13.875" style="3209" customWidth="1"/>
    <col min="10247" max="10247" width="24" style="3209" customWidth="1"/>
    <col min="10248" max="10248" width="7.875" style="3209" customWidth="1"/>
    <col min="10249" max="10249" width="9" style="3209" customWidth="1"/>
    <col min="10250" max="10251" width="10.625" style="3209" customWidth="1"/>
    <col min="10252" max="10252" width="14.375" style="3209" customWidth="1"/>
    <col min="10253" max="10253" width="6.25" style="3209" customWidth="1"/>
    <col min="10254" max="10254" width="29.375" style="3209" customWidth="1"/>
    <col min="10255" max="10497" width="9" style="3209"/>
    <col min="10498" max="10498" width="44.25" style="3209" customWidth="1"/>
    <col min="10499" max="10499" width="6.25" style="3209" customWidth="1"/>
    <col min="10500" max="10500" width="7.875" style="3209" customWidth="1"/>
    <col min="10501" max="10502" width="13.875" style="3209" customWidth="1"/>
    <col min="10503" max="10503" width="24" style="3209" customWidth="1"/>
    <col min="10504" max="10504" width="7.875" style="3209" customWidth="1"/>
    <col min="10505" max="10505" width="9" style="3209" customWidth="1"/>
    <col min="10506" max="10507" width="10.625" style="3209" customWidth="1"/>
    <col min="10508" max="10508" width="14.375" style="3209" customWidth="1"/>
    <col min="10509" max="10509" width="6.25" style="3209" customWidth="1"/>
    <col min="10510" max="10510" width="29.375" style="3209" customWidth="1"/>
    <col min="10511" max="10753" width="9" style="3209"/>
    <col min="10754" max="10754" width="44.25" style="3209" customWidth="1"/>
    <col min="10755" max="10755" width="6.25" style="3209" customWidth="1"/>
    <col min="10756" max="10756" width="7.875" style="3209" customWidth="1"/>
    <col min="10757" max="10758" width="13.875" style="3209" customWidth="1"/>
    <col min="10759" max="10759" width="24" style="3209" customWidth="1"/>
    <col min="10760" max="10760" width="7.875" style="3209" customWidth="1"/>
    <col min="10761" max="10761" width="9" style="3209" customWidth="1"/>
    <col min="10762" max="10763" width="10.625" style="3209" customWidth="1"/>
    <col min="10764" max="10764" width="14.375" style="3209" customWidth="1"/>
    <col min="10765" max="10765" width="6.25" style="3209" customWidth="1"/>
    <col min="10766" max="10766" width="29.375" style="3209" customWidth="1"/>
    <col min="10767" max="11009" width="9" style="3209"/>
    <col min="11010" max="11010" width="44.25" style="3209" customWidth="1"/>
    <col min="11011" max="11011" width="6.25" style="3209" customWidth="1"/>
    <col min="11012" max="11012" width="7.875" style="3209" customWidth="1"/>
    <col min="11013" max="11014" width="13.875" style="3209" customWidth="1"/>
    <col min="11015" max="11015" width="24" style="3209" customWidth="1"/>
    <col min="11016" max="11016" width="7.875" style="3209" customWidth="1"/>
    <col min="11017" max="11017" width="9" style="3209" customWidth="1"/>
    <col min="11018" max="11019" width="10.625" style="3209" customWidth="1"/>
    <col min="11020" max="11020" width="14.375" style="3209" customWidth="1"/>
    <col min="11021" max="11021" width="6.25" style="3209" customWidth="1"/>
    <col min="11022" max="11022" width="29.375" style="3209" customWidth="1"/>
    <col min="11023" max="11265" width="9" style="3209"/>
    <col min="11266" max="11266" width="44.25" style="3209" customWidth="1"/>
    <col min="11267" max="11267" width="6.25" style="3209" customWidth="1"/>
    <col min="11268" max="11268" width="7.875" style="3209" customWidth="1"/>
    <col min="11269" max="11270" width="13.875" style="3209" customWidth="1"/>
    <col min="11271" max="11271" width="24" style="3209" customWidth="1"/>
    <col min="11272" max="11272" width="7.875" style="3209" customWidth="1"/>
    <col min="11273" max="11273" width="9" style="3209" customWidth="1"/>
    <col min="11274" max="11275" width="10.625" style="3209" customWidth="1"/>
    <col min="11276" max="11276" width="14.375" style="3209" customWidth="1"/>
    <col min="11277" max="11277" width="6.25" style="3209" customWidth="1"/>
    <col min="11278" max="11278" width="29.375" style="3209" customWidth="1"/>
    <col min="11279" max="11521" width="9" style="3209"/>
    <col min="11522" max="11522" width="44.25" style="3209" customWidth="1"/>
    <col min="11523" max="11523" width="6.25" style="3209" customWidth="1"/>
    <col min="11524" max="11524" width="7.875" style="3209" customWidth="1"/>
    <col min="11525" max="11526" width="13.875" style="3209" customWidth="1"/>
    <col min="11527" max="11527" width="24" style="3209" customWidth="1"/>
    <col min="11528" max="11528" width="7.875" style="3209" customWidth="1"/>
    <col min="11529" max="11529" width="9" style="3209" customWidth="1"/>
    <col min="11530" max="11531" width="10.625" style="3209" customWidth="1"/>
    <col min="11532" max="11532" width="14.375" style="3209" customWidth="1"/>
    <col min="11533" max="11533" width="6.25" style="3209" customWidth="1"/>
    <col min="11534" max="11534" width="29.375" style="3209" customWidth="1"/>
    <col min="11535" max="11777" width="9" style="3209"/>
    <col min="11778" max="11778" width="44.25" style="3209" customWidth="1"/>
    <col min="11779" max="11779" width="6.25" style="3209" customWidth="1"/>
    <col min="11780" max="11780" width="7.875" style="3209" customWidth="1"/>
    <col min="11781" max="11782" width="13.875" style="3209" customWidth="1"/>
    <col min="11783" max="11783" width="24" style="3209" customWidth="1"/>
    <col min="11784" max="11784" width="7.875" style="3209" customWidth="1"/>
    <col min="11785" max="11785" width="9" style="3209" customWidth="1"/>
    <col min="11786" max="11787" width="10.625" style="3209" customWidth="1"/>
    <col min="11788" max="11788" width="14.375" style="3209" customWidth="1"/>
    <col min="11789" max="11789" width="6.25" style="3209" customWidth="1"/>
    <col min="11790" max="11790" width="29.375" style="3209" customWidth="1"/>
    <col min="11791" max="12033" width="9" style="3209"/>
    <col min="12034" max="12034" width="44.25" style="3209" customWidth="1"/>
    <col min="12035" max="12035" width="6.25" style="3209" customWidth="1"/>
    <col min="12036" max="12036" width="7.875" style="3209" customWidth="1"/>
    <col min="12037" max="12038" width="13.875" style="3209" customWidth="1"/>
    <col min="12039" max="12039" width="24" style="3209" customWidth="1"/>
    <col min="12040" max="12040" width="7.875" style="3209" customWidth="1"/>
    <col min="12041" max="12041" width="9" style="3209" customWidth="1"/>
    <col min="12042" max="12043" width="10.625" style="3209" customWidth="1"/>
    <col min="12044" max="12044" width="14.375" style="3209" customWidth="1"/>
    <col min="12045" max="12045" width="6.25" style="3209" customWidth="1"/>
    <col min="12046" max="12046" width="29.375" style="3209" customWidth="1"/>
    <col min="12047" max="12289" width="9" style="3209"/>
    <col min="12290" max="12290" width="44.25" style="3209" customWidth="1"/>
    <col min="12291" max="12291" width="6.25" style="3209" customWidth="1"/>
    <col min="12292" max="12292" width="7.875" style="3209" customWidth="1"/>
    <col min="12293" max="12294" width="13.875" style="3209" customWidth="1"/>
    <col min="12295" max="12295" width="24" style="3209" customWidth="1"/>
    <col min="12296" max="12296" width="7.875" style="3209" customWidth="1"/>
    <col min="12297" max="12297" width="9" style="3209" customWidth="1"/>
    <col min="12298" max="12299" width="10.625" style="3209" customWidth="1"/>
    <col min="12300" max="12300" width="14.375" style="3209" customWidth="1"/>
    <col min="12301" max="12301" width="6.25" style="3209" customWidth="1"/>
    <col min="12302" max="12302" width="29.375" style="3209" customWidth="1"/>
    <col min="12303" max="12545" width="9" style="3209"/>
    <col min="12546" max="12546" width="44.25" style="3209" customWidth="1"/>
    <col min="12547" max="12547" width="6.25" style="3209" customWidth="1"/>
    <col min="12548" max="12548" width="7.875" style="3209" customWidth="1"/>
    <col min="12549" max="12550" width="13.875" style="3209" customWidth="1"/>
    <col min="12551" max="12551" width="24" style="3209" customWidth="1"/>
    <col min="12552" max="12552" width="7.875" style="3209" customWidth="1"/>
    <col min="12553" max="12553" width="9" style="3209" customWidth="1"/>
    <col min="12554" max="12555" width="10.625" style="3209" customWidth="1"/>
    <col min="12556" max="12556" width="14.375" style="3209" customWidth="1"/>
    <col min="12557" max="12557" width="6.25" style="3209" customWidth="1"/>
    <col min="12558" max="12558" width="29.375" style="3209" customWidth="1"/>
    <col min="12559" max="12801" width="9" style="3209"/>
    <col min="12802" max="12802" width="44.25" style="3209" customWidth="1"/>
    <col min="12803" max="12803" width="6.25" style="3209" customWidth="1"/>
    <col min="12804" max="12804" width="7.875" style="3209" customWidth="1"/>
    <col min="12805" max="12806" width="13.875" style="3209" customWidth="1"/>
    <col min="12807" max="12807" width="24" style="3209" customWidth="1"/>
    <col min="12808" max="12808" width="7.875" style="3209" customWidth="1"/>
    <col min="12809" max="12809" width="9" style="3209" customWidth="1"/>
    <col min="12810" max="12811" width="10.625" style="3209" customWidth="1"/>
    <col min="12812" max="12812" width="14.375" style="3209" customWidth="1"/>
    <col min="12813" max="12813" width="6.25" style="3209" customWidth="1"/>
    <col min="12814" max="12814" width="29.375" style="3209" customWidth="1"/>
    <col min="12815" max="13057" width="9" style="3209"/>
    <col min="13058" max="13058" width="44.25" style="3209" customWidth="1"/>
    <col min="13059" max="13059" width="6.25" style="3209" customWidth="1"/>
    <col min="13060" max="13060" width="7.875" style="3209" customWidth="1"/>
    <col min="13061" max="13062" width="13.875" style="3209" customWidth="1"/>
    <col min="13063" max="13063" width="24" style="3209" customWidth="1"/>
    <col min="13064" max="13064" width="7.875" style="3209" customWidth="1"/>
    <col min="13065" max="13065" width="9" style="3209" customWidth="1"/>
    <col min="13066" max="13067" width="10.625" style="3209" customWidth="1"/>
    <col min="13068" max="13068" width="14.375" style="3209" customWidth="1"/>
    <col min="13069" max="13069" width="6.25" style="3209" customWidth="1"/>
    <col min="13070" max="13070" width="29.375" style="3209" customWidth="1"/>
    <col min="13071" max="13313" width="9" style="3209"/>
    <col min="13314" max="13314" width="44.25" style="3209" customWidth="1"/>
    <col min="13315" max="13315" width="6.25" style="3209" customWidth="1"/>
    <col min="13316" max="13316" width="7.875" style="3209" customWidth="1"/>
    <col min="13317" max="13318" width="13.875" style="3209" customWidth="1"/>
    <col min="13319" max="13319" width="24" style="3209" customWidth="1"/>
    <col min="13320" max="13320" width="7.875" style="3209" customWidth="1"/>
    <col min="13321" max="13321" width="9" style="3209" customWidth="1"/>
    <col min="13322" max="13323" width="10.625" style="3209" customWidth="1"/>
    <col min="13324" max="13324" width="14.375" style="3209" customWidth="1"/>
    <col min="13325" max="13325" width="6.25" style="3209" customWidth="1"/>
    <col min="13326" max="13326" width="29.375" style="3209" customWidth="1"/>
    <col min="13327" max="13569" width="9" style="3209"/>
    <col min="13570" max="13570" width="44.25" style="3209" customWidth="1"/>
    <col min="13571" max="13571" width="6.25" style="3209" customWidth="1"/>
    <col min="13572" max="13572" width="7.875" style="3209" customWidth="1"/>
    <col min="13573" max="13574" width="13.875" style="3209" customWidth="1"/>
    <col min="13575" max="13575" width="24" style="3209" customWidth="1"/>
    <col min="13576" max="13576" width="7.875" style="3209" customWidth="1"/>
    <col min="13577" max="13577" width="9" style="3209" customWidth="1"/>
    <col min="13578" max="13579" width="10.625" style="3209" customWidth="1"/>
    <col min="13580" max="13580" width="14.375" style="3209" customWidth="1"/>
    <col min="13581" max="13581" width="6.25" style="3209" customWidth="1"/>
    <col min="13582" max="13582" width="29.375" style="3209" customWidth="1"/>
    <col min="13583" max="13825" width="9" style="3209"/>
    <col min="13826" max="13826" width="44.25" style="3209" customWidth="1"/>
    <col min="13827" max="13827" width="6.25" style="3209" customWidth="1"/>
    <col min="13828" max="13828" width="7.875" style="3209" customWidth="1"/>
    <col min="13829" max="13830" width="13.875" style="3209" customWidth="1"/>
    <col min="13831" max="13831" width="24" style="3209" customWidth="1"/>
    <col min="13832" max="13832" width="7.875" style="3209" customWidth="1"/>
    <col min="13833" max="13833" width="9" style="3209" customWidth="1"/>
    <col min="13834" max="13835" width="10.625" style="3209" customWidth="1"/>
    <col min="13836" max="13836" width="14.375" style="3209" customWidth="1"/>
    <col min="13837" max="13837" width="6.25" style="3209" customWidth="1"/>
    <col min="13838" max="13838" width="29.375" style="3209" customWidth="1"/>
    <col min="13839" max="14081" width="9" style="3209"/>
    <col min="14082" max="14082" width="44.25" style="3209" customWidth="1"/>
    <col min="14083" max="14083" width="6.25" style="3209" customWidth="1"/>
    <col min="14084" max="14084" width="7.875" style="3209" customWidth="1"/>
    <col min="14085" max="14086" width="13.875" style="3209" customWidth="1"/>
    <col min="14087" max="14087" width="24" style="3209" customWidth="1"/>
    <col min="14088" max="14088" width="7.875" style="3209" customWidth="1"/>
    <col min="14089" max="14089" width="9" style="3209" customWidth="1"/>
    <col min="14090" max="14091" width="10.625" style="3209" customWidth="1"/>
    <col min="14092" max="14092" width="14.375" style="3209" customWidth="1"/>
    <col min="14093" max="14093" width="6.25" style="3209" customWidth="1"/>
    <col min="14094" max="14094" width="29.375" style="3209" customWidth="1"/>
    <col min="14095" max="14337" width="9" style="3209"/>
    <col min="14338" max="14338" width="44.25" style="3209" customWidth="1"/>
    <col min="14339" max="14339" width="6.25" style="3209" customWidth="1"/>
    <col min="14340" max="14340" width="7.875" style="3209" customWidth="1"/>
    <col min="14341" max="14342" width="13.875" style="3209" customWidth="1"/>
    <col min="14343" max="14343" width="24" style="3209" customWidth="1"/>
    <col min="14344" max="14344" width="7.875" style="3209" customWidth="1"/>
    <col min="14345" max="14345" width="9" style="3209" customWidth="1"/>
    <col min="14346" max="14347" width="10.625" style="3209" customWidth="1"/>
    <col min="14348" max="14348" width="14.375" style="3209" customWidth="1"/>
    <col min="14349" max="14349" width="6.25" style="3209" customWidth="1"/>
    <col min="14350" max="14350" width="29.375" style="3209" customWidth="1"/>
    <col min="14351" max="14593" width="9" style="3209"/>
    <col min="14594" max="14594" width="44.25" style="3209" customWidth="1"/>
    <col min="14595" max="14595" width="6.25" style="3209" customWidth="1"/>
    <col min="14596" max="14596" width="7.875" style="3209" customWidth="1"/>
    <col min="14597" max="14598" width="13.875" style="3209" customWidth="1"/>
    <col min="14599" max="14599" width="24" style="3209" customWidth="1"/>
    <col min="14600" max="14600" width="7.875" style="3209" customWidth="1"/>
    <col min="14601" max="14601" width="9" style="3209" customWidth="1"/>
    <col min="14602" max="14603" width="10.625" style="3209" customWidth="1"/>
    <col min="14604" max="14604" width="14.375" style="3209" customWidth="1"/>
    <col min="14605" max="14605" width="6.25" style="3209" customWidth="1"/>
    <col min="14606" max="14606" width="29.375" style="3209" customWidth="1"/>
    <col min="14607" max="14849" width="9" style="3209"/>
    <col min="14850" max="14850" width="44.25" style="3209" customWidth="1"/>
    <col min="14851" max="14851" width="6.25" style="3209" customWidth="1"/>
    <col min="14852" max="14852" width="7.875" style="3209" customWidth="1"/>
    <col min="14853" max="14854" width="13.875" style="3209" customWidth="1"/>
    <col min="14855" max="14855" width="24" style="3209" customWidth="1"/>
    <col min="14856" max="14856" width="7.875" style="3209" customWidth="1"/>
    <col min="14857" max="14857" width="9" style="3209" customWidth="1"/>
    <col min="14858" max="14859" width="10.625" style="3209" customWidth="1"/>
    <col min="14860" max="14860" width="14.375" style="3209" customWidth="1"/>
    <col min="14861" max="14861" width="6.25" style="3209" customWidth="1"/>
    <col min="14862" max="14862" width="29.375" style="3209" customWidth="1"/>
    <col min="14863" max="15105" width="9" style="3209"/>
    <col min="15106" max="15106" width="44.25" style="3209" customWidth="1"/>
    <col min="15107" max="15107" width="6.25" style="3209" customWidth="1"/>
    <col min="15108" max="15108" width="7.875" style="3209" customWidth="1"/>
    <col min="15109" max="15110" width="13.875" style="3209" customWidth="1"/>
    <col min="15111" max="15111" width="24" style="3209" customWidth="1"/>
    <col min="15112" max="15112" width="7.875" style="3209" customWidth="1"/>
    <col min="15113" max="15113" width="9" style="3209" customWidth="1"/>
    <col min="15114" max="15115" width="10.625" style="3209" customWidth="1"/>
    <col min="15116" max="15116" width="14.375" style="3209" customWidth="1"/>
    <col min="15117" max="15117" width="6.25" style="3209" customWidth="1"/>
    <col min="15118" max="15118" width="29.375" style="3209" customWidth="1"/>
    <col min="15119" max="15361" width="9" style="3209"/>
    <col min="15362" max="15362" width="44.25" style="3209" customWidth="1"/>
    <col min="15363" max="15363" width="6.25" style="3209" customWidth="1"/>
    <col min="15364" max="15364" width="7.875" style="3209" customWidth="1"/>
    <col min="15365" max="15366" width="13.875" style="3209" customWidth="1"/>
    <col min="15367" max="15367" width="24" style="3209" customWidth="1"/>
    <col min="15368" max="15368" width="7.875" style="3209" customWidth="1"/>
    <col min="15369" max="15369" width="9" style="3209" customWidth="1"/>
    <col min="15370" max="15371" width="10.625" style="3209" customWidth="1"/>
    <col min="15372" max="15372" width="14.375" style="3209" customWidth="1"/>
    <col min="15373" max="15373" width="6.25" style="3209" customWidth="1"/>
    <col min="15374" max="15374" width="29.375" style="3209" customWidth="1"/>
    <col min="15375" max="15617" width="9" style="3209"/>
    <col min="15618" max="15618" width="44.25" style="3209" customWidth="1"/>
    <col min="15619" max="15619" width="6.25" style="3209" customWidth="1"/>
    <col min="15620" max="15620" width="7.875" style="3209" customWidth="1"/>
    <col min="15621" max="15622" width="13.875" style="3209" customWidth="1"/>
    <col min="15623" max="15623" width="24" style="3209" customWidth="1"/>
    <col min="15624" max="15624" width="7.875" style="3209" customWidth="1"/>
    <col min="15625" max="15625" width="9" style="3209" customWidth="1"/>
    <col min="15626" max="15627" width="10.625" style="3209" customWidth="1"/>
    <col min="15628" max="15628" width="14.375" style="3209" customWidth="1"/>
    <col min="15629" max="15629" width="6.25" style="3209" customWidth="1"/>
    <col min="15630" max="15630" width="29.375" style="3209" customWidth="1"/>
    <col min="15631" max="15873" width="9" style="3209"/>
    <col min="15874" max="15874" width="44.25" style="3209" customWidth="1"/>
    <col min="15875" max="15875" width="6.25" style="3209" customWidth="1"/>
    <col min="15876" max="15876" width="7.875" style="3209" customWidth="1"/>
    <col min="15877" max="15878" width="13.875" style="3209" customWidth="1"/>
    <col min="15879" max="15879" width="24" style="3209" customWidth="1"/>
    <col min="15880" max="15880" width="7.875" style="3209" customWidth="1"/>
    <col min="15881" max="15881" width="9" style="3209" customWidth="1"/>
    <col min="15882" max="15883" width="10.625" style="3209" customWidth="1"/>
    <col min="15884" max="15884" width="14.375" style="3209" customWidth="1"/>
    <col min="15885" max="15885" width="6.25" style="3209" customWidth="1"/>
    <col min="15886" max="15886" width="29.375" style="3209" customWidth="1"/>
    <col min="15887" max="16129" width="9" style="3209"/>
    <col min="16130" max="16130" width="44.25" style="3209" customWidth="1"/>
    <col min="16131" max="16131" width="6.25" style="3209" customWidth="1"/>
    <col min="16132" max="16132" width="7.875" style="3209" customWidth="1"/>
    <col min="16133" max="16134" width="13.875" style="3209" customWidth="1"/>
    <col min="16135" max="16135" width="24" style="3209" customWidth="1"/>
    <col min="16136" max="16136" width="7.875" style="3209" customWidth="1"/>
    <col min="16137" max="16137" width="9" style="3209" customWidth="1"/>
    <col min="16138" max="16139" width="10.625" style="3209" customWidth="1"/>
    <col min="16140" max="16140" width="14.375" style="3209" customWidth="1"/>
    <col min="16141" max="16141" width="6.25" style="3209" customWidth="1"/>
    <col min="16142" max="16142" width="29.375" style="3209" customWidth="1"/>
    <col min="16143" max="16384" width="9" style="3209"/>
  </cols>
  <sheetData>
    <row r="1" spans="1:14" s="3210" customFormat="1" ht="27">
      <c r="A1" s="3210" t="s">
        <v>3027</v>
      </c>
      <c r="B1" s="3210" t="s">
        <v>3028</v>
      </c>
      <c r="C1" s="3210" t="s">
        <v>3029</v>
      </c>
      <c r="D1" s="3210" t="s">
        <v>3030</v>
      </c>
      <c r="E1" s="3210" t="s">
        <v>3031</v>
      </c>
      <c r="F1" s="3210" t="s">
        <v>2033</v>
      </c>
      <c r="G1" s="3210" t="s">
        <v>3032</v>
      </c>
      <c r="H1" s="3210" t="s">
        <v>3033</v>
      </c>
      <c r="I1" s="3210" t="s">
        <v>3034</v>
      </c>
      <c r="J1" s="3210" t="s">
        <v>3035</v>
      </c>
      <c r="K1" s="3210" t="s">
        <v>3036</v>
      </c>
      <c r="M1" s="3210" t="s">
        <v>3037</v>
      </c>
      <c r="N1" s="3210" t="s">
        <v>3038</v>
      </c>
    </row>
    <row r="2" spans="1:14">
      <c r="A2" s="3209" t="s">
        <v>3215</v>
      </c>
      <c r="B2" s="3209" t="s">
        <v>2978</v>
      </c>
      <c r="C2" s="3209" t="s">
        <v>3216</v>
      </c>
      <c r="D2" s="3209">
        <v>134653</v>
      </c>
      <c r="E2" s="3209">
        <v>269306</v>
      </c>
      <c r="F2" s="3209">
        <f>ROUND(E2/D2,2)</f>
        <v>2</v>
      </c>
      <c r="G2" s="3209" t="s">
        <v>3039</v>
      </c>
      <c r="H2" s="3209" t="s">
        <v>3217</v>
      </c>
      <c r="I2" s="3209">
        <v>3393.26</v>
      </c>
      <c r="J2" s="3209">
        <v>3393.26</v>
      </c>
      <c r="K2" s="3209">
        <v>126</v>
      </c>
      <c r="M2" s="3209">
        <v>0</v>
      </c>
      <c r="N2" s="3209" t="s">
        <v>3218</v>
      </c>
    </row>
    <row r="3" spans="1:14" s="3211" customFormat="1">
      <c r="A3" s="3216" t="s">
        <v>3414</v>
      </c>
      <c r="B3" s="3211" t="s">
        <v>2978</v>
      </c>
      <c r="C3" s="3211" t="s">
        <v>3216</v>
      </c>
      <c r="D3" s="3211">
        <v>19577.02</v>
      </c>
      <c r="E3" s="3211">
        <v>39154.04</v>
      </c>
      <c r="F3" s="3209">
        <f t="shared" ref="F3:F43" si="0">ROUND(E3/D3,2)</f>
        <v>2</v>
      </c>
      <c r="G3" s="3211" t="s">
        <v>3039</v>
      </c>
      <c r="H3" s="3211" t="s">
        <v>3220</v>
      </c>
      <c r="I3" s="3211">
        <v>698.89</v>
      </c>
      <c r="J3" s="3211">
        <v>698.89</v>
      </c>
      <c r="K3" s="3211">
        <v>179</v>
      </c>
      <c r="L3" s="3211">
        <f>ROUND(J3/D3*10000,0)</f>
        <v>357</v>
      </c>
      <c r="M3" s="3211">
        <v>0</v>
      </c>
      <c r="N3" s="3211" t="s">
        <v>3221</v>
      </c>
    </row>
    <row r="4" spans="1:14" hidden="1">
      <c r="A4" s="3209" t="s">
        <v>3222</v>
      </c>
      <c r="B4" s="3209" t="s">
        <v>2978</v>
      </c>
      <c r="C4" s="3209" t="s">
        <v>3216</v>
      </c>
      <c r="D4" s="3209">
        <v>32687.32</v>
      </c>
      <c r="E4" s="3209">
        <v>58837.18</v>
      </c>
      <c r="F4" s="3209">
        <f t="shared" si="0"/>
        <v>1.8</v>
      </c>
      <c r="G4" s="3209" t="s">
        <v>3039</v>
      </c>
      <c r="H4" s="3209" t="s">
        <v>3223</v>
      </c>
      <c r="I4" s="3209">
        <v>1372.86</v>
      </c>
      <c r="J4" s="3209">
        <v>1372.86</v>
      </c>
      <c r="K4" s="3209">
        <v>233.33</v>
      </c>
      <c r="M4" s="3209">
        <v>0</v>
      </c>
      <c r="N4" s="3209" t="s">
        <v>3224</v>
      </c>
    </row>
    <row r="5" spans="1:14" hidden="1">
      <c r="A5" s="3209" t="s">
        <v>3222</v>
      </c>
      <c r="B5" s="3209" t="s">
        <v>2978</v>
      </c>
      <c r="C5" s="3209" t="s">
        <v>3216</v>
      </c>
      <c r="D5" s="3209">
        <v>45231.13</v>
      </c>
      <c r="E5" s="3209">
        <v>81416.03</v>
      </c>
      <c r="F5" s="3209">
        <f t="shared" si="0"/>
        <v>1.8</v>
      </c>
      <c r="G5" s="3209" t="s">
        <v>3039</v>
      </c>
      <c r="H5" s="3209" t="s">
        <v>3223</v>
      </c>
      <c r="I5" s="3209">
        <v>1899.71</v>
      </c>
      <c r="J5" s="3209">
        <v>1899.71</v>
      </c>
      <c r="K5" s="3209">
        <v>233.33</v>
      </c>
      <c r="M5" s="3209">
        <v>0</v>
      </c>
      <c r="N5" s="3209" t="s">
        <v>3225</v>
      </c>
    </row>
    <row r="6" spans="1:14" hidden="1">
      <c r="A6" s="3209" t="s">
        <v>3222</v>
      </c>
      <c r="B6" s="3209" t="s">
        <v>2978</v>
      </c>
      <c r="C6" s="3209" t="s">
        <v>3216</v>
      </c>
      <c r="D6" s="3209">
        <v>18873.48</v>
      </c>
      <c r="E6" s="3209">
        <v>33972.26</v>
      </c>
      <c r="F6" s="3209">
        <f t="shared" si="0"/>
        <v>1.8</v>
      </c>
      <c r="G6" s="3209" t="s">
        <v>3039</v>
      </c>
      <c r="H6" s="3209" t="s">
        <v>3223</v>
      </c>
      <c r="I6" s="3209">
        <v>660.57</v>
      </c>
      <c r="J6" s="3209">
        <v>660.57</v>
      </c>
      <c r="K6" s="3209">
        <v>194.43</v>
      </c>
      <c r="M6" s="3209">
        <v>0</v>
      </c>
      <c r="N6" s="3209" t="s">
        <v>3226</v>
      </c>
    </row>
    <row r="7" spans="1:14" hidden="1">
      <c r="A7" s="3209" t="s">
        <v>3222</v>
      </c>
      <c r="B7" s="3209" t="s">
        <v>2978</v>
      </c>
      <c r="C7" s="3209" t="s">
        <v>3216</v>
      </c>
      <c r="D7" s="3209">
        <v>9582.84</v>
      </c>
      <c r="E7" s="3209">
        <v>14374.26</v>
      </c>
      <c r="F7" s="3209">
        <f t="shared" si="0"/>
        <v>1.5</v>
      </c>
      <c r="G7" s="3209" t="s">
        <v>3039</v>
      </c>
      <c r="H7" s="3209" t="s">
        <v>3223</v>
      </c>
      <c r="I7" s="3209">
        <v>335.39</v>
      </c>
      <c r="J7" s="3209">
        <v>335.39</v>
      </c>
      <c r="K7" s="3209">
        <v>233.33</v>
      </c>
      <c r="M7" s="3209">
        <v>0</v>
      </c>
      <c r="N7" s="3209" t="s">
        <v>3228</v>
      </c>
    </row>
    <row r="8" spans="1:14" hidden="1">
      <c r="A8" s="3209" t="s">
        <v>3222</v>
      </c>
      <c r="B8" s="3209" t="s">
        <v>2978</v>
      </c>
      <c r="C8" s="3209" t="s">
        <v>3216</v>
      </c>
      <c r="D8" s="3209">
        <v>41416.699999999997</v>
      </c>
      <c r="E8" s="3209">
        <v>74550.06</v>
      </c>
      <c r="F8" s="3209">
        <f t="shared" si="0"/>
        <v>1.8</v>
      </c>
      <c r="G8" s="3209" t="s">
        <v>3039</v>
      </c>
      <c r="H8" s="3209" t="s">
        <v>3223</v>
      </c>
      <c r="I8" s="3209">
        <v>1739.5</v>
      </c>
      <c r="J8" s="3209">
        <v>1739.5</v>
      </c>
      <c r="K8" s="3209">
        <v>233.33</v>
      </c>
      <c r="M8" s="3209">
        <v>0</v>
      </c>
      <c r="N8" s="3209" t="s">
        <v>3229</v>
      </c>
    </row>
    <row r="9" spans="1:14" hidden="1">
      <c r="A9" s="3209" t="s">
        <v>3222</v>
      </c>
      <c r="B9" s="3209" t="s">
        <v>2978</v>
      </c>
      <c r="C9" s="3209" t="s">
        <v>3216</v>
      </c>
      <c r="D9" s="3209">
        <v>20586.990000000002</v>
      </c>
      <c r="E9" s="3209">
        <v>37056.58</v>
      </c>
      <c r="F9" s="3209">
        <f t="shared" si="0"/>
        <v>1.8</v>
      </c>
      <c r="G9" s="3209" t="s">
        <v>3039</v>
      </c>
      <c r="H9" s="3209" t="s">
        <v>3223</v>
      </c>
      <c r="I9" s="3209">
        <v>864.64</v>
      </c>
      <c r="J9" s="3209">
        <v>864.64</v>
      </c>
      <c r="K9" s="3209">
        <v>233.33</v>
      </c>
      <c r="M9" s="3209">
        <v>0</v>
      </c>
      <c r="N9" s="3209" t="s">
        <v>3225</v>
      </c>
    </row>
    <row r="10" spans="1:14" hidden="1">
      <c r="A10" s="3209" t="s">
        <v>3222</v>
      </c>
      <c r="B10" s="3209" t="s">
        <v>2978</v>
      </c>
      <c r="C10" s="3209" t="s">
        <v>3216</v>
      </c>
      <c r="D10" s="3209">
        <v>12556.79</v>
      </c>
      <c r="E10" s="3209">
        <v>22602.22</v>
      </c>
      <c r="F10" s="3209">
        <f t="shared" si="0"/>
        <v>1.8</v>
      </c>
      <c r="G10" s="3209" t="s">
        <v>3039</v>
      </c>
      <c r="H10" s="3209" t="s">
        <v>3223</v>
      </c>
      <c r="I10" s="3209">
        <v>527.38</v>
      </c>
      <c r="J10" s="3209">
        <v>527.38</v>
      </c>
      <c r="K10" s="3209">
        <v>233.34</v>
      </c>
      <c r="M10" s="3209">
        <v>0</v>
      </c>
      <c r="N10" s="3209" t="s">
        <v>3229</v>
      </c>
    </row>
    <row r="11" spans="1:14" hidden="1">
      <c r="A11" s="3209" t="s">
        <v>3222</v>
      </c>
      <c r="B11" s="3209" t="s">
        <v>2978</v>
      </c>
      <c r="C11" s="3209" t="s">
        <v>3216</v>
      </c>
      <c r="D11" s="3209">
        <v>10525.57</v>
      </c>
      <c r="E11" s="3209">
        <v>15788.36</v>
      </c>
      <c r="F11" s="3209">
        <f t="shared" si="0"/>
        <v>1.5</v>
      </c>
      <c r="G11" s="3209" t="s">
        <v>3039</v>
      </c>
      <c r="H11" s="3209" t="s">
        <v>3223</v>
      </c>
      <c r="I11" s="3209">
        <v>368.38</v>
      </c>
      <c r="J11" s="3209">
        <v>368.39</v>
      </c>
      <c r="K11" s="3209">
        <v>233.34</v>
      </c>
      <c r="M11" s="3209">
        <v>0</v>
      </c>
      <c r="N11" s="3209" t="s">
        <v>3230</v>
      </c>
    </row>
    <row r="12" spans="1:14" hidden="1">
      <c r="A12" s="3209" t="s">
        <v>3222</v>
      </c>
      <c r="B12" s="3209" t="s">
        <v>2978</v>
      </c>
      <c r="C12" s="3209" t="s">
        <v>3216</v>
      </c>
      <c r="D12" s="3209">
        <v>11910.33</v>
      </c>
      <c r="E12" s="3209">
        <v>21438.59</v>
      </c>
      <c r="F12" s="3209">
        <f t="shared" si="0"/>
        <v>1.8</v>
      </c>
      <c r="G12" s="3209" t="s">
        <v>3039</v>
      </c>
      <c r="H12" s="3209" t="s">
        <v>3223</v>
      </c>
      <c r="I12" s="3209">
        <v>416.86</v>
      </c>
      <c r="J12" s="3209">
        <v>416.86</v>
      </c>
      <c r="K12" s="3209">
        <v>194.43</v>
      </c>
      <c r="M12" s="3209">
        <v>0</v>
      </c>
      <c r="N12" s="3209" t="s">
        <v>3226</v>
      </c>
    </row>
    <row r="13" spans="1:14" hidden="1">
      <c r="A13" s="3209" t="s">
        <v>3231</v>
      </c>
      <c r="B13" s="3209" t="s">
        <v>2978</v>
      </c>
      <c r="C13" s="3209" t="s">
        <v>3216</v>
      </c>
      <c r="D13" s="3209">
        <v>2999.97</v>
      </c>
      <c r="E13" s="3209">
        <v>4499.95</v>
      </c>
      <c r="F13" s="3209">
        <f t="shared" si="0"/>
        <v>1.5</v>
      </c>
      <c r="G13" s="3209" t="s">
        <v>3039</v>
      </c>
      <c r="H13" s="3209" t="s">
        <v>3232</v>
      </c>
      <c r="I13" s="3209">
        <v>109.2</v>
      </c>
      <c r="J13" s="3209">
        <v>109.2</v>
      </c>
      <c r="K13" s="3209">
        <v>242.66</v>
      </c>
      <c r="M13" s="3209">
        <v>0</v>
      </c>
      <c r="N13" s="3209" t="s">
        <v>3233</v>
      </c>
    </row>
    <row r="14" spans="1:14" hidden="1">
      <c r="A14" s="3209" t="s">
        <v>3234</v>
      </c>
      <c r="B14" s="3209" t="s">
        <v>2978</v>
      </c>
      <c r="C14" s="3209" t="s">
        <v>3216</v>
      </c>
      <c r="D14" s="3209">
        <v>33333.33</v>
      </c>
      <c r="E14" s="3209">
        <v>50000</v>
      </c>
      <c r="F14" s="3209">
        <f t="shared" si="0"/>
        <v>1.5</v>
      </c>
      <c r="G14" s="3209" t="s">
        <v>3039</v>
      </c>
      <c r="H14" s="3209" t="s">
        <v>3235</v>
      </c>
      <c r="I14" s="3209">
        <v>1123.32</v>
      </c>
      <c r="J14" s="3209">
        <v>1123.32</v>
      </c>
      <c r="K14" s="3209">
        <v>224.66</v>
      </c>
      <c r="M14" s="3209">
        <v>0</v>
      </c>
      <c r="N14" s="3209" t="s">
        <v>3236</v>
      </c>
    </row>
    <row r="15" spans="1:14" hidden="1">
      <c r="A15" s="3209" t="s">
        <v>3237</v>
      </c>
      <c r="B15" s="3209" t="s">
        <v>2978</v>
      </c>
      <c r="C15" s="3209" t="s">
        <v>3216</v>
      </c>
      <c r="D15" s="3209">
        <v>13333.33</v>
      </c>
      <c r="E15" s="3209">
        <v>26666.66</v>
      </c>
      <c r="F15" s="3209">
        <f t="shared" si="0"/>
        <v>2</v>
      </c>
      <c r="G15" s="3209" t="s">
        <v>3039</v>
      </c>
      <c r="H15" s="3209" t="s">
        <v>3235</v>
      </c>
      <c r="I15" s="3209">
        <v>440</v>
      </c>
      <c r="J15" s="3209">
        <v>440</v>
      </c>
      <c r="K15" s="3209">
        <v>165</v>
      </c>
      <c r="M15" s="3209">
        <v>0</v>
      </c>
      <c r="N15" s="3209" t="s">
        <v>3238</v>
      </c>
    </row>
    <row r="16" spans="1:14" hidden="1">
      <c r="A16" s="3209" t="s">
        <v>3239</v>
      </c>
      <c r="B16" s="3209" t="s">
        <v>2978</v>
      </c>
      <c r="C16" s="3209" t="s">
        <v>3216</v>
      </c>
      <c r="D16" s="3209">
        <v>26912.19</v>
      </c>
      <c r="E16" s="3209">
        <v>80736.570000000007</v>
      </c>
      <c r="F16" s="3209">
        <f t="shared" si="0"/>
        <v>3</v>
      </c>
      <c r="G16" s="3209" t="s">
        <v>3039</v>
      </c>
      <c r="H16" s="3209" t="s">
        <v>3240</v>
      </c>
      <c r="I16" s="3209" t="s">
        <v>2819</v>
      </c>
      <c r="J16" s="3209">
        <v>3592.78</v>
      </c>
      <c r="K16" s="3209">
        <v>445</v>
      </c>
      <c r="M16" s="3209" t="s">
        <v>2819</v>
      </c>
      <c r="N16" s="3209" t="s">
        <v>3241</v>
      </c>
    </row>
    <row r="17" spans="1:14" hidden="1">
      <c r="A17" s="3209" t="s">
        <v>3242</v>
      </c>
      <c r="B17" s="3209" t="s">
        <v>2978</v>
      </c>
      <c r="C17" s="3209" t="s">
        <v>3216</v>
      </c>
      <c r="D17" s="3209">
        <v>33333.33</v>
      </c>
      <c r="E17" s="3209">
        <v>66666.66</v>
      </c>
      <c r="F17" s="3209">
        <f t="shared" si="0"/>
        <v>2</v>
      </c>
      <c r="G17" s="3209" t="s">
        <v>3039</v>
      </c>
      <c r="H17" s="3209" t="s">
        <v>3243</v>
      </c>
      <c r="I17" s="3209">
        <v>1123.32</v>
      </c>
      <c r="J17" s="3209">
        <v>1123.32</v>
      </c>
      <c r="K17" s="3209">
        <v>168.5</v>
      </c>
      <c r="M17" s="3209">
        <v>0</v>
      </c>
      <c r="N17" s="3209" t="s">
        <v>3244</v>
      </c>
    </row>
    <row r="18" spans="1:14" hidden="1">
      <c r="A18" s="3209" t="s">
        <v>3242</v>
      </c>
      <c r="B18" s="3209" t="s">
        <v>2978</v>
      </c>
      <c r="C18" s="3209" t="s">
        <v>3216</v>
      </c>
      <c r="D18" s="3209">
        <v>9326.75</v>
      </c>
      <c r="E18" s="3209">
        <v>18653.5</v>
      </c>
      <c r="F18" s="3209">
        <f t="shared" si="0"/>
        <v>2</v>
      </c>
      <c r="G18" s="3209" t="s">
        <v>3039</v>
      </c>
      <c r="H18" s="3209" t="s">
        <v>3245</v>
      </c>
      <c r="I18" s="3209">
        <v>334.82</v>
      </c>
      <c r="J18" s="3209">
        <v>334.82</v>
      </c>
      <c r="K18" s="3209">
        <v>179.5</v>
      </c>
      <c r="M18" s="3209">
        <v>0</v>
      </c>
      <c r="N18" s="3209" t="s">
        <v>3246</v>
      </c>
    </row>
    <row r="19" spans="1:14" hidden="1">
      <c r="A19" s="3209" t="s">
        <v>3242</v>
      </c>
      <c r="B19" s="3209" t="s">
        <v>2978</v>
      </c>
      <c r="C19" s="3209" t="s">
        <v>3216</v>
      </c>
      <c r="D19" s="3209">
        <v>9326.75</v>
      </c>
      <c r="E19" s="3209">
        <v>18653.5</v>
      </c>
      <c r="F19" s="3209">
        <f t="shared" si="0"/>
        <v>2</v>
      </c>
      <c r="G19" s="3209" t="s">
        <v>3039</v>
      </c>
      <c r="H19" s="3209" t="s">
        <v>3245</v>
      </c>
      <c r="I19" s="3209">
        <v>334.82</v>
      </c>
      <c r="J19" s="3209">
        <v>334.82</v>
      </c>
      <c r="K19" s="3209">
        <v>179.5</v>
      </c>
      <c r="M19" s="3209">
        <v>0</v>
      </c>
      <c r="N19" s="3209" t="s">
        <v>3247</v>
      </c>
    </row>
    <row r="20" spans="1:14" hidden="1">
      <c r="A20" s="3209" t="s">
        <v>3248</v>
      </c>
      <c r="B20" s="3209" t="s">
        <v>2978</v>
      </c>
      <c r="C20" s="3209" t="s">
        <v>3216</v>
      </c>
      <c r="D20" s="3209">
        <v>93333.33</v>
      </c>
      <c r="E20" s="3209">
        <v>140000</v>
      </c>
      <c r="F20" s="3209">
        <f t="shared" si="0"/>
        <v>1.5</v>
      </c>
      <c r="G20" s="3209" t="s">
        <v>3039</v>
      </c>
      <c r="H20" s="3209" t="s">
        <v>3249</v>
      </c>
      <c r="I20" s="3209">
        <v>2902.67</v>
      </c>
      <c r="J20" s="3209">
        <v>2902.67</v>
      </c>
      <c r="K20" s="3209">
        <v>207.33</v>
      </c>
      <c r="M20" s="3209">
        <v>0</v>
      </c>
      <c r="N20" s="3209" t="s">
        <v>3250</v>
      </c>
    </row>
    <row r="21" spans="1:14" hidden="1">
      <c r="A21" s="3209" t="s">
        <v>3237</v>
      </c>
      <c r="B21" s="3209" t="s">
        <v>2978</v>
      </c>
      <c r="C21" s="3209" t="s">
        <v>3216</v>
      </c>
      <c r="D21" s="3209">
        <v>58000</v>
      </c>
      <c r="E21" s="3209">
        <v>116000</v>
      </c>
      <c r="F21" s="3209">
        <f t="shared" si="0"/>
        <v>2</v>
      </c>
      <c r="G21" s="3209" t="s">
        <v>3039</v>
      </c>
      <c r="H21" s="3209" t="s">
        <v>3249</v>
      </c>
      <c r="I21" s="3209">
        <v>1948.79</v>
      </c>
      <c r="J21" s="3209">
        <v>1948.79</v>
      </c>
      <c r="K21" s="3209">
        <v>168</v>
      </c>
      <c r="M21" s="3209">
        <v>0</v>
      </c>
      <c r="N21" s="3209" t="s">
        <v>3251</v>
      </c>
    </row>
    <row r="22" spans="1:14" hidden="1">
      <c r="A22" s="3209" t="s">
        <v>3252</v>
      </c>
      <c r="B22" s="3209" t="s">
        <v>2978</v>
      </c>
      <c r="C22" s="3209" t="s">
        <v>3216</v>
      </c>
      <c r="D22" s="3209">
        <v>70000</v>
      </c>
      <c r="E22" s="3209">
        <v>105000</v>
      </c>
      <c r="F22" s="3209">
        <f t="shared" si="0"/>
        <v>1.5</v>
      </c>
      <c r="G22" s="3209" t="s">
        <v>3039</v>
      </c>
      <c r="H22" s="3209" t="s">
        <v>3253</v>
      </c>
      <c r="I22" s="3209">
        <v>2394</v>
      </c>
      <c r="J22" s="3209">
        <v>2394</v>
      </c>
      <c r="K22" s="3209">
        <v>228</v>
      </c>
      <c r="M22" s="3209">
        <v>0</v>
      </c>
      <c r="N22" s="3209" t="s">
        <v>3254</v>
      </c>
    </row>
    <row r="23" spans="1:14" hidden="1">
      <c r="A23" s="3209" t="s">
        <v>3255</v>
      </c>
      <c r="B23" s="3209" t="s">
        <v>2978</v>
      </c>
      <c r="C23" s="3209" t="s">
        <v>3216</v>
      </c>
      <c r="D23" s="3209">
        <v>120000</v>
      </c>
      <c r="E23" s="3209">
        <v>240000</v>
      </c>
      <c r="F23" s="3209">
        <f t="shared" si="0"/>
        <v>2</v>
      </c>
      <c r="G23" s="3209" t="s">
        <v>3039</v>
      </c>
      <c r="H23" s="3209" t="s">
        <v>3256</v>
      </c>
      <c r="I23" s="3209">
        <v>4800</v>
      </c>
      <c r="J23" s="3209">
        <v>4800</v>
      </c>
      <c r="K23" s="3209">
        <v>200</v>
      </c>
      <c r="M23" s="3209">
        <v>0</v>
      </c>
      <c r="N23" s="3209" t="s">
        <v>3257</v>
      </c>
    </row>
    <row r="24" spans="1:14" hidden="1">
      <c r="A24" s="3209" t="s">
        <v>3258</v>
      </c>
      <c r="B24" s="3209" t="s">
        <v>2978</v>
      </c>
      <c r="C24" s="3209" t="s">
        <v>3216</v>
      </c>
      <c r="D24" s="3209">
        <v>26666.67</v>
      </c>
      <c r="E24" s="3209">
        <v>53333.34</v>
      </c>
      <c r="F24" s="3209">
        <f t="shared" si="0"/>
        <v>2</v>
      </c>
      <c r="G24" s="3209" t="s">
        <v>3039</v>
      </c>
      <c r="H24" s="3209" t="s">
        <v>3259</v>
      </c>
      <c r="I24" s="3209">
        <v>944</v>
      </c>
      <c r="J24" s="3209">
        <v>944</v>
      </c>
      <c r="K24" s="3209">
        <v>177</v>
      </c>
      <c r="M24" s="3209">
        <v>0</v>
      </c>
      <c r="N24" s="3209" t="s">
        <v>3260</v>
      </c>
    </row>
    <row r="25" spans="1:14" hidden="1">
      <c r="A25" s="3209" t="s">
        <v>3261</v>
      </c>
      <c r="B25" s="3209" t="s">
        <v>2978</v>
      </c>
      <c r="C25" s="3209" t="s">
        <v>3216</v>
      </c>
      <c r="D25" s="3209">
        <v>21300</v>
      </c>
      <c r="E25" s="3209">
        <v>31950</v>
      </c>
      <c r="F25" s="3209">
        <f t="shared" si="0"/>
        <v>1.5</v>
      </c>
      <c r="G25" s="3209" t="s">
        <v>3039</v>
      </c>
      <c r="H25" s="3209" t="s">
        <v>3259</v>
      </c>
      <c r="I25" s="3209">
        <v>645.38</v>
      </c>
      <c r="J25" s="3209">
        <v>645.38</v>
      </c>
      <c r="K25" s="3209">
        <v>202</v>
      </c>
      <c r="M25" s="3209">
        <v>0</v>
      </c>
      <c r="N25" s="3209" t="s">
        <v>3262</v>
      </c>
    </row>
    <row r="26" spans="1:14" hidden="1">
      <c r="A26" s="3209" t="s">
        <v>3263</v>
      </c>
      <c r="B26" s="3209" t="s">
        <v>2978</v>
      </c>
      <c r="C26" s="3209" t="s">
        <v>3216</v>
      </c>
      <c r="D26" s="3209">
        <v>64215.06</v>
      </c>
      <c r="E26" s="3209">
        <v>96322.59</v>
      </c>
      <c r="F26" s="3209">
        <f t="shared" si="0"/>
        <v>1.5</v>
      </c>
      <c r="G26" s="3209" t="s">
        <v>3039</v>
      </c>
      <c r="H26" s="3209" t="s">
        <v>3264</v>
      </c>
      <c r="I26" s="3209">
        <v>1945.72</v>
      </c>
      <c r="J26" s="3209">
        <v>1945.72</v>
      </c>
      <c r="K26" s="3209">
        <v>202</v>
      </c>
      <c r="M26" s="3209">
        <v>0</v>
      </c>
      <c r="N26" s="3209" t="s">
        <v>3233</v>
      </c>
    </row>
    <row r="27" spans="1:14" hidden="1">
      <c r="A27" s="3209" t="s">
        <v>3265</v>
      </c>
      <c r="B27" s="3209" t="s">
        <v>2978</v>
      </c>
      <c r="C27" s="3209" t="s">
        <v>3216</v>
      </c>
      <c r="D27" s="3209">
        <v>49901.31</v>
      </c>
      <c r="E27" s="3209">
        <v>99802.62</v>
      </c>
      <c r="F27" s="3209">
        <f t="shared" si="0"/>
        <v>2</v>
      </c>
      <c r="G27" s="3209" t="s">
        <v>3039</v>
      </c>
      <c r="H27" s="3209" t="s">
        <v>3040</v>
      </c>
      <c r="I27" s="3209">
        <v>1437.16</v>
      </c>
      <c r="J27" s="3209">
        <v>1437.16</v>
      </c>
      <c r="K27" s="3209">
        <v>144</v>
      </c>
      <c r="M27" s="3209">
        <v>0</v>
      </c>
      <c r="N27" s="3209" t="s">
        <v>3266</v>
      </c>
    </row>
    <row r="28" spans="1:14" hidden="1">
      <c r="A28" s="3209" t="s">
        <v>3248</v>
      </c>
      <c r="B28" s="3209" t="s">
        <v>2978</v>
      </c>
      <c r="C28" s="3209" t="s">
        <v>3216</v>
      </c>
      <c r="D28" s="3209">
        <v>9999.86</v>
      </c>
      <c r="E28" s="3209">
        <v>14999.79</v>
      </c>
      <c r="F28" s="3209">
        <f t="shared" si="0"/>
        <v>1.5</v>
      </c>
      <c r="G28" s="3209" t="s">
        <v>3039</v>
      </c>
      <c r="H28" s="3209" t="s">
        <v>3040</v>
      </c>
      <c r="I28" s="3209">
        <v>275</v>
      </c>
      <c r="J28" s="3209">
        <v>275</v>
      </c>
      <c r="K28" s="3209">
        <v>183.34</v>
      </c>
      <c r="M28" s="3209">
        <v>0</v>
      </c>
      <c r="N28" s="3209" t="s">
        <v>3267</v>
      </c>
    </row>
    <row r="29" spans="1:14" hidden="1">
      <c r="A29" s="3209" t="s">
        <v>3268</v>
      </c>
      <c r="B29" s="3209" t="s">
        <v>2978</v>
      </c>
      <c r="C29" s="3209" t="s">
        <v>3216</v>
      </c>
      <c r="D29" s="3209">
        <v>20260.830000000002</v>
      </c>
      <c r="E29" s="3209">
        <v>40521.660000000003</v>
      </c>
      <c r="F29" s="3209">
        <f t="shared" si="0"/>
        <v>2</v>
      </c>
      <c r="G29" s="3209" t="s">
        <v>3039</v>
      </c>
      <c r="H29" s="3209" t="s">
        <v>3269</v>
      </c>
      <c r="I29" s="3209">
        <v>595.66</v>
      </c>
      <c r="J29" s="3209">
        <v>595.66</v>
      </c>
      <c r="K29" s="3209">
        <v>147</v>
      </c>
      <c r="M29" s="3209">
        <v>0</v>
      </c>
      <c r="N29" s="3209" t="s">
        <v>3270</v>
      </c>
    </row>
    <row r="30" spans="1:14" hidden="1">
      <c r="A30" s="3209" t="s">
        <v>3261</v>
      </c>
      <c r="B30" s="3209" t="s">
        <v>2978</v>
      </c>
      <c r="C30" s="3209" t="s">
        <v>3216</v>
      </c>
      <c r="D30" s="3209">
        <v>64515.58</v>
      </c>
      <c r="E30" s="3209">
        <v>96773.37</v>
      </c>
      <c r="F30" s="3209">
        <f t="shared" si="0"/>
        <v>1.5</v>
      </c>
      <c r="G30" s="3209" t="s">
        <v>3039</v>
      </c>
      <c r="H30" s="3209" t="s">
        <v>3271</v>
      </c>
      <c r="I30" s="3209">
        <v>2496.75</v>
      </c>
      <c r="J30" s="3209">
        <v>2496.75</v>
      </c>
      <c r="K30" s="3209">
        <v>258</v>
      </c>
      <c r="M30" s="3209">
        <v>0</v>
      </c>
      <c r="N30" s="3209" t="s">
        <v>3262</v>
      </c>
    </row>
    <row r="31" spans="1:14" hidden="1">
      <c r="A31" s="3209" t="s">
        <v>3272</v>
      </c>
      <c r="B31" s="3209" t="s">
        <v>2978</v>
      </c>
      <c r="C31" s="3209" t="s">
        <v>3216</v>
      </c>
      <c r="D31" s="3209">
        <v>12000.02</v>
      </c>
      <c r="E31" s="3209">
        <v>18000.03</v>
      </c>
      <c r="F31" s="3209">
        <f t="shared" si="0"/>
        <v>1.5</v>
      </c>
      <c r="G31" s="3209" t="s">
        <v>3039</v>
      </c>
      <c r="H31" s="3209" t="s">
        <v>3273</v>
      </c>
      <c r="I31" s="3209">
        <v>318</v>
      </c>
      <c r="J31" s="3209">
        <v>318</v>
      </c>
      <c r="K31" s="3209">
        <v>176.66</v>
      </c>
      <c r="M31" s="3209">
        <v>0</v>
      </c>
      <c r="N31" s="3209" t="s">
        <v>3274</v>
      </c>
    </row>
    <row r="32" spans="1:14" hidden="1">
      <c r="A32" s="3209" t="s">
        <v>3275</v>
      </c>
      <c r="B32" s="3209" t="s">
        <v>2978</v>
      </c>
      <c r="C32" s="3209" t="s">
        <v>3216</v>
      </c>
      <c r="D32" s="3209">
        <v>15734.72</v>
      </c>
      <c r="E32" s="3209">
        <v>23602.080000000002</v>
      </c>
      <c r="F32" s="3209">
        <f t="shared" si="0"/>
        <v>1.5</v>
      </c>
      <c r="G32" s="3209" t="s">
        <v>3039</v>
      </c>
      <c r="H32" s="3209" t="s">
        <v>3273</v>
      </c>
      <c r="I32" s="3209">
        <v>412.25</v>
      </c>
      <c r="J32" s="3209">
        <v>412.25</v>
      </c>
      <c r="K32" s="3209">
        <v>174.66</v>
      </c>
      <c r="M32" s="3209">
        <v>0</v>
      </c>
      <c r="N32" s="3209" t="s">
        <v>3276</v>
      </c>
    </row>
    <row r="33" spans="1:14" hidden="1">
      <c r="A33" s="3209" t="s">
        <v>3277</v>
      </c>
      <c r="B33" s="3209" t="s">
        <v>2978</v>
      </c>
      <c r="C33" s="3209" t="s">
        <v>3216</v>
      </c>
      <c r="D33" s="3209">
        <v>22773.51</v>
      </c>
      <c r="E33" s="3209">
        <v>34160.269999999997</v>
      </c>
      <c r="F33" s="3209">
        <f t="shared" si="0"/>
        <v>1.5</v>
      </c>
      <c r="G33" s="3209" t="s">
        <v>3039</v>
      </c>
      <c r="H33" s="3209" t="s">
        <v>3273</v>
      </c>
      <c r="I33" s="3209">
        <v>583</v>
      </c>
      <c r="J33" s="3209">
        <v>583</v>
      </c>
      <c r="K33" s="3209">
        <v>170.66</v>
      </c>
      <c r="M33" s="3209">
        <v>0</v>
      </c>
      <c r="N33" s="3209" t="s">
        <v>3278</v>
      </c>
    </row>
    <row r="34" spans="1:14" hidden="1">
      <c r="A34" s="3209" t="s">
        <v>3279</v>
      </c>
      <c r="B34" s="3209" t="s">
        <v>2978</v>
      </c>
      <c r="C34" s="3209" t="s">
        <v>3216</v>
      </c>
      <c r="D34" s="3209">
        <v>333333.3</v>
      </c>
      <c r="E34" s="3209">
        <v>500000</v>
      </c>
      <c r="F34" s="3209">
        <f t="shared" si="0"/>
        <v>1.5</v>
      </c>
      <c r="G34" s="3209" t="s">
        <v>3039</v>
      </c>
      <c r="H34" s="3209" t="s">
        <v>3280</v>
      </c>
      <c r="I34" s="3209">
        <v>8866.67</v>
      </c>
      <c r="J34" s="3209">
        <v>8866.67</v>
      </c>
      <c r="K34" s="3209">
        <v>177.33</v>
      </c>
      <c r="M34" s="3209">
        <v>0</v>
      </c>
      <c r="N34" s="3209" t="s">
        <v>3281</v>
      </c>
    </row>
    <row r="35" spans="1:14" s="3212" customFormat="1">
      <c r="A35" s="3212" t="s">
        <v>3282</v>
      </c>
      <c r="B35" s="3212" t="s">
        <v>2978</v>
      </c>
      <c r="C35" s="3212" t="s">
        <v>3216</v>
      </c>
      <c r="D35" s="3212">
        <v>32659.32</v>
      </c>
      <c r="E35" s="3212">
        <v>48988.98</v>
      </c>
      <c r="F35" s="3209">
        <f t="shared" si="0"/>
        <v>1.5</v>
      </c>
      <c r="G35" s="3212" t="s">
        <v>3039</v>
      </c>
      <c r="H35" s="3212" t="s">
        <v>3283</v>
      </c>
      <c r="I35" s="3212">
        <v>1116.95</v>
      </c>
      <c r="J35" s="3212">
        <v>1116.95</v>
      </c>
      <c r="K35" s="3212">
        <v>228</v>
      </c>
      <c r="M35" s="3212">
        <v>0</v>
      </c>
      <c r="N35" s="3212" t="s">
        <v>3284</v>
      </c>
    </row>
    <row r="36" spans="1:14">
      <c r="A36" s="3209" t="s">
        <v>3285</v>
      </c>
      <c r="B36" s="3209" t="s">
        <v>2978</v>
      </c>
      <c r="C36" s="3209" t="s">
        <v>3216</v>
      </c>
      <c r="D36" s="3209">
        <v>35051</v>
      </c>
      <c r="E36" s="3209">
        <v>63091.8</v>
      </c>
      <c r="F36" s="3209">
        <f t="shared" si="0"/>
        <v>1.8</v>
      </c>
      <c r="G36" s="3209" t="s">
        <v>3039</v>
      </c>
      <c r="H36" s="3209" t="s">
        <v>3286</v>
      </c>
      <c r="I36" s="3209">
        <v>1177.71</v>
      </c>
      <c r="J36" s="3209">
        <v>1177.71</v>
      </c>
      <c r="K36" s="3209">
        <v>186.66</v>
      </c>
      <c r="M36" s="3209">
        <v>0</v>
      </c>
      <c r="N36" s="3209" t="s">
        <v>3287</v>
      </c>
    </row>
    <row r="37" spans="1:14">
      <c r="A37" s="3209" t="s">
        <v>3288</v>
      </c>
      <c r="B37" s="3209" t="s">
        <v>2978</v>
      </c>
      <c r="C37" s="3209" t="s">
        <v>3216</v>
      </c>
      <c r="D37" s="3209">
        <v>12781.12</v>
      </c>
      <c r="E37" s="3209">
        <v>23006.02</v>
      </c>
      <c r="F37" s="3209">
        <f t="shared" si="0"/>
        <v>1.8</v>
      </c>
      <c r="G37" s="3209" t="s">
        <v>3039</v>
      </c>
      <c r="H37" s="3209" t="s">
        <v>3286</v>
      </c>
      <c r="I37" s="3209">
        <v>613.49</v>
      </c>
      <c r="J37" s="3209">
        <v>613.49</v>
      </c>
      <c r="K37" s="3209">
        <v>266.66000000000003</v>
      </c>
      <c r="M37" s="3209">
        <v>0</v>
      </c>
      <c r="N37" s="3209" t="s">
        <v>3290</v>
      </c>
    </row>
    <row r="38" spans="1:14" s="3211" customFormat="1">
      <c r="A38" s="3216" t="s">
        <v>3415</v>
      </c>
      <c r="B38" s="3211" t="s">
        <v>2978</v>
      </c>
      <c r="C38" s="3211" t="s">
        <v>3216</v>
      </c>
      <c r="D38" s="3211">
        <v>29876.44</v>
      </c>
      <c r="E38" s="3211">
        <v>59752.88</v>
      </c>
      <c r="F38" s="3209">
        <f t="shared" si="0"/>
        <v>2</v>
      </c>
      <c r="G38" s="3211" t="s">
        <v>3039</v>
      </c>
      <c r="H38" s="3211" t="s">
        <v>3292</v>
      </c>
      <c r="I38" s="3211">
        <v>1003.85</v>
      </c>
      <c r="J38" s="3211">
        <v>1003.85</v>
      </c>
      <c r="K38" s="3211">
        <v>168</v>
      </c>
      <c r="L38" s="3211">
        <f>ROUND(J38/D38*10000,0)</f>
        <v>336</v>
      </c>
      <c r="M38" s="3211">
        <v>0</v>
      </c>
      <c r="N38" s="3211" t="s">
        <v>3293</v>
      </c>
    </row>
    <row r="39" spans="1:14">
      <c r="A39" s="3209" t="s">
        <v>3294</v>
      </c>
      <c r="B39" s="3209" t="s">
        <v>2978</v>
      </c>
      <c r="C39" s="3209" t="s">
        <v>3216</v>
      </c>
      <c r="D39" s="3209">
        <v>69397.36</v>
      </c>
      <c r="E39" s="3209">
        <v>124915.3</v>
      </c>
      <c r="F39" s="3209">
        <f t="shared" si="0"/>
        <v>1.8</v>
      </c>
      <c r="G39" s="3209" t="s">
        <v>3039</v>
      </c>
      <c r="H39" s="3209" t="s">
        <v>3295</v>
      </c>
      <c r="I39" s="3209">
        <v>2331.75</v>
      </c>
      <c r="J39" s="3209">
        <v>2331.75</v>
      </c>
      <c r="K39" s="3209">
        <v>186.66</v>
      </c>
      <c r="M39" s="3209">
        <v>0</v>
      </c>
      <c r="N39" s="3209" t="s">
        <v>3296</v>
      </c>
    </row>
    <row r="40" spans="1:14">
      <c r="A40" s="3209" t="s">
        <v>3297</v>
      </c>
      <c r="B40" s="3209" t="s">
        <v>2978</v>
      </c>
      <c r="C40" s="3209" t="s">
        <v>3216</v>
      </c>
      <c r="D40" s="3209">
        <v>2654.96</v>
      </c>
      <c r="E40" s="3209">
        <v>5309.92</v>
      </c>
      <c r="F40" s="3209">
        <f t="shared" si="0"/>
        <v>2</v>
      </c>
      <c r="G40" s="3209" t="s">
        <v>3039</v>
      </c>
      <c r="H40" s="3209" t="s">
        <v>3298</v>
      </c>
      <c r="I40" s="3209">
        <v>89.2</v>
      </c>
      <c r="J40" s="3209">
        <v>89.2</v>
      </c>
      <c r="K40" s="3209">
        <v>168</v>
      </c>
      <c r="M40" s="3209">
        <v>0</v>
      </c>
      <c r="N40" s="3209" t="s">
        <v>3299</v>
      </c>
    </row>
    <row r="41" spans="1:14">
      <c r="A41" s="3209" t="s">
        <v>3291</v>
      </c>
      <c r="B41" s="3209" t="s">
        <v>2978</v>
      </c>
      <c r="C41" s="3209" t="s">
        <v>3216</v>
      </c>
      <c r="D41" s="3209">
        <v>14529.17</v>
      </c>
      <c r="E41" s="3209">
        <v>29058.34</v>
      </c>
      <c r="F41" s="3209">
        <f t="shared" si="0"/>
        <v>2</v>
      </c>
      <c r="G41" s="3209" t="s">
        <v>3039</v>
      </c>
      <c r="H41" s="3209" t="s">
        <v>3298</v>
      </c>
      <c r="I41" s="3209">
        <v>697.39</v>
      </c>
      <c r="J41" s="3209">
        <v>697.39</v>
      </c>
      <c r="K41" s="3209">
        <v>240</v>
      </c>
      <c r="M41" s="3209">
        <v>0</v>
      </c>
      <c r="N41" s="3209" t="s">
        <v>3300</v>
      </c>
    </row>
    <row r="42" spans="1:14">
      <c r="A42" s="3209" t="s">
        <v>3301</v>
      </c>
      <c r="B42" s="3209" t="s">
        <v>2978</v>
      </c>
      <c r="C42" s="3209" t="s">
        <v>3216</v>
      </c>
      <c r="D42" s="3209">
        <v>157380.9</v>
      </c>
      <c r="E42" s="3209">
        <v>314761.8</v>
      </c>
      <c r="F42" s="3209">
        <f t="shared" si="0"/>
        <v>2</v>
      </c>
      <c r="G42" s="3209" t="s">
        <v>3039</v>
      </c>
      <c r="H42" s="3209" t="s">
        <v>3220</v>
      </c>
      <c r="I42" s="3209">
        <v>5288</v>
      </c>
      <c r="J42" s="3209">
        <v>5288</v>
      </c>
      <c r="K42" s="3209">
        <v>168</v>
      </c>
      <c r="M42" s="3209">
        <v>0</v>
      </c>
      <c r="N42" s="3209" t="s">
        <v>3303</v>
      </c>
    </row>
    <row r="43" spans="1:14" s="3211" customFormat="1">
      <c r="A43" s="3216" t="s">
        <v>3416</v>
      </c>
      <c r="B43" s="3211" t="s">
        <v>2978</v>
      </c>
      <c r="C43" s="3211" t="s">
        <v>3216</v>
      </c>
      <c r="D43" s="3211">
        <v>48368.800000000003</v>
      </c>
      <c r="E43" s="3211">
        <v>96737.600000000006</v>
      </c>
      <c r="F43" s="3209">
        <f t="shared" si="0"/>
        <v>2</v>
      </c>
      <c r="G43" s="3211" t="s">
        <v>3039</v>
      </c>
      <c r="H43" s="3211" t="s">
        <v>3220</v>
      </c>
      <c r="I43" s="3211">
        <v>1741.27</v>
      </c>
      <c r="J43" s="3211">
        <v>1741.27</v>
      </c>
      <c r="K43" s="3211">
        <v>180</v>
      </c>
      <c r="L43" s="3211">
        <f>ROUND(J43/D43*10000,0)</f>
        <v>360</v>
      </c>
      <c r="M43" s="3211">
        <v>0</v>
      </c>
      <c r="N43" s="3211" t="s">
        <v>3304</v>
      </c>
    </row>
    <row r="44" spans="1:14" hidden="1">
      <c r="A44" s="3209" t="s">
        <v>3305</v>
      </c>
      <c r="B44" s="3209" t="s">
        <v>2978</v>
      </c>
      <c r="C44" s="3209" t="s">
        <v>3216</v>
      </c>
      <c r="D44" s="3209">
        <v>13403.04</v>
      </c>
      <c r="E44" s="3209">
        <v>26806.080000000002</v>
      </c>
      <c r="F44" s="3209" t="s">
        <v>3306</v>
      </c>
      <c r="G44" s="3209" t="s">
        <v>3039</v>
      </c>
      <c r="H44" s="3209" t="s">
        <v>3220</v>
      </c>
      <c r="I44" s="3209">
        <v>687.58</v>
      </c>
      <c r="J44" s="3209">
        <v>687.58</v>
      </c>
      <c r="K44" s="3209">
        <v>256.5</v>
      </c>
      <c r="M44" s="3209">
        <v>0</v>
      </c>
      <c r="N44" s="3209" t="s">
        <v>3307</v>
      </c>
    </row>
    <row r="45" spans="1:14" hidden="1">
      <c r="A45" s="3209" t="s">
        <v>3308</v>
      </c>
      <c r="B45" s="3209" t="s">
        <v>2978</v>
      </c>
      <c r="C45" s="3209" t="s">
        <v>3216</v>
      </c>
      <c r="D45" s="3209">
        <v>67781.320000000007</v>
      </c>
      <c r="E45" s="3209">
        <v>122006.39999999999</v>
      </c>
      <c r="F45" s="3209" t="s">
        <v>3289</v>
      </c>
      <c r="G45" s="3209" t="s">
        <v>3039</v>
      </c>
      <c r="H45" s="3209" t="s">
        <v>3220</v>
      </c>
      <c r="I45" s="3209">
        <v>3253.5</v>
      </c>
      <c r="J45" s="3209">
        <v>3253.5</v>
      </c>
      <c r="K45" s="3209">
        <v>266.67</v>
      </c>
      <c r="M45" s="3209">
        <v>0</v>
      </c>
      <c r="N45" s="3209" t="s">
        <v>3309</v>
      </c>
    </row>
    <row r="46" spans="1:14" hidden="1">
      <c r="A46" s="3209" t="s">
        <v>3310</v>
      </c>
      <c r="B46" s="3209" t="s">
        <v>2978</v>
      </c>
      <c r="C46" s="3209" t="s">
        <v>3216</v>
      </c>
      <c r="D46" s="3209">
        <v>18729.759999999998</v>
      </c>
      <c r="E46" s="3209">
        <v>37459.519999999997</v>
      </c>
      <c r="F46" s="3209" t="s">
        <v>3219</v>
      </c>
      <c r="G46" s="3209" t="s">
        <v>3039</v>
      </c>
      <c r="H46" s="3209" t="s">
        <v>3311</v>
      </c>
      <c r="I46" s="3209">
        <v>634.94000000000005</v>
      </c>
      <c r="J46" s="3209">
        <v>634.94000000000005</v>
      </c>
      <c r="K46" s="3209">
        <v>169.5</v>
      </c>
      <c r="M46" s="3209">
        <v>0</v>
      </c>
      <c r="N46" s="3209" t="s">
        <v>3312</v>
      </c>
    </row>
    <row r="47" spans="1:14" hidden="1">
      <c r="A47" s="3209" t="s">
        <v>3313</v>
      </c>
      <c r="B47" s="3209" t="s">
        <v>2978</v>
      </c>
      <c r="C47" s="3209" t="s">
        <v>3216</v>
      </c>
      <c r="D47" s="3209">
        <v>19756.400000000001</v>
      </c>
      <c r="E47" s="3209">
        <v>31610.240000000002</v>
      </c>
      <c r="F47" s="3209" t="s">
        <v>3314</v>
      </c>
      <c r="G47" s="3209" t="s">
        <v>3039</v>
      </c>
      <c r="H47" s="3209" t="s">
        <v>3311</v>
      </c>
      <c r="I47" s="3209">
        <v>675.66</v>
      </c>
      <c r="J47" s="3209">
        <v>675.66</v>
      </c>
      <c r="K47" s="3209">
        <v>213.75</v>
      </c>
      <c r="M47" s="3209">
        <v>0</v>
      </c>
      <c r="N47" s="3209" t="s">
        <v>3315</v>
      </c>
    </row>
    <row r="48" spans="1:14" hidden="1">
      <c r="A48" s="3209" t="s">
        <v>3316</v>
      </c>
      <c r="B48" s="3209" t="s">
        <v>2978</v>
      </c>
      <c r="C48" s="3209" t="s">
        <v>3216</v>
      </c>
      <c r="D48" s="3209">
        <v>19604.490000000002</v>
      </c>
      <c r="E48" s="3209">
        <v>29406.74</v>
      </c>
      <c r="F48" s="3209" t="s">
        <v>3317</v>
      </c>
      <c r="G48" s="3209" t="s">
        <v>3039</v>
      </c>
      <c r="H48" s="3209" t="s">
        <v>3311</v>
      </c>
      <c r="I48" s="3209">
        <v>670.47</v>
      </c>
      <c r="J48" s="3209">
        <v>803.77</v>
      </c>
      <c r="K48" s="3209">
        <v>273.32</v>
      </c>
      <c r="M48" s="3209">
        <v>19.88</v>
      </c>
      <c r="N48" s="3209" t="s">
        <v>3318</v>
      </c>
    </row>
    <row r="49" spans="1:14" hidden="1">
      <c r="A49" s="3209" t="s">
        <v>3319</v>
      </c>
      <c r="B49" s="3209" t="s">
        <v>2978</v>
      </c>
      <c r="C49" s="3209" t="s">
        <v>3216</v>
      </c>
      <c r="D49" s="3209">
        <v>17786.48</v>
      </c>
      <c r="E49" s="3209">
        <v>32015.66</v>
      </c>
      <c r="F49" s="3209" t="s">
        <v>3320</v>
      </c>
      <c r="G49" s="3209" t="s">
        <v>3039</v>
      </c>
      <c r="H49" s="3209" t="s">
        <v>3311</v>
      </c>
      <c r="I49" s="3209">
        <v>602.96</v>
      </c>
      <c r="J49" s="3209">
        <v>602.96</v>
      </c>
      <c r="K49" s="3209">
        <v>188.33</v>
      </c>
      <c r="M49" s="3209">
        <v>0</v>
      </c>
      <c r="N49" s="3209" t="s">
        <v>3321</v>
      </c>
    </row>
    <row r="50" spans="1:14" hidden="1">
      <c r="A50" s="3209" t="s">
        <v>3322</v>
      </c>
      <c r="B50" s="3209" t="s">
        <v>2978</v>
      </c>
      <c r="C50" s="3209" t="s">
        <v>3216</v>
      </c>
      <c r="D50" s="3209">
        <v>7942.16</v>
      </c>
      <c r="E50" s="3209">
        <v>12707.46</v>
      </c>
      <c r="F50" s="3209" t="s">
        <v>3314</v>
      </c>
      <c r="G50" s="3209" t="s">
        <v>3039</v>
      </c>
      <c r="H50" s="3209" t="s">
        <v>3311</v>
      </c>
      <c r="I50" s="3209">
        <v>271.62</v>
      </c>
      <c r="J50" s="3209">
        <v>271.62</v>
      </c>
      <c r="K50" s="3209">
        <v>213.75</v>
      </c>
      <c r="M50" s="3209">
        <v>0</v>
      </c>
      <c r="N50" s="3209" t="s">
        <v>3323</v>
      </c>
    </row>
    <row r="51" spans="1:14" hidden="1">
      <c r="A51" s="3209" t="s">
        <v>3324</v>
      </c>
      <c r="B51" s="3209" t="s">
        <v>2978</v>
      </c>
      <c r="C51" s="3209" t="s">
        <v>3216</v>
      </c>
      <c r="D51" s="3209">
        <v>12211.52</v>
      </c>
      <c r="E51" s="3209">
        <v>19538.43</v>
      </c>
      <c r="F51" s="3209" t="s">
        <v>3314</v>
      </c>
      <c r="G51" s="3209" t="s">
        <v>3039</v>
      </c>
      <c r="H51" s="3209" t="s">
        <v>3311</v>
      </c>
      <c r="I51" s="3209">
        <v>417.62</v>
      </c>
      <c r="J51" s="3209">
        <v>417.62</v>
      </c>
      <c r="K51" s="3209">
        <v>213.75</v>
      </c>
      <c r="M51" s="3209">
        <v>0</v>
      </c>
      <c r="N51" s="3209" t="s">
        <v>3325</v>
      </c>
    </row>
    <row r="52" spans="1:14" hidden="1">
      <c r="A52" s="3209" t="s">
        <v>3326</v>
      </c>
      <c r="B52" s="3209" t="s">
        <v>2978</v>
      </c>
      <c r="C52" s="3209" t="s">
        <v>3216</v>
      </c>
      <c r="D52" s="3209">
        <v>10225.629999999999</v>
      </c>
      <c r="E52" s="3209">
        <v>18406.13</v>
      </c>
      <c r="F52" s="3209" t="s">
        <v>3320</v>
      </c>
      <c r="G52" s="3209" t="s">
        <v>3039</v>
      </c>
      <c r="H52" s="3209" t="s">
        <v>3311</v>
      </c>
      <c r="I52" s="3209">
        <v>346.64</v>
      </c>
      <c r="J52" s="3209">
        <v>346.64</v>
      </c>
      <c r="K52" s="3209">
        <v>188.33</v>
      </c>
      <c r="M52" s="3209">
        <v>0</v>
      </c>
      <c r="N52" s="3209" t="s">
        <v>3327</v>
      </c>
    </row>
    <row r="53" spans="1:14" hidden="1">
      <c r="A53" s="3209" t="s">
        <v>3328</v>
      </c>
      <c r="B53" s="3209" t="s">
        <v>2978</v>
      </c>
      <c r="C53" s="3209" t="s">
        <v>3216</v>
      </c>
      <c r="D53" s="3209">
        <v>14941.02</v>
      </c>
      <c r="E53" s="3209">
        <v>22411.53</v>
      </c>
      <c r="F53" s="3209" t="s">
        <v>3227</v>
      </c>
      <c r="G53" s="3209" t="s">
        <v>3039</v>
      </c>
      <c r="H53" s="3209" t="s">
        <v>3311</v>
      </c>
      <c r="I53" s="3209">
        <v>510.98</v>
      </c>
      <c r="J53" s="3209">
        <v>510.98</v>
      </c>
      <c r="K53" s="3209">
        <v>228</v>
      </c>
      <c r="M53" s="3209">
        <v>0</v>
      </c>
      <c r="N53" s="3209" t="s">
        <v>3329</v>
      </c>
    </row>
    <row r="54" spans="1:14" hidden="1">
      <c r="A54" s="3209" t="s">
        <v>3322</v>
      </c>
      <c r="B54" s="3209" t="s">
        <v>2978</v>
      </c>
      <c r="C54" s="3209" t="s">
        <v>3216</v>
      </c>
      <c r="D54" s="3209">
        <v>16721.59</v>
      </c>
      <c r="E54" s="3209">
        <v>26754.54</v>
      </c>
      <c r="F54" s="3209" t="s">
        <v>3330</v>
      </c>
      <c r="G54" s="3209" t="s">
        <v>3039</v>
      </c>
      <c r="H54" s="3209" t="s">
        <v>3311</v>
      </c>
      <c r="I54" s="3209">
        <v>571.87</v>
      </c>
      <c r="J54" s="3209">
        <v>571.87</v>
      </c>
      <c r="K54" s="3209">
        <v>213.75</v>
      </c>
      <c r="M54" s="3209">
        <v>0</v>
      </c>
      <c r="N54" s="3209" t="s">
        <v>3331</v>
      </c>
    </row>
    <row r="55" spans="1:14" hidden="1">
      <c r="A55" s="3209" t="s">
        <v>3332</v>
      </c>
      <c r="B55" s="3209" t="s">
        <v>2978</v>
      </c>
      <c r="C55" s="3209" t="s">
        <v>3216</v>
      </c>
      <c r="D55" s="3209">
        <v>13792.99</v>
      </c>
      <c r="E55" s="3209">
        <v>22068.78</v>
      </c>
      <c r="F55" s="3209" t="s">
        <v>3314</v>
      </c>
      <c r="G55" s="3209" t="s">
        <v>3039</v>
      </c>
      <c r="H55" s="3209" t="s">
        <v>3311</v>
      </c>
      <c r="I55" s="3209">
        <v>471.72</v>
      </c>
      <c r="J55" s="3209">
        <v>471.72</v>
      </c>
      <c r="K55" s="3209">
        <v>213.75</v>
      </c>
      <c r="M55" s="3209">
        <v>0</v>
      </c>
      <c r="N55" s="3209" t="s">
        <v>3333</v>
      </c>
    </row>
    <row r="56" spans="1:14" hidden="1">
      <c r="A56" s="3209" t="s">
        <v>3334</v>
      </c>
      <c r="B56" s="3209" t="s">
        <v>2978</v>
      </c>
      <c r="C56" s="3209" t="s">
        <v>3216</v>
      </c>
      <c r="D56" s="3209">
        <v>4440.68</v>
      </c>
      <c r="E56" s="3209">
        <v>7993.22</v>
      </c>
      <c r="F56" s="3209" t="s">
        <v>3320</v>
      </c>
      <c r="G56" s="3209" t="s">
        <v>3039</v>
      </c>
      <c r="H56" s="3209" t="s">
        <v>3311</v>
      </c>
      <c r="I56" s="3209">
        <v>150.53</v>
      </c>
      <c r="J56" s="3209">
        <v>150.53</v>
      </c>
      <c r="K56" s="3209">
        <v>188.33</v>
      </c>
      <c r="M56" s="3209">
        <v>0</v>
      </c>
      <c r="N56" s="3209" t="s">
        <v>3335</v>
      </c>
    </row>
    <row r="57" spans="1:14" hidden="1">
      <c r="A57" s="3209" t="s">
        <v>3336</v>
      </c>
      <c r="B57" s="3209" t="s">
        <v>2978</v>
      </c>
      <c r="C57" s="3209" t="s">
        <v>3216</v>
      </c>
      <c r="D57" s="3209">
        <v>60608.71</v>
      </c>
      <c r="E57" s="3209">
        <v>90913.07</v>
      </c>
      <c r="F57" s="3209" t="s">
        <v>3227</v>
      </c>
      <c r="G57" s="3209" t="s">
        <v>3039</v>
      </c>
      <c r="H57" s="3209" t="s">
        <v>3337</v>
      </c>
      <c r="I57" s="3209">
        <v>2072.8200000000002</v>
      </c>
      <c r="J57" s="3209">
        <v>2072.8200000000002</v>
      </c>
      <c r="K57" s="3209">
        <v>228</v>
      </c>
      <c r="M57" s="3209">
        <v>0</v>
      </c>
      <c r="N57" s="3209" t="s">
        <v>3338</v>
      </c>
    </row>
    <row r="58" spans="1:14" hidden="1">
      <c r="A58" s="3209" t="s">
        <v>3339</v>
      </c>
      <c r="B58" s="3209" t="s">
        <v>2978</v>
      </c>
      <c r="C58" s="3209" t="s">
        <v>3216</v>
      </c>
      <c r="D58" s="3209">
        <v>30007.47</v>
      </c>
      <c r="E58" s="3209">
        <v>45011.21</v>
      </c>
      <c r="F58" s="3209" t="s">
        <v>3227</v>
      </c>
      <c r="G58" s="3209" t="s">
        <v>3039</v>
      </c>
      <c r="H58" s="3209" t="s">
        <v>3337</v>
      </c>
      <c r="I58" s="3209">
        <v>1026.25</v>
      </c>
      <c r="J58" s="3209">
        <v>1026.25</v>
      </c>
      <c r="K58" s="3209">
        <v>228</v>
      </c>
      <c r="M58" s="3209">
        <v>0</v>
      </c>
      <c r="N58" s="3209" t="s">
        <v>3340</v>
      </c>
    </row>
    <row r="59" spans="1:14" hidden="1">
      <c r="A59" s="3209" t="s">
        <v>3341</v>
      </c>
      <c r="B59" s="3209" t="s">
        <v>2978</v>
      </c>
      <c r="C59" s="3209" t="s">
        <v>3216</v>
      </c>
      <c r="D59" s="3209">
        <v>23555.34</v>
      </c>
      <c r="E59" s="3209">
        <v>35333.01</v>
      </c>
      <c r="F59" s="3209" t="s">
        <v>3227</v>
      </c>
      <c r="G59" s="3209" t="s">
        <v>3039</v>
      </c>
      <c r="H59" s="3209" t="s">
        <v>3337</v>
      </c>
      <c r="I59" s="3209">
        <v>805.59</v>
      </c>
      <c r="J59" s="3209">
        <v>805.59</v>
      </c>
      <c r="K59" s="3209">
        <v>228</v>
      </c>
      <c r="M59" s="3209">
        <v>0</v>
      </c>
      <c r="N59" s="3209" t="s">
        <v>3342</v>
      </c>
    </row>
    <row r="60" spans="1:14" hidden="1">
      <c r="A60" s="3209" t="s">
        <v>3343</v>
      </c>
      <c r="B60" s="3209" t="s">
        <v>2978</v>
      </c>
      <c r="C60" s="3209" t="s">
        <v>3216</v>
      </c>
      <c r="D60" s="3209">
        <v>29820.77</v>
      </c>
      <c r="E60" s="3209">
        <v>53677.39</v>
      </c>
      <c r="F60" s="3209" t="s">
        <v>3320</v>
      </c>
      <c r="G60" s="3209" t="s">
        <v>3039</v>
      </c>
      <c r="H60" s="3209" t="s">
        <v>3337</v>
      </c>
      <c r="I60" s="3209">
        <v>1019.87</v>
      </c>
      <c r="J60" s="3209">
        <v>1019.87</v>
      </c>
      <c r="K60" s="3209">
        <v>190</v>
      </c>
      <c r="M60" s="3209">
        <v>0</v>
      </c>
      <c r="N60" s="3209" t="s">
        <v>3344</v>
      </c>
    </row>
    <row r="61" spans="1:14" hidden="1">
      <c r="A61" s="3209" t="s">
        <v>3345</v>
      </c>
      <c r="B61" s="3209" t="s">
        <v>2978</v>
      </c>
      <c r="C61" s="3209" t="s">
        <v>3216</v>
      </c>
      <c r="D61" s="3209">
        <v>15674.09</v>
      </c>
      <c r="E61" s="3209">
        <v>28213.360000000001</v>
      </c>
      <c r="F61" s="3209" t="s">
        <v>3320</v>
      </c>
      <c r="G61" s="3209" t="s">
        <v>3039</v>
      </c>
      <c r="H61" s="3209" t="s">
        <v>3337</v>
      </c>
      <c r="I61" s="3209">
        <v>536.04</v>
      </c>
      <c r="J61" s="3209">
        <v>536.04</v>
      </c>
      <c r="K61" s="3209">
        <v>190</v>
      </c>
      <c r="M61" s="3209">
        <v>0</v>
      </c>
      <c r="N61" s="3209" t="s">
        <v>3346</v>
      </c>
    </row>
    <row r="62" spans="1:14" hidden="1">
      <c r="A62" s="3209" t="s">
        <v>3347</v>
      </c>
      <c r="B62" s="3209" t="s">
        <v>2978</v>
      </c>
      <c r="C62" s="3209" t="s">
        <v>3216</v>
      </c>
      <c r="D62" s="3209">
        <v>9839.18</v>
      </c>
      <c r="E62" s="3209">
        <v>14758.77</v>
      </c>
      <c r="F62" s="3209" t="s">
        <v>3227</v>
      </c>
      <c r="G62" s="3209" t="s">
        <v>3039</v>
      </c>
      <c r="H62" s="3209" t="s">
        <v>3337</v>
      </c>
      <c r="I62" s="3209">
        <v>336.5</v>
      </c>
      <c r="J62" s="3209">
        <v>336.5</v>
      </c>
      <c r="K62" s="3209">
        <v>228</v>
      </c>
      <c r="M62" s="3209">
        <v>0</v>
      </c>
      <c r="N62" s="3209" t="s">
        <v>3348</v>
      </c>
    </row>
    <row r="63" spans="1:14" hidden="1">
      <c r="A63" s="3209" t="s">
        <v>3349</v>
      </c>
      <c r="B63" s="3209" t="s">
        <v>2978</v>
      </c>
      <c r="C63" s="3209" t="s">
        <v>3216</v>
      </c>
      <c r="D63" s="3209">
        <v>13235.02</v>
      </c>
      <c r="E63" s="3209">
        <v>19852.53</v>
      </c>
      <c r="F63" s="3209" t="s">
        <v>3227</v>
      </c>
      <c r="G63" s="3209" t="s">
        <v>3039</v>
      </c>
      <c r="H63" s="3209" t="s">
        <v>3337</v>
      </c>
      <c r="I63" s="3209">
        <v>452.63</v>
      </c>
      <c r="J63" s="3209">
        <v>452.63</v>
      </c>
      <c r="K63" s="3209">
        <v>228</v>
      </c>
      <c r="M63" s="3209">
        <v>0</v>
      </c>
      <c r="N63" s="3209" t="s">
        <v>3350</v>
      </c>
    </row>
    <row r="64" spans="1:14" hidden="1">
      <c r="A64" s="3209" t="s">
        <v>3351</v>
      </c>
      <c r="B64" s="3209" t="s">
        <v>2978</v>
      </c>
      <c r="C64" s="3209" t="s">
        <v>3216</v>
      </c>
      <c r="D64" s="3209">
        <v>18343.86</v>
      </c>
      <c r="E64" s="3209">
        <v>27515.79</v>
      </c>
      <c r="F64" s="3209" t="s">
        <v>3227</v>
      </c>
      <c r="G64" s="3209" t="s">
        <v>3039</v>
      </c>
      <c r="H64" s="3209" t="s">
        <v>3337</v>
      </c>
      <c r="I64" s="3209">
        <v>627.36</v>
      </c>
      <c r="J64" s="3209">
        <v>627.36</v>
      </c>
      <c r="K64" s="3209">
        <v>228</v>
      </c>
      <c r="M64" s="3209">
        <v>0</v>
      </c>
      <c r="N64" s="3209" t="s">
        <v>3352</v>
      </c>
    </row>
    <row r="65" spans="1:14" hidden="1">
      <c r="A65" s="3209" t="s">
        <v>3353</v>
      </c>
      <c r="B65" s="3209" t="s">
        <v>2978</v>
      </c>
      <c r="C65" s="3209" t="s">
        <v>3216</v>
      </c>
      <c r="D65" s="3209">
        <v>55264.800000000003</v>
      </c>
      <c r="E65" s="3209">
        <v>82897.2</v>
      </c>
      <c r="F65" s="3209" t="s">
        <v>3227</v>
      </c>
      <c r="G65" s="3209" t="s">
        <v>3039</v>
      </c>
      <c r="H65" s="3209" t="s">
        <v>3354</v>
      </c>
      <c r="I65" s="3209">
        <v>1890.05</v>
      </c>
      <c r="J65" s="3209">
        <v>1890.05</v>
      </c>
      <c r="K65" s="3209">
        <v>228</v>
      </c>
      <c r="M65" s="3209">
        <v>0</v>
      </c>
      <c r="N65" s="3209" t="s">
        <v>3355</v>
      </c>
    </row>
    <row r="66" spans="1:14" hidden="1">
      <c r="A66" s="3209" t="s">
        <v>3356</v>
      </c>
      <c r="B66" s="3209" t="s">
        <v>2978</v>
      </c>
      <c r="C66" s="3209" t="s">
        <v>3216</v>
      </c>
      <c r="D66" s="3209">
        <v>199389.9</v>
      </c>
      <c r="E66" s="3209">
        <v>358901.8</v>
      </c>
      <c r="F66" s="3209" t="s">
        <v>3289</v>
      </c>
      <c r="G66" s="3209" t="s">
        <v>3039</v>
      </c>
      <c r="H66" s="3209" t="s">
        <v>3354</v>
      </c>
      <c r="I66" s="3209">
        <v>9570.7000000000007</v>
      </c>
      <c r="J66" s="3209">
        <v>9570.7000000000007</v>
      </c>
      <c r="K66" s="3209">
        <v>266.67</v>
      </c>
      <c r="M66" s="3209">
        <v>0</v>
      </c>
      <c r="N66" s="3209" t="s">
        <v>3357</v>
      </c>
    </row>
    <row r="67" spans="1:14" hidden="1">
      <c r="A67" s="3209" t="s">
        <v>3358</v>
      </c>
      <c r="B67" s="3209" t="s">
        <v>2978</v>
      </c>
      <c r="C67" s="3209" t="s">
        <v>3216</v>
      </c>
      <c r="D67" s="3209">
        <v>39947.360000000001</v>
      </c>
      <c r="E67" s="3209">
        <v>79894.720000000001</v>
      </c>
      <c r="F67" s="3209" t="s">
        <v>3219</v>
      </c>
      <c r="G67" s="3209" t="s">
        <v>3039</v>
      </c>
      <c r="H67" s="3209" t="s">
        <v>3354</v>
      </c>
      <c r="I67" s="3209">
        <v>1342.23</v>
      </c>
      <c r="J67" s="3209">
        <v>1342.23</v>
      </c>
      <c r="K67" s="3209">
        <v>168</v>
      </c>
      <c r="M67" s="3209">
        <v>0</v>
      </c>
      <c r="N67" s="3209" t="s">
        <v>3299</v>
      </c>
    </row>
    <row r="68" spans="1:14" hidden="1">
      <c r="A68" s="3209" t="s">
        <v>3359</v>
      </c>
      <c r="B68" s="3209" t="s">
        <v>2978</v>
      </c>
      <c r="C68" s="3209" t="s">
        <v>3216</v>
      </c>
      <c r="D68" s="3209">
        <v>35224.120000000003</v>
      </c>
      <c r="E68" s="3209">
        <v>63403.42</v>
      </c>
      <c r="F68" s="3209" t="s">
        <v>3320</v>
      </c>
      <c r="G68" s="3209" t="s">
        <v>3039</v>
      </c>
      <c r="H68" s="3209" t="s">
        <v>3354</v>
      </c>
      <c r="I68" s="3209">
        <v>12040.67</v>
      </c>
      <c r="J68" s="3209">
        <v>12040.67</v>
      </c>
      <c r="K68" s="3209">
        <v>1899.05</v>
      </c>
      <c r="M68" s="3209">
        <v>0</v>
      </c>
      <c r="N68" s="3209" t="s">
        <v>3360</v>
      </c>
    </row>
    <row r="69" spans="1:14" hidden="1">
      <c r="A69" s="3209" t="s">
        <v>3291</v>
      </c>
      <c r="B69" s="3209" t="s">
        <v>2978</v>
      </c>
      <c r="C69" s="3209" t="s">
        <v>3216</v>
      </c>
      <c r="D69" s="3209">
        <v>22948.95</v>
      </c>
      <c r="E69" s="3209">
        <v>45897.9</v>
      </c>
      <c r="F69" s="3209" t="s">
        <v>3219</v>
      </c>
      <c r="G69" s="3209" t="s">
        <v>3039</v>
      </c>
      <c r="H69" s="3209" t="s">
        <v>3361</v>
      </c>
      <c r="I69" s="3209">
        <v>771.08</v>
      </c>
      <c r="J69" s="3209">
        <v>771.08</v>
      </c>
      <c r="K69" s="3209">
        <v>168</v>
      </c>
      <c r="M69" s="3209">
        <v>0</v>
      </c>
      <c r="N69" s="3209" t="s">
        <v>3362</v>
      </c>
    </row>
    <row r="70" spans="1:14" hidden="1">
      <c r="A70" s="3209" t="s">
        <v>3363</v>
      </c>
      <c r="B70" s="3209" t="s">
        <v>2978</v>
      </c>
      <c r="C70" s="3209" t="s">
        <v>3216</v>
      </c>
      <c r="D70" s="3209">
        <v>38829.81</v>
      </c>
      <c r="E70" s="3209">
        <v>77659.62</v>
      </c>
      <c r="F70" s="3209" t="s">
        <v>3219</v>
      </c>
      <c r="G70" s="3209" t="s">
        <v>3039</v>
      </c>
      <c r="H70" s="3209" t="s">
        <v>3361</v>
      </c>
      <c r="I70" s="3209">
        <v>1304.68</v>
      </c>
      <c r="J70" s="3209">
        <v>1304.68</v>
      </c>
      <c r="K70" s="3209">
        <v>168</v>
      </c>
      <c r="M70" s="3209">
        <v>0</v>
      </c>
      <c r="N70" s="3209" t="s">
        <v>3364</v>
      </c>
    </row>
    <row r="71" spans="1:14" hidden="1">
      <c r="A71" s="3209" t="s">
        <v>3365</v>
      </c>
      <c r="B71" s="3209" t="s">
        <v>2978</v>
      </c>
      <c r="C71" s="3209" t="s">
        <v>3216</v>
      </c>
      <c r="D71" s="3209">
        <v>266666.90000000002</v>
      </c>
      <c r="E71" s="3209">
        <v>533333.9</v>
      </c>
      <c r="F71" s="3209" t="s">
        <v>3302</v>
      </c>
      <c r="G71" s="3209" t="s">
        <v>3039</v>
      </c>
      <c r="H71" s="3209" t="s">
        <v>3361</v>
      </c>
      <c r="I71" s="3209">
        <v>8960.01</v>
      </c>
      <c r="J71" s="3209">
        <v>8960.01</v>
      </c>
      <c r="K71" s="3209">
        <v>168</v>
      </c>
      <c r="M71" s="3209">
        <v>0</v>
      </c>
      <c r="N71" s="3209" t="s">
        <v>3366</v>
      </c>
    </row>
    <row r="72" spans="1:14" hidden="1">
      <c r="A72" s="3209" t="s">
        <v>3367</v>
      </c>
      <c r="B72" s="3209" t="s">
        <v>2978</v>
      </c>
      <c r="C72" s="3209" t="s">
        <v>3216</v>
      </c>
      <c r="D72" s="3209">
        <v>25031.11</v>
      </c>
      <c r="E72" s="3209">
        <v>50062.22</v>
      </c>
      <c r="F72" s="3209" t="s">
        <v>3368</v>
      </c>
      <c r="G72" s="3209" t="s">
        <v>3039</v>
      </c>
      <c r="H72" s="3209" t="s">
        <v>3361</v>
      </c>
      <c r="I72" s="3209">
        <v>901.12</v>
      </c>
      <c r="J72" s="3209">
        <v>901.12</v>
      </c>
      <c r="K72" s="3209">
        <v>180</v>
      </c>
      <c r="M72" s="3209">
        <v>0</v>
      </c>
      <c r="N72" s="3209" t="s">
        <v>3369</v>
      </c>
    </row>
    <row r="73" spans="1:14" hidden="1">
      <c r="A73" s="3209" t="s">
        <v>3370</v>
      </c>
      <c r="B73" s="3209" t="s">
        <v>2978</v>
      </c>
      <c r="C73" s="3209" t="s">
        <v>3216</v>
      </c>
      <c r="D73" s="3209">
        <v>60030.36</v>
      </c>
      <c r="E73" s="3209">
        <v>108054.6</v>
      </c>
      <c r="F73" s="3209" t="s">
        <v>3320</v>
      </c>
      <c r="G73" s="3209" t="s">
        <v>3039</v>
      </c>
      <c r="H73" s="3209" t="s">
        <v>3371</v>
      </c>
      <c r="I73" s="3209">
        <v>2053.0300000000002</v>
      </c>
      <c r="J73" s="3209">
        <v>2053.0300000000002</v>
      </c>
      <c r="K73" s="3209">
        <v>190</v>
      </c>
      <c r="M73" s="3209">
        <v>0</v>
      </c>
      <c r="N73" s="3209" t="s">
        <v>3372</v>
      </c>
    </row>
    <row r="74" spans="1:14" hidden="1">
      <c r="A74" s="3209" t="s">
        <v>3373</v>
      </c>
      <c r="B74" s="3209" t="s">
        <v>2978</v>
      </c>
      <c r="C74" s="3209" t="s">
        <v>3216</v>
      </c>
      <c r="D74" s="3209">
        <v>27227.8</v>
      </c>
      <c r="E74" s="3209">
        <v>49010.04</v>
      </c>
      <c r="F74" s="3209" t="s">
        <v>3320</v>
      </c>
      <c r="G74" s="3209" t="s">
        <v>3039</v>
      </c>
      <c r="H74" s="3209" t="s">
        <v>3371</v>
      </c>
      <c r="I74" s="3209">
        <v>923.01</v>
      </c>
      <c r="J74" s="3209">
        <v>923.01</v>
      </c>
      <c r="K74" s="3209">
        <v>188.33</v>
      </c>
      <c r="M74" s="3209">
        <v>0</v>
      </c>
      <c r="N74" s="3209" t="s">
        <v>3374</v>
      </c>
    </row>
    <row r="75" spans="1:14" hidden="1">
      <c r="A75" s="3209" t="s">
        <v>3375</v>
      </c>
      <c r="B75" s="3209" t="s">
        <v>2978</v>
      </c>
      <c r="C75" s="3209" t="s">
        <v>3216</v>
      </c>
      <c r="D75" s="3209">
        <v>28591.97</v>
      </c>
      <c r="E75" s="3209">
        <v>51465.55</v>
      </c>
      <c r="F75" s="3209" t="s">
        <v>3376</v>
      </c>
      <c r="G75" s="3209" t="s">
        <v>3039</v>
      </c>
      <c r="H75" s="3209" t="s">
        <v>3377</v>
      </c>
      <c r="I75" s="3209">
        <v>960.69</v>
      </c>
      <c r="J75" s="3209">
        <v>960.69</v>
      </c>
      <c r="K75" s="3209">
        <v>186.66</v>
      </c>
      <c r="M75" s="3209">
        <v>0</v>
      </c>
      <c r="N75" s="3209" t="s">
        <v>3378</v>
      </c>
    </row>
    <row r="76" spans="1:14" hidden="1">
      <c r="A76" s="3209" t="s">
        <v>3379</v>
      </c>
      <c r="B76" s="3209" t="s">
        <v>2978</v>
      </c>
      <c r="C76" s="3209" t="s">
        <v>3216</v>
      </c>
      <c r="D76" s="3209">
        <v>16527.2</v>
      </c>
      <c r="E76" s="3209">
        <v>24790.799999999999</v>
      </c>
      <c r="F76" s="3209" t="s">
        <v>3227</v>
      </c>
      <c r="G76" s="3209" t="s">
        <v>3039</v>
      </c>
      <c r="H76" s="3209" t="s">
        <v>3380</v>
      </c>
      <c r="I76" s="3209">
        <v>565.23</v>
      </c>
      <c r="J76" s="3209">
        <v>565.23</v>
      </c>
      <c r="K76" s="3209">
        <v>228</v>
      </c>
      <c r="M76" s="3209">
        <v>0</v>
      </c>
      <c r="N76" s="3209" t="s">
        <v>3381</v>
      </c>
    </row>
    <row r="77" spans="1:14" hidden="1">
      <c r="A77" s="3209" t="s">
        <v>3382</v>
      </c>
      <c r="B77" s="3209" t="s">
        <v>2978</v>
      </c>
      <c r="C77" s="3209" t="s">
        <v>3216</v>
      </c>
      <c r="D77" s="3209">
        <v>94712.39</v>
      </c>
      <c r="E77" s="3209">
        <v>189424.8</v>
      </c>
      <c r="F77" s="3209" t="s">
        <v>3219</v>
      </c>
      <c r="G77" s="3209" t="s">
        <v>3039</v>
      </c>
      <c r="H77" s="3209" t="s">
        <v>3383</v>
      </c>
      <c r="I77" s="3209">
        <v>3210.75</v>
      </c>
      <c r="J77" s="3209">
        <v>3210.75</v>
      </c>
      <c r="K77" s="3209">
        <v>169.5</v>
      </c>
      <c r="M77" s="3209">
        <v>0</v>
      </c>
      <c r="N77" s="3209" t="s">
        <v>3384</v>
      </c>
    </row>
    <row r="78" spans="1:14" hidden="1">
      <c r="A78" s="3209" t="s">
        <v>3385</v>
      </c>
      <c r="B78" s="3209" t="s">
        <v>2978</v>
      </c>
      <c r="C78" s="3209" t="s">
        <v>3216</v>
      </c>
      <c r="D78" s="3209">
        <v>19997.830000000002</v>
      </c>
      <c r="E78" s="3209">
        <v>35996.089999999997</v>
      </c>
      <c r="F78" s="3209" t="s">
        <v>3289</v>
      </c>
      <c r="G78" s="3209" t="s">
        <v>3039</v>
      </c>
      <c r="H78" s="3209" t="s">
        <v>3386</v>
      </c>
      <c r="I78" s="3209">
        <v>959.89</v>
      </c>
      <c r="J78" s="3209">
        <v>959.89</v>
      </c>
      <c r="K78" s="3209">
        <v>266.67</v>
      </c>
      <c r="M78" s="3209">
        <v>0</v>
      </c>
      <c r="N78" s="3209" t="s">
        <v>3387</v>
      </c>
    </row>
    <row r="79" spans="1:14" hidden="1">
      <c r="A79" s="3209" t="s">
        <v>3388</v>
      </c>
      <c r="B79" s="3209" t="s">
        <v>2978</v>
      </c>
      <c r="C79" s="3209" t="s">
        <v>3216</v>
      </c>
      <c r="D79" s="3209">
        <v>220289.3</v>
      </c>
      <c r="E79" s="3209">
        <v>396520.7</v>
      </c>
      <c r="F79" s="3209" t="s">
        <v>3289</v>
      </c>
      <c r="G79" s="3209" t="s">
        <v>3039</v>
      </c>
      <c r="H79" s="3209" t="s">
        <v>3386</v>
      </c>
      <c r="I79" s="3209">
        <v>10573.88</v>
      </c>
      <c r="J79" s="3209">
        <v>10573.88</v>
      </c>
      <c r="K79" s="3209">
        <v>266.67</v>
      </c>
      <c r="M79" s="3209">
        <v>0</v>
      </c>
      <c r="N79" s="3209" t="s">
        <v>3387</v>
      </c>
    </row>
    <row r="80" spans="1:14" hidden="1">
      <c r="A80" s="3209" t="s">
        <v>3389</v>
      </c>
      <c r="B80" s="3209" t="s">
        <v>2978</v>
      </c>
      <c r="C80" s="3209" t="s">
        <v>3216</v>
      </c>
      <c r="D80" s="3209">
        <v>12794.54</v>
      </c>
      <c r="E80" s="3209">
        <v>23030.17</v>
      </c>
      <c r="F80" s="3209" t="s">
        <v>3289</v>
      </c>
      <c r="G80" s="3209" t="s">
        <v>3039</v>
      </c>
      <c r="H80" s="3209" t="s">
        <v>3386</v>
      </c>
      <c r="I80" s="3209">
        <v>614.13</v>
      </c>
      <c r="J80" s="3209">
        <v>614.13</v>
      </c>
      <c r="K80" s="3209">
        <v>266.67</v>
      </c>
      <c r="M80" s="3209">
        <v>0</v>
      </c>
      <c r="N80" s="3209" t="s">
        <v>3387</v>
      </c>
    </row>
    <row r="81" spans="1:14" hidden="1">
      <c r="A81" s="3209" t="s">
        <v>3390</v>
      </c>
      <c r="B81" s="3209" t="s">
        <v>2978</v>
      </c>
      <c r="C81" s="3209" t="s">
        <v>3216</v>
      </c>
      <c r="D81" s="3209">
        <v>7480.01</v>
      </c>
      <c r="E81" s="3209">
        <v>13464.02</v>
      </c>
      <c r="F81" s="3209" t="s">
        <v>3391</v>
      </c>
      <c r="G81" s="3209" t="s">
        <v>3039</v>
      </c>
      <c r="H81" s="3209" t="s">
        <v>3392</v>
      </c>
      <c r="I81" s="3209">
        <v>253.56</v>
      </c>
      <c r="J81" s="3209">
        <v>253.56</v>
      </c>
      <c r="K81" s="3209">
        <v>188.33</v>
      </c>
      <c r="M81" s="3209">
        <v>0</v>
      </c>
      <c r="N81" s="3209" t="s">
        <v>3393</v>
      </c>
    </row>
    <row r="82" spans="1:14" hidden="1">
      <c r="A82" s="3209" t="s">
        <v>3394</v>
      </c>
      <c r="B82" s="3209" t="s">
        <v>2978</v>
      </c>
      <c r="C82" s="3209" t="s">
        <v>3216</v>
      </c>
      <c r="D82" s="3209">
        <v>44716.68</v>
      </c>
      <c r="E82" s="3209">
        <v>80490.02</v>
      </c>
      <c r="F82" s="3209" t="s">
        <v>3289</v>
      </c>
      <c r="G82" s="3209" t="s">
        <v>3039</v>
      </c>
      <c r="H82" s="3209" t="s">
        <v>3395</v>
      </c>
      <c r="I82" s="3209">
        <v>2146.4</v>
      </c>
      <c r="J82" s="3209">
        <v>2146.4</v>
      </c>
      <c r="K82" s="3209">
        <v>266.67</v>
      </c>
      <c r="M82" s="3209">
        <v>0</v>
      </c>
      <c r="N82" s="3209" t="s">
        <v>3396</v>
      </c>
    </row>
    <row r="83" spans="1:14" hidden="1">
      <c r="A83" s="3209" t="s">
        <v>3397</v>
      </c>
      <c r="B83" s="3209" t="s">
        <v>2978</v>
      </c>
      <c r="C83" s="3209" t="s">
        <v>3216</v>
      </c>
      <c r="D83" s="3209">
        <v>35262.230000000003</v>
      </c>
      <c r="E83" s="3209">
        <v>63472.01</v>
      </c>
      <c r="F83" s="3209" t="s">
        <v>3320</v>
      </c>
      <c r="G83" s="3209" t="s">
        <v>3039</v>
      </c>
      <c r="H83" s="3209" t="s">
        <v>3398</v>
      </c>
      <c r="I83" s="3209">
        <v>1205.97</v>
      </c>
      <c r="J83" s="3209">
        <v>1205.97</v>
      </c>
      <c r="K83" s="3209">
        <v>190</v>
      </c>
      <c r="M83" s="3209">
        <v>0</v>
      </c>
      <c r="N83" s="3209" t="s">
        <v>3399</v>
      </c>
    </row>
    <row r="84" spans="1:14" hidden="1">
      <c r="A84" s="3209" t="s">
        <v>3400</v>
      </c>
      <c r="B84" s="3209" t="s">
        <v>2978</v>
      </c>
      <c r="C84" s="3209" t="s">
        <v>3216</v>
      </c>
      <c r="D84" s="3209">
        <v>29915.67</v>
      </c>
      <c r="E84" s="3209">
        <v>47865.07</v>
      </c>
      <c r="F84" s="3209" t="s">
        <v>3330</v>
      </c>
      <c r="G84" s="3209" t="s">
        <v>3039</v>
      </c>
      <c r="H84" s="3209" t="s">
        <v>3398</v>
      </c>
      <c r="I84" s="3209">
        <v>1023.12</v>
      </c>
      <c r="J84" s="3209">
        <v>1023.12</v>
      </c>
      <c r="K84" s="3209">
        <v>213.75</v>
      </c>
      <c r="M84" s="3209">
        <v>0</v>
      </c>
      <c r="N84" s="3209" t="s">
        <v>3401</v>
      </c>
    </row>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31" sqref="F3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1">
        <f>MATCH(B1,'数据-取费表'!A6:A16,0)+5</f>
        <v>7</v>
      </c>
    </row>
    <row r="2" spans="1:31" s="2040" customFormat="1" ht="18" customHeight="1">
      <c r="A2" s="2100" t="s">
        <v>467</v>
      </c>
      <c r="B2" s="2104">
        <f ca="1">C36</f>
        <v>4234</v>
      </c>
      <c r="C2" s="2103"/>
      <c r="D2" s="2103"/>
      <c r="E2" s="2103"/>
      <c r="F2" s="2103"/>
      <c r="G2" s="2103"/>
      <c r="H2" s="2103"/>
      <c r="I2" s="2103"/>
      <c r="J2" s="2103"/>
      <c r="K2" s="2103"/>
    </row>
    <row r="3" spans="1:31" s="2040" customFormat="1" ht="18" customHeight="1">
      <c r="A3" s="2105" t="s">
        <v>1685</v>
      </c>
      <c r="B3" s="2106">
        <f ca="1">ROUND(B2*10000/IF(B1="",'数据-汇总表'!E3,INDIRECT("'数据-取费表'!K"&amp;$K$1)),0)</f>
        <v>302</v>
      </c>
      <c r="C3" s="2103"/>
      <c r="D3" s="2103"/>
      <c r="E3" s="2103"/>
      <c r="F3" s="2103"/>
      <c r="G3" s="2103"/>
      <c r="H3" s="2103"/>
      <c r="I3" s="2103"/>
      <c r="J3" s="2103"/>
      <c r="K3" s="2103"/>
    </row>
    <row r="4" spans="1:31" s="2040" customFormat="1" ht="18" customHeight="1">
      <c r="A4" s="425" t="s">
        <v>468</v>
      </c>
      <c r="B4" s="426">
        <f ca="1">ROUND(B2*10000/IF(B1="",'数据-汇总表'!D3,INDIRECT("'数据-取费表'!R"&amp;$K$1)),0)</f>
        <v>269</v>
      </c>
      <c r="C4" s="427"/>
      <c r="D4" s="421"/>
      <c r="E4" s="421"/>
      <c r="F4" s="421"/>
      <c r="G4" s="421"/>
      <c r="H4" s="421"/>
      <c r="I4" s="421"/>
      <c r="J4" s="421"/>
      <c r="K4" s="421"/>
    </row>
    <row r="5" spans="1:31" s="2040" customFormat="1" ht="18" customHeight="1" thickBot="1">
      <c r="A5" s="428"/>
      <c r="B5" s="429">
        <f ca="1">ROUND(B2/(IF(B1="",'数据-汇总表'!D3,INDIRECT("'数据-取费表'!R"&amp;$K$1))/666.67),0)</f>
        <v>18</v>
      </c>
      <c r="C5" s="430" t="s">
        <v>469</v>
      </c>
      <c r="D5" s="421"/>
      <c r="E5" s="421"/>
      <c r="F5" s="421"/>
      <c r="G5" s="421"/>
      <c r="H5" s="421"/>
      <c r="I5" s="421"/>
      <c r="J5" s="421"/>
      <c r="K5" s="421"/>
    </row>
    <row r="6" spans="1:31" s="2110" customFormat="1" ht="16.5" customHeight="1">
      <c r="A6" s="2851" t="s">
        <v>1843</v>
      </c>
      <c r="B6" s="2852"/>
      <c r="C6" s="2853">
        <f ca="1">SUM(C10:K10)</f>
        <v>35314</v>
      </c>
      <c r="D6" s="2852"/>
      <c r="E6" s="2852"/>
      <c r="F6" s="2852"/>
      <c r="G6" s="2852"/>
      <c r="H6" s="2852"/>
      <c r="I6" s="2852"/>
      <c r="J6" s="2852"/>
      <c r="K6" s="2854"/>
    </row>
    <row r="7" spans="1:31" s="2112" customFormat="1" ht="15">
      <c r="A7" s="2855" t="s">
        <v>470</v>
      </c>
      <c r="B7" s="2856" t="s">
        <v>471</v>
      </c>
      <c r="C7" s="435" t="s">
        <v>3403</v>
      </c>
      <c r="D7" s="435" t="s">
        <v>3405</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57">
        <f ca="1">不动产收益法!B3</f>
        <v>2522</v>
      </c>
      <c r="D8" s="2857"/>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140004.31</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1848</v>
      </c>
      <c r="B10" s="2845" t="s">
        <v>474</v>
      </c>
      <c r="C10" s="3052">
        <f ca="1">不动产收益法!B2</f>
        <v>35314</v>
      </c>
      <c r="D10" s="3052">
        <f>ROUND(D8*D9/10000,0)</f>
        <v>0</v>
      </c>
      <c r="E10" s="3052"/>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1844</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1849</v>
      </c>
      <c r="B13" s="2866" t="s">
        <v>479</v>
      </c>
      <c r="C13" s="449">
        <f ca="1">IF(B1="",'数据-取费表'!P16,INDIRECT("'数据-取费表'!p"&amp;$K$1)+INDIRECT("'数据-取费表'!t"&amp;$K$1))</f>
        <v>21001</v>
      </c>
      <c r="D13" s="2867"/>
      <c r="E13" s="2868"/>
      <c r="F13" s="2869"/>
      <c r="G13" s="2835"/>
      <c r="H13" s="2836"/>
      <c r="I13" s="2836"/>
      <c r="J13" s="2836"/>
      <c r="K13" s="2837"/>
    </row>
    <row r="14" spans="1:31" s="2115" customFormat="1" ht="13.5" customHeight="1">
      <c r="A14" s="2865" t="s">
        <v>1850</v>
      </c>
      <c r="B14" s="2866" t="s">
        <v>480</v>
      </c>
      <c r="C14" s="53">
        <f ca="1">ROUND(C13*F14,0)</f>
        <v>630</v>
      </c>
      <c r="D14" s="2867"/>
      <c r="E14" s="2868"/>
      <c r="F14" s="2870">
        <f>'数据-取费表'!B33</f>
        <v>0.03</v>
      </c>
      <c r="G14" s="2835" t="s">
        <v>481</v>
      </c>
      <c r="H14" s="2836"/>
      <c r="I14" s="2836"/>
      <c r="J14" s="2836"/>
      <c r="K14" s="2837"/>
    </row>
    <row r="15" spans="1:31" s="2115" customFormat="1" ht="13.5" customHeight="1">
      <c r="A15" s="2865" t="s">
        <v>1851</v>
      </c>
      <c r="B15" s="2866" t="s">
        <v>482</v>
      </c>
      <c r="C15" s="53">
        <f ca="1">ROUND(IF(B1="",SUMIF('数据-取费表'!C:C,"住宅",'数据-取费表'!P:P)*F15,IF(INDIRECT("'数据-取费表'!c"&amp;$K$1)="住宅",INDIRECT("'数据-取费表'!P"&amp;$K$1)*F15,0)),0)</f>
        <v>0</v>
      </c>
      <c r="D15" s="2867"/>
      <c r="E15" s="2868"/>
      <c r="F15" s="2870">
        <f>'数据-取费表'!B34</f>
        <v>0.05</v>
      </c>
      <c r="G15" s="2835" t="s">
        <v>483</v>
      </c>
      <c r="H15" s="2836"/>
      <c r="I15" s="2836"/>
      <c r="J15" s="2836"/>
      <c r="K15" s="2837"/>
    </row>
    <row r="16" spans="1:31" s="2116" customFormat="1" ht="13.5" customHeight="1">
      <c r="A16" s="2865" t="s">
        <v>1852</v>
      </c>
      <c r="B16" s="2866" t="s">
        <v>484</v>
      </c>
      <c r="C16" s="53">
        <f ca="1">ROUND(D16*E16/10000,0)</f>
        <v>1400</v>
      </c>
      <c r="D16" s="2867">
        <f ca="1">IF(B1="",'数据-汇总表'!E3,INDIRECT("'数据-取费表'!K"&amp;$K$1)+INDIRECT("'数据-取费表'!S"&amp;$K$1))</f>
        <v>140004.31000000006</v>
      </c>
      <c r="E16" s="53">
        <f>'数据-取费表'!B35</f>
        <v>100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1853</v>
      </c>
      <c r="B17" s="2866" t="s">
        <v>485</v>
      </c>
      <c r="C17" s="2871">
        <f ca="1">ROUND(C13*F17,0)</f>
        <v>315</v>
      </c>
      <c r="D17" s="474"/>
      <c r="E17" s="2871"/>
      <c r="F17" s="2872">
        <f>'数据-取费表'!B36</f>
        <v>1.4999999999999999E-2</v>
      </c>
      <c r="G17" s="260" t="s">
        <v>486</v>
      </c>
      <c r="H17" s="2838"/>
      <c r="I17" s="2838"/>
      <c r="J17" s="2838"/>
      <c r="K17" s="278"/>
    </row>
    <row r="18" spans="1:14" s="2115" customFormat="1" ht="13.5" customHeight="1">
      <c r="A18" s="2873" t="s">
        <v>1854</v>
      </c>
      <c r="B18" s="2874" t="s">
        <v>487</v>
      </c>
      <c r="C18" s="2875">
        <f ca="1">SUM(C13:C17)</f>
        <v>23346</v>
      </c>
      <c r="D18" s="2876"/>
      <c r="E18" s="467"/>
      <c r="F18" s="467"/>
      <c r="G18" s="2839" t="s">
        <v>2431</v>
      </c>
      <c r="H18" s="2840"/>
      <c r="I18" s="2840"/>
      <c r="J18" s="2840"/>
      <c r="K18" s="2841"/>
    </row>
    <row r="19" spans="1:14" s="2115" customFormat="1" ht="13.5" customHeight="1">
      <c r="A19" s="2873" t="s">
        <v>1855</v>
      </c>
      <c r="B19" s="2874" t="s">
        <v>488</v>
      </c>
      <c r="C19" s="2831">
        <f ca="1">ROUND(D19*E19/10000,0)</f>
        <v>0</v>
      </c>
      <c r="D19" s="2877">
        <f ca="1">D16</f>
        <v>140004.31000000006</v>
      </c>
      <c r="E19" s="2831">
        <f>'数据-取费表'!B32</f>
        <v>0</v>
      </c>
      <c r="F19" s="467"/>
      <c r="G19" s="2835" t="s">
        <v>489</v>
      </c>
      <c r="H19" s="2836"/>
      <c r="I19" s="2840"/>
      <c r="J19" s="2840"/>
      <c r="K19" s="2841"/>
    </row>
    <row r="20" spans="1:14" s="2115" customFormat="1" ht="13.5" customHeight="1">
      <c r="A20" s="2873" t="s">
        <v>1856</v>
      </c>
      <c r="B20" s="2874" t="s">
        <v>490</v>
      </c>
      <c r="C20" s="2831">
        <f ca="1">C21+C22-IF(B1="",'数据-取费表'!B29,IF(G20="已全部缴纳",C21+C22,H20))</f>
        <v>826</v>
      </c>
      <c r="D20" s="2877"/>
      <c r="E20" s="2831"/>
      <c r="F20" s="2878"/>
      <c r="G20" s="3106" t="s">
        <v>3018</v>
      </c>
      <c r="H20" s="2833"/>
      <c r="I20" s="2834" t="s">
        <v>2652</v>
      </c>
      <c r="J20" s="2840"/>
      <c r="K20" s="2841"/>
    </row>
    <row r="21" spans="1:14" s="2115" customFormat="1" ht="13.5" customHeight="1">
      <c r="A21" s="2865" t="s">
        <v>1857</v>
      </c>
      <c r="B21" s="2866" t="s">
        <v>491</v>
      </c>
      <c r="C21" s="53">
        <f ca="1">ROUND(D21*E21/10000,0)</f>
        <v>0</v>
      </c>
      <c r="D21" s="2867">
        <f ca="1">IF(B1="",'数据-汇总表'!E5,IF(INDIRECT("'数据-取费表'!c"&amp;$K$1)="住宅",INDIRECT("'数据-取费表'!k"&amp;$K$1),0))</f>
        <v>0</v>
      </c>
      <c r="E21" s="53">
        <f>'数据-取费表'!B27</f>
        <v>59</v>
      </c>
      <c r="F21" s="2870"/>
      <c r="G21" s="26"/>
      <c r="H21" s="51"/>
      <c r="I21" s="51"/>
      <c r="J21" s="51"/>
      <c r="K21" s="2842"/>
    </row>
    <row r="22" spans="1:14" s="2115" customFormat="1" ht="13.5" customHeight="1">
      <c r="A22" s="2865" t="s">
        <v>1858</v>
      </c>
      <c r="B22" s="2866" t="s">
        <v>492</v>
      </c>
      <c r="C22" s="53">
        <f ca="1">ROUND(D22*E22/10000,0)</f>
        <v>826</v>
      </c>
      <c r="D22" s="2867">
        <f ca="1">IF(B1="",'数据-汇总表'!E6,IF(INDIRECT("'数据-取费表'!c"&amp;$K$1)="住宅",INDIRECT("'数据-取费表'!s"&amp;$K$1),INDIRECT("'数据-取费表'!k"&amp;$K$1)+INDIRECT("'数据-取费表'!s"&amp;$K$1)))</f>
        <v>140004.31000000006</v>
      </c>
      <c r="E22" s="53">
        <f>'数据-取费表'!B28</f>
        <v>59</v>
      </c>
      <c r="F22" s="2870"/>
      <c r="G22" s="26"/>
      <c r="H22" s="51"/>
      <c r="I22" s="51"/>
      <c r="J22" s="51"/>
      <c r="K22" s="2842"/>
    </row>
    <row r="23" spans="1:14" s="2115" customFormat="1" ht="13.5" customHeight="1">
      <c r="A23" s="2873" t="s">
        <v>1859</v>
      </c>
      <c r="B23" s="3058" t="s">
        <v>2835</v>
      </c>
      <c r="C23" s="2875">
        <f ca="1">ROUND((C18+C19+C20)*F23,0)</f>
        <v>483</v>
      </c>
      <c r="D23" s="467"/>
      <c r="E23" s="467"/>
      <c r="F23" s="2879">
        <f>'数据-取费表'!B37</f>
        <v>0.02</v>
      </c>
      <c r="G23" s="2835" t="s">
        <v>2432</v>
      </c>
      <c r="H23" s="2836"/>
      <c r="I23" s="2836"/>
      <c r="J23" s="2836"/>
      <c r="K23" s="2837"/>
      <c r="L23" s="2117"/>
      <c r="M23" s="2117"/>
      <c r="N23" s="2117"/>
    </row>
    <row r="24" spans="1:14" s="2115" customFormat="1" ht="13.5" customHeight="1">
      <c r="A24" s="2873" t="s">
        <v>1860</v>
      </c>
      <c r="B24" s="3058" t="s">
        <v>2838</v>
      </c>
      <c r="C24" s="2875">
        <f ca="1">ROUND(C6*F24,0)</f>
        <v>706</v>
      </c>
      <c r="D24" s="474"/>
      <c r="E24" s="472"/>
      <c r="F24" s="2879">
        <f>'数据-取费表'!B38</f>
        <v>0.02</v>
      </c>
      <c r="G24" s="2844" t="s">
        <v>499</v>
      </c>
      <c r="H24" s="2838"/>
      <c r="I24" s="2838"/>
      <c r="J24" s="2838"/>
      <c r="K24" s="278"/>
      <c r="L24" s="2117"/>
      <c r="M24" s="2117"/>
      <c r="N24" s="2117"/>
    </row>
    <row r="25" spans="1:14" s="2118" customFormat="1" ht="13.5" customHeight="1">
      <c r="A25" s="2873" t="s">
        <v>1861</v>
      </c>
      <c r="B25" s="3058" t="s">
        <v>2836</v>
      </c>
      <c r="C25" s="466">
        <f>ROUND(F25/(1+'数据-取费表'!C42),4)</f>
        <v>2.9000000000000001E-2</v>
      </c>
      <c r="D25" s="461" t="s">
        <v>2830</v>
      </c>
      <c r="E25" s="468"/>
      <c r="F25" s="2879">
        <f>'数据-取费表'!B48+'数据-取费表'!B49</f>
        <v>3.0499999999999999E-2</v>
      </c>
      <c r="G25" s="2843" t="s">
        <v>2290</v>
      </c>
      <c r="H25" s="2836"/>
      <c r="I25" s="2836"/>
      <c r="J25" s="2836"/>
      <c r="K25" s="2837"/>
    </row>
    <row r="26" spans="1:14" s="2117" customFormat="1" ht="13.5" customHeight="1">
      <c r="A26" s="2873" t="s">
        <v>1862</v>
      </c>
      <c r="B26" s="3059" t="s">
        <v>2837</v>
      </c>
      <c r="C26" s="2880">
        <f ca="1">C28</f>
        <v>552</v>
      </c>
      <c r="D26" s="466">
        <f ca="1">C27</f>
        <v>4.48E-2</v>
      </c>
      <c r="E26" s="468" t="s">
        <v>495</v>
      </c>
      <c r="F26" s="470">
        <f ca="1">'数据-取费表'!B40</f>
        <v>4.3499999999999997E-2</v>
      </c>
      <c r="G26" s="2595" t="str">
        <f>IF('数据-取费表'!B22&lt;=1,"单利计息。","复利计息。")&amp;"后续开发成本、管理费用及销售费用产生的利息。"</f>
        <v>单利计息。后续开发成本、管理费用及销售费用产生的利息。</v>
      </c>
      <c r="H26" s="2840"/>
      <c r="I26" s="2840"/>
      <c r="J26" s="2840"/>
      <c r="K26" s="2841"/>
    </row>
    <row r="27" spans="1:14" s="2119" customFormat="1" ht="13.5" customHeight="1">
      <c r="A27" s="802" t="s">
        <v>1857</v>
      </c>
      <c r="B27" s="2881" t="s">
        <v>496</v>
      </c>
      <c r="C27" s="2882">
        <f ca="1">ROUND(IF('数据-取费表'!B22&lt;=1,(1+C25)*F26*'数据-取费表'!B24,(1+C25)*(POWER((1+F26),'数据-取费表'!B24)-1)),4)</f>
        <v>4.48E-2</v>
      </c>
      <c r="D27" s="471"/>
      <c r="E27" s="472"/>
      <c r="F27" s="473"/>
      <c r="G27" s="2595" t="str">
        <f>IF('数据-取费表'!B22&lt;=1,"（1+取得税费率/(1+5%)）×年利率×建设期","（1+取得税费率）/(1+5%)×((1+年利率)^建设期-1)")</f>
        <v>（1+取得税费率/(1+5%)）×年利率×建设期</v>
      </c>
      <c r="H27" s="2838"/>
      <c r="I27" s="2838"/>
      <c r="J27" s="2838"/>
      <c r="K27" s="278"/>
    </row>
    <row r="28" spans="1:14" s="2119" customFormat="1" ht="13.5" customHeight="1">
      <c r="A28" s="802" t="s">
        <v>1858</v>
      </c>
      <c r="B28" s="2881" t="s">
        <v>2839</v>
      </c>
      <c r="C28" s="2883">
        <f ca="1">ROUND(IF('数据-取费表'!B22&lt;=1,(C18+C19+C20+C23+C24)*F26*'数据-取费表'!B24/2,(C18+C19+C20+C23+C24)*(POWER((1+F26),'数据-取费表'!B24/2)-1)),0)</f>
        <v>552</v>
      </c>
      <c r="D28" s="471"/>
      <c r="E28" s="472"/>
      <c r="F28" s="473"/>
      <c r="G28" s="2595" t="str">
        <f>IF('数据-取费表'!B22&lt;=1,"（1）-（4）项×年利率×建设期÷2","（1）-（4）项×((1+年利率)^(建设期÷2)-1)")</f>
        <v>（1）-（4）项×年利率×建设期÷2</v>
      </c>
      <c r="H28" s="2838"/>
      <c r="I28" s="2838"/>
      <c r="J28" s="2838"/>
      <c r="K28" s="278"/>
    </row>
    <row r="29" spans="1:14" s="2119" customFormat="1" ht="13.5" customHeight="1">
      <c r="A29" s="2884" t="s">
        <v>1863</v>
      </c>
      <c r="B29" s="2874" t="s">
        <v>497</v>
      </c>
      <c r="C29" s="2875">
        <f ca="1">ROUND(C6*F29/(1+'数据-取费表'!C42),0)</f>
        <v>1883</v>
      </c>
      <c r="D29" s="467"/>
      <c r="E29" s="467"/>
      <c r="F29" s="3060">
        <f>'数据-取费表'!B41</f>
        <v>5.6000000000000001E-2</v>
      </c>
      <c r="G29" s="2844" t="s">
        <v>498</v>
      </c>
      <c r="H29" s="2836"/>
      <c r="I29" s="2836"/>
      <c r="J29" s="2836"/>
      <c r="K29" s="2837"/>
    </row>
    <row r="30" spans="1:14" s="2120" customFormat="1" ht="13.5" customHeight="1">
      <c r="A30" s="1634" t="s">
        <v>1864</v>
      </c>
      <c r="B30" s="2885" t="s">
        <v>500</v>
      </c>
      <c r="C30" s="2880">
        <f ca="1">C31</f>
        <v>27796</v>
      </c>
      <c r="D30" s="476">
        <f ca="1">C32</f>
        <v>7.3800000000000004E-2</v>
      </c>
      <c r="E30" s="468" t="s">
        <v>495</v>
      </c>
      <c r="F30" s="470"/>
      <c r="G30" s="2843" t="s">
        <v>2963</v>
      </c>
      <c r="H30" s="2836"/>
      <c r="I30" s="2836"/>
      <c r="J30" s="2836"/>
      <c r="K30" s="2837"/>
    </row>
    <row r="31" spans="1:14" s="2119" customFormat="1" ht="13.5" customHeight="1">
      <c r="A31" s="802" t="s">
        <v>1857</v>
      </c>
      <c r="B31" s="2881"/>
      <c r="C31" s="449">
        <f ca="1">C18+C19+C20+C23+C24+C26+C29</f>
        <v>27796</v>
      </c>
      <c r="D31" s="471"/>
      <c r="E31" s="472"/>
      <c r="F31" s="473"/>
      <c r="G31" s="260"/>
      <c r="H31" s="2838"/>
      <c r="I31" s="2838"/>
      <c r="J31" s="2838"/>
      <c r="K31" s="278"/>
    </row>
    <row r="32" spans="1:14" s="2119" customFormat="1" ht="13.5" customHeight="1">
      <c r="A32" s="802" t="s">
        <v>1858</v>
      </c>
      <c r="B32" s="2881"/>
      <c r="C32" s="53">
        <f ca="1">ROUND(C25+D26,4)</f>
        <v>7.3800000000000004E-2</v>
      </c>
      <c r="D32" s="471"/>
      <c r="E32" s="472"/>
      <c r="F32" s="473"/>
      <c r="G32" s="260"/>
      <c r="H32" s="2838"/>
      <c r="I32" s="2838"/>
      <c r="J32" s="2838"/>
      <c r="K32" s="278"/>
    </row>
    <row r="33" spans="1:11" s="2121" customFormat="1" ht="13.5" customHeight="1">
      <c r="A33" s="3057" t="s">
        <v>2834</v>
      </c>
      <c r="B33" s="3055" t="s">
        <v>2832</v>
      </c>
      <c r="C33" s="477">
        <f ca="1">C35</f>
        <v>2536</v>
      </c>
      <c r="D33" s="466">
        <f ca="1">C34</f>
        <v>0.10290000000000001</v>
      </c>
      <c r="E33" s="468" t="s">
        <v>495</v>
      </c>
      <c r="F33" s="478">
        <f ca="1">IF(B1="",'数据-取费表'!Q16,INDIRECT("'数据-取费表'!q"&amp;$K$1))</f>
        <v>0.1</v>
      </c>
      <c r="G33" s="2839"/>
      <c r="H33" s="2840"/>
      <c r="I33" s="2840"/>
      <c r="J33" s="2840"/>
      <c r="K33" s="2841"/>
    </row>
    <row r="34" spans="1:11" s="2122" customFormat="1" ht="13.5" customHeight="1">
      <c r="A34" s="374" t="s">
        <v>1857</v>
      </c>
      <c r="B34" s="2886" t="s">
        <v>501</v>
      </c>
      <c r="C34" s="471">
        <f ca="1">ROUND((1+C25)*F33,4)</f>
        <v>0.10290000000000001</v>
      </c>
      <c r="D34" s="471"/>
      <c r="E34" s="472"/>
      <c r="F34" s="479"/>
      <c r="G34" s="260" t="s">
        <v>2291</v>
      </c>
      <c r="H34" s="2838"/>
      <c r="I34" s="2838"/>
      <c r="J34" s="2838"/>
      <c r="K34" s="278"/>
    </row>
    <row r="35" spans="1:11" s="2122" customFormat="1" ht="13.5" customHeight="1" thickBot="1">
      <c r="A35" s="1635" t="s">
        <v>1858</v>
      </c>
      <c r="B35" s="3056" t="s">
        <v>2840</v>
      </c>
      <c r="C35" s="1627">
        <f ca="1">ROUND((C18+C19+C20+C23+C24)*F33,0)</f>
        <v>2536</v>
      </c>
      <c r="D35" s="1628"/>
      <c r="E35" s="2887"/>
      <c r="F35" s="1629"/>
      <c r="G35" s="2845"/>
      <c r="H35" s="2846"/>
      <c r="I35" s="2846"/>
      <c r="J35" s="2846"/>
      <c r="K35" s="2847"/>
    </row>
    <row r="36" spans="1:11" s="2084" customFormat="1" ht="13.5" customHeight="1" thickBot="1">
      <c r="A36" s="283" t="s">
        <v>1845</v>
      </c>
      <c r="B36" s="2849"/>
      <c r="C36" s="2888">
        <f ca="1">ROUND((C6-C30-C33)/(1+D30+D33),0)</f>
        <v>4234</v>
      </c>
      <c r="D36" s="2849"/>
      <c r="E36" s="2849"/>
      <c r="F36" s="2849"/>
      <c r="G36" s="2848" t="s">
        <v>2841</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2"/>
      <c r="C1" s="2103"/>
      <c r="D1" s="2103"/>
      <c r="E1" s="2103"/>
      <c r="F1" s="2103"/>
      <c r="G1" s="2103"/>
      <c r="H1" s="2103"/>
      <c r="I1" s="2103"/>
      <c r="J1" s="2103"/>
      <c r="K1" s="421">
        <f>MATCH(B1,'数据-取费表'!A6:A16,0)+5</f>
        <v>7</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2653</v>
      </c>
      <c r="B6" s="432"/>
      <c r="C6" s="1622">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1849</v>
      </c>
      <c r="B13" s="448" t="s">
        <v>479</v>
      </c>
      <c r="C13" s="449">
        <f ca="1">IF(B1="",'数据-取费表'!M16,INDIRECT("'数据-取费表'!M"&amp;$K$1)+INDIRECT("'数据-取费表'!t"&amp;$K$1))</f>
        <v>21001</v>
      </c>
      <c r="D13" s="450"/>
      <c r="E13" s="364"/>
      <c r="F13" s="451"/>
      <c r="G13" s="443"/>
      <c r="H13" s="446"/>
      <c r="I13" s="446"/>
      <c r="J13" s="446"/>
      <c r="K13" s="447"/>
    </row>
    <row r="14" spans="1:41" s="2115" customFormat="1" ht="13.5" customHeight="1">
      <c r="A14" s="1632" t="s">
        <v>1850</v>
      </c>
      <c r="B14" s="448" t="s">
        <v>480</v>
      </c>
      <c r="C14" s="53">
        <f ca="1">ROUND(C13*F14,0)</f>
        <v>630</v>
      </c>
      <c r="D14" s="450"/>
      <c r="E14" s="364"/>
      <c r="F14" s="452">
        <f>'数据-取费表'!B33</f>
        <v>0.03</v>
      </c>
      <c r="G14" s="443" t="s">
        <v>502</v>
      </c>
      <c r="H14" s="446"/>
      <c r="I14" s="446"/>
      <c r="J14" s="446"/>
      <c r="K14" s="447"/>
    </row>
    <row r="15" spans="1:41" s="2115" customFormat="1" ht="13.5" customHeight="1">
      <c r="A15" s="1632" t="s">
        <v>1851</v>
      </c>
      <c r="B15" s="448" t="s">
        <v>482</v>
      </c>
      <c r="C15" s="53">
        <f ca="1">ROUND(IF(B1="",SUMIF('数据-取费表'!C:C,"住宅",'数据-取费表'!M:M)*F15,IF(INDIRECT("'数据-取费表'!c"&amp;$K$1)="住宅",INDIRECT("'数据-取费表'!M"&amp;$K$1)*F15,0)),0)</f>
        <v>0</v>
      </c>
      <c r="D15" s="450"/>
      <c r="E15" s="364"/>
      <c r="F15" s="452">
        <f>'数据-取费表'!B34</f>
        <v>0.05</v>
      </c>
      <c r="G15" s="443" t="s">
        <v>502</v>
      </c>
      <c r="H15" s="446"/>
      <c r="I15" s="446"/>
      <c r="J15" s="446"/>
      <c r="K15" s="447"/>
    </row>
    <row r="16" spans="1:41" s="2116" customFormat="1" ht="13.5" customHeight="1">
      <c r="A16" s="1632" t="s">
        <v>1852</v>
      </c>
      <c r="B16" s="448" t="s">
        <v>484</v>
      </c>
      <c r="C16" s="53">
        <f ca="1">ROUND(D16*E16/10000,0)</f>
        <v>1400</v>
      </c>
      <c r="D16" s="450">
        <f ca="1">IF(B1="",'数据-汇总表'!E3,INDIRECT("'数据-取费表'!K"&amp;$K$1)+INDIRECT("'数据-取费表'!S"&amp;$K$1))</f>
        <v>140004.31000000006</v>
      </c>
      <c r="E16" s="53">
        <f>'数据-取费表'!B35</f>
        <v>100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8" t="s">
        <v>485</v>
      </c>
      <c r="C17" s="453">
        <f ca="1">ROUND(C13*F17,0)</f>
        <v>315</v>
      </c>
      <c r="D17" s="454"/>
      <c r="E17" s="453"/>
      <c r="F17" s="455">
        <f>'数据-取费表'!B36</f>
        <v>1.4999999999999999E-2</v>
      </c>
      <c r="G17" s="443" t="s">
        <v>502</v>
      </c>
      <c r="H17" s="456"/>
      <c r="I17" s="456"/>
      <c r="J17" s="456"/>
      <c r="K17" s="457"/>
    </row>
    <row r="18" spans="1:14" s="2118" customFormat="1" ht="13.5" customHeight="1">
      <c r="A18" s="1633" t="s">
        <v>1854</v>
      </c>
      <c r="B18" s="458" t="s">
        <v>487</v>
      </c>
      <c r="C18" s="459">
        <f ca="1">SUM(C13:C17)</f>
        <v>23346</v>
      </c>
      <c r="D18" s="460"/>
      <c r="E18" s="461"/>
      <c r="F18" s="461"/>
      <c r="G18" s="1326" t="s">
        <v>2433</v>
      </c>
      <c r="H18" s="446"/>
      <c r="I18" s="446"/>
      <c r="J18" s="446"/>
      <c r="K18" s="447"/>
    </row>
    <row r="19" spans="1:14" s="2118" customFormat="1" ht="13.5" customHeight="1">
      <c r="A19" s="1633" t="s">
        <v>1855</v>
      </c>
      <c r="B19" s="458" t="s">
        <v>493</v>
      </c>
      <c r="C19" s="459">
        <f ca="1">ROUND(C18*F19,0)</f>
        <v>467</v>
      </c>
      <c r="D19" s="461"/>
      <c r="E19" s="461"/>
      <c r="F19" s="465">
        <f>'数据-取费表'!B37</f>
        <v>0.02</v>
      </c>
      <c r="G19" s="443" t="s">
        <v>503</v>
      </c>
      <c r="H19" s="446"/>
      <c r="I19" s="446"/>
      <c r="J19" s="446"/>
      <c r="K19" s="447"/>
      <c r="L19" s="2120"/>
      <c r="M19" s="2120"/>
      <c r="N19" s="2120"/>
    </row>
    <row r="20" spans="1:14" s="2118" customFormat="1" ht="13.5" customHeight="1">
      <c r="A20" s="1633" t="s">
        <v>1856</v>
      </c>
      <c r="B20" s="458" t="s">
        <v>504</v>
      </c>
      <c r="C20" s="3053">
        <f>F20</f>
        <v>0.02</v>
      </c>
      <c r="D20" s="468" t="s">
        <v>505</v>
      </c>
      <c r="E20" s="468"/>
      <c r="F20" s="485">
        <f>'数据-取费表'!B38</f>
        <v>0.02</v>
      </c>
      <c r="G20" s="1326" t="s">
        <v>506</v>
      </c>
      <c r="H20" s="446"/>
      <c r="I20" s="446"/>
      <c r="J20" s="446"/>
      <c r="K20" s="447"/>
      <c r="L20" s="2120"/>
      <c r="M20" s="2120"/>
      <c r="N20" s="2120"/>
    </row>
    <row r="21" spans="1:14" s="2120" customFormat="1" ht="13.5" customHeight="1">
      <c r="A21" s="1633" t="s">
        <v>1859</v>
      </c>
      <c r="B21" s="460" t="s">
        <v>494</v>
      </c>
      <c r="C21" s="469">
        <f ca="1">C22</f>
        <v>518</v>
      </c>
      <c r="D21" s="466">
        <f ca="1">C23</f>
        <v>4.0000000000000002E-4</v>
      </c>
      <c r="E21" s="468" t="s">
        <v>507</v>
      </c>
      <c r="F21" s="470">
        <f ca="1">'数据-取费表'!B40</f>
        <v>4.3499999999999997E-2</v>
      </c>
      <c r="G21" s="1326" t="str">
        <f>IF('数据-取费表'!B22&lt;=1,"单利计息。","复利计息。")&amp;"建造成本、管理费用及销售费用产生的利息。"</f>
        <v>单利计息。建造成本、管理费用及销售费用产生的利息。</v>
      </c>
      <c r="H21" s="446"/>
      <c r="I21" s="446"/>
      <c r="J21" s="446"/>
      <c r="K21" s="447"/>
      <c r="L21" s="2117" t="s">
        <v>2455</v>
      </c>
    </row>
    <row r="22" spans="1:14" s="2119" customFormat="1" ht="13.5" customHeight="1">
      <c r="A22" s="1632" t="s">
        <v>1849</v>
      </c>
      <c r="B22" s="1327" t="s">
        <v>2436</v>
      </c>
      <c r="C22" s="486">
        <f ca="1">ROUND(IF('数据-取费表'!B22&lt;=1,(C18+C19)*F21*'数据-取费表'!B20/2,(C18+C19)*(POWER((1+F21),'数据-取费表'!B20/2)-1)),0)</f>
        <v>518</v>
      </c>
      <c r="D22" s="471"/>
      <c r="E22" s="472"/>
      <c r="F22" s="473"/>
      <c r="G22" s="2590" t="str">
        <f>IF('数据-取费表'!B22&lt;=1,"((1)+(2))×年利率×建设期÷2","((1)+(2))×((1+年利率)^(建设期÷2)-1)")</f>
        <v>((1)+(2))×年利率×建设期÷2</v>
      </c>
      <c r="H22" s="456"/>
      <c r="I22" s="456"/>
      <c r="J22" s="456"/>
      <c r="K22" s="457"/>
    </row>
    <row r="23" spans="1:14" s="2119" customFormat="1" ht="13.5" customHeight="1">
      <c r="A23" s="1632" t="s">
        <v>1850</v>
      </c>
      <c r="B23" s="1327" t="s">
        <v>508</v>
      </c>
      <c r="C23" s="487">
        <f ca="1">ROUND(IF('数据-取费表'!B22&lt;=1,F20*F21*'数据-取费表'!B20/2,F20*(POWER((1+F21),'数据-取费表'!B20/2)-1)),4)</f>
        <v>4.0000000000000002E-4</v>
      </c>
      <c r="D23" s="471"/>
      <c r="E23" s="472"/>
      <c r="F23" s="473"/>
      <c r="G23" s="2590" t="str">
        <f>IF('数据-取费表'!B22&lt;=1,"销售费用率×年利率×建设期÷2","销售费用率×((1+年利率)^(建设期÷2)-1)")</f>
        <v>销售费用率×年利率×建设期÷2</v>
      </c>
      <c r="H23" s="456"/>
      <c r="I23" s="456"/>
      <c r="J23" s="456"/>
      <c r="K23" s="457"/>
    </row>
    <row r="24" spans="1:14" s="2119" customFormat="1" ht="13.5" customHeight="1">
      <c r="A24" s="1633" t="s">
        <v>1860</v>
      </c>
      <c r="B24" s="3055" t="s">
        <v>2833</v>
      </c>
      <c r="C24" s="477">
        <f ca="1">C25</f>
        <v>2381</v>
      </c>
      <c r="D24" s="488">
        <f ca="1">C26</f>
        <v>2E-3</v>
      </c>
      <c r="E24" s="468" t="s">
        <v>507</v>
      </c>
      <c r="F24" s="478">
        <f ca="1">IF(B1="",'数据-取费表'!Q16,INDIRECT("'数据-取费表'!q"&amp;$K$1))</f>
        <v>0.1</v>
      </c>
      <c r="G24" s="443"/>
      <c r="H24" s="446"/>
      <c r="I24" s="446"/>
      <c r="J24" s="446"/>
      <c r="K24" s="447"/>
    </row>
    <row r="25" spans="1:14" s="2119" customFormat="1" ht="13.5" customHeight="1">
      <c r="A25" s="1632" t="s">
        <v>1849</v>
      </c>
      <c r="B25" s="1327" t="s">
        <v>2437</v>
      </c>
      <c r="C25" s="489">
        <f ca="1">ROUND((C18+C19)*F24,0)</f>
        <v>2381</v>
      </c>
      <c r="D25" s="471"/>
      <c r="E25" s="472"/>
      <c r="F25" s="479"/>
      <c r="G25" s="1325" t="s">
        <v>2434</v>
      </c>
      <c r="H25" s="456"/>
      <c r="I25" s="456"/>
      <c r="J25" s="456"/>
      <c r="K25" s="457"/>
    </row>
    <row r="26" spans="1:14" s="2119" customFormat="1" ht="13.5" customHeight="1">
      <c r="A26" s="1632" t="s">
        <v>1850</v>
      </c>
      <c r="B26" s="1327" t="s">
        <v>509</v>
      </c>
      <c r="C26" s="490">
        <f ca="1">ROUND(F20*F24,4)</f>
        <v>2E-3</v>
      </c>
      <c r="D26" s="471"/>
      <c r="E26" s="480"/>
      <c r="F26" s="479"/>
      <c r="G26" s="1325" t="s">
        <v>510</v>
      </c>
      <c r="H26" s="456"/>
      <c r="I26" s="456"/>
      <c r="J26" s="456"/>
      <c r="K26" s="457"/>
    </row>
    <row r="27" spans="1:14" s="2119" customFormat="1" ht="13.5" customHeight="1">
      <c r="A27" s="1636" t="s">
        <v>1868</v>
      </c>
      <c r="B27" s="458" t="s">
        <v>511</v>
      </c>
      <c r="C27" s="3054">
        <f>ROUND(F27/(1+'数据-取费表'!C42),4)</f>
        <v>5.33E-2</v>
      </c>
      <c r="D27" s="461" t="s">
        <v>2831</v>
      </c>
      <c r="E27" s="461"/>
      <c r="F27" s="465">
        <f>'数据-取费表'!B41</f>
        <v>5.6000000000000001E-2</v>
      </c>
      <c r="G27" s="1959" t="s">
        <v>2292</v>
      </c>
      <c r="H27" s="446"/>
      <c r="I27" s="446"/>
      <c r="J27" s="446"/>
      <c r="K27" s="447"/>
    </row>
    <row r="28" spans="1:14" s="2120" customFormat="1" ht="13.5" customHeight="1">
      <c r="A28" s="1636" t="s">
        <v>1869</v>
      </c>
      <c r="B28" s="475" t="s">
        <v>512</v>
      </c>
      <c r="C28" s="469">
        <f ca="1">ROUND((C18+C19+C21+C24)/(1-C20-D21-D24-C27),0)</f>
        <v>28900</v>
      </c>
      <c r="D28" s="476"/>
      <c r="E28" s="468"/>
      <c r="F28" s="470"/>
      <c r="G28" s="1326" t="s">
        <v>2435</v>
      </c>
      <c r="H28" s="446"/>
      <c r="I28" s="446"/>
      <c r="J28" s="446"/>
      <c r="K28" s="447"/>
    </row>
    <row r="29" spans="1:14" s="2120"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8" t="s">
        <v>515</v>
      </c>
      <c r="H30" s="495"/>
      <c r="I30" s="495"/>
      <c r="J30" s="446"/>
      <c r="K30" s="447"/>
    </row>
    <row r="31" spans="1:14" s="2125" customFormat="1" ht="13.5" customHeight="1">
      <c r="A31" s="2505" t="s">
        <v>1866</v>
      </c>
      <c r="B31" s="1329"/>
      <c r="C31" s="499">
        <f>ROUND(C6*F31/(1+'数据-取费表'!C42),0)</f>
        <v>0</v>
      </c>
      <c r="D31" s="1330"/>
      <c r="E31" s="1330"/>
      <c r="F31" s="500">
        <f>'数据-取费表'!B41</f>
        <v>5.6000000000000001E-2</v>
      </c>
      <c r="G31" s="1331"/>
      <c r="H31" s="1331"/>
      <c r="I31" s="1331"/>
      <c r="J31" s="1332"/>
      <c r="K31" s="1333"/>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6"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75"/>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59" t="s">
        <v>2763</v>
      </c>
      <c r="S1" s="2959" t="s">
        <v>2764</v>
      </c>
      <c r="T1" s="2959" t="s">
        <v>2785</v>
      </c>
      <c r="U1" s="2959" t="s">
        <v>2786</v>
      </c>
      <c r="V1" s="2959"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2925</v>
      </c>
      <c r="G3" s="1038">
        <f>IF(F3="宗地容积率",'数据-汇总表'!I4,IF(F3="估价对象容积率",'数据-汇总表'!I6,'数据-汇总表'!I7))</f>
        <v>0.89</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2281</v>
      </c>
      <c r="B4" s="2476"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42">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8"/>
      <c r="AE6" s="1418"/>
      <c r="AF6" s="1418"/>
      <c r="AG6" s="1418"/>
      <c r="AH6" s="1418"/>
      <c r="AI6" s="1418"/>
      <c r="AJ6" s="1419"/>
    </row>
    <row r="7" spans="1:39" ht="24">
      <c r="A7" s="3471"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2766</v>
      </c>
      <c r="X7" s="2950">
        <f>G2</f>
        <v>0</v>
      </c>
      <c r="Y7" s="2950" t="s">
        <v>2767</v>
      </c>
      <c r="Z7" s="2951">
        <f>G3</f>
        <v>0.89</v>
      </c>
      <c r="AA7" s="2191"/>
      <c r="AB7" s="2191"/>
      <c r="AC7" s="2192"/>
      <c r="AD7" s="2952"/>
      <c r="AE7" s="2952"/>
      <c r="AF7" s="2952"/>
      <c r="AG7" s="2952"/>
      <c r="AH7" s="2952"/>
      <c r="AI7" s="2952"/>
      <c r="AJ7" s="2953"/>
    </row>
    <row r="8" spans="1:39" ht="15">
      <c r="A8" s="3472"/>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63" t="s">
        <v>2784</v>
      </c>
      <c r="X8" s="3464"/>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72"/>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62" t="s">
        <v>2780</v>
      </c>
      <c r="X9" s="2954" t="s">
        <v>2781</v>
      </c>
      <c r="Y9" s="3116"/>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72"/>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62"/>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72"/>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62" t="s">
        <v>2782</v>
      </c>
      <c r="X11" s="1047" t="s">
        <v>2767</v>
      </c>
      <c r="Y11" s="1652">
        <f>$G$3</f>
        <v>0.89</v>
      </c>
      <c r="Z11" s="1652">
        <f t="shared" ref="Z11:AJ11" si="3">$G$3</f>
        <v>0.89</v>
      </c>
      <c r="AA11" s="1652">
        <f t="shared" si="3"/>
        <v>0.89</v>
      </c>
      <c r="AB11" s="1652">
        <f t="shared" si="3"/>
        <v>0.89</v>
      </c>
      <c r="AC11" s="1652">
        <f t="shared" si="3"/>
        <v>0.89</v>
      </c>
      <c r="AD11" s="1652">
        <f t="shared" si="3"/>
        <v>0.89</v>
      </c>
      <c r="AE11" s="1652">
        <f t="shared" si="3"/>
        <v>0.89</v>
      </c>
      <c r="AF11" s="1652">
        <f t="shared" si="3"/>
        <v>0.89</v>
      </c>
      <c r="AG11" s="1652">
        <f t="shared" si="3"/>
        <v>0.89</v>
      </c>
      <c r="AH11" s="1652">
        <f t="shared" si="3"/>
        <v>0.89</v>
      </c>
      <c r="AI11" s="1652">
        <f t="shared" si="3"/>
        <v>0.89</v>
      </c>
      <c r="AJ11" s="1652">
        <f t="shared" si="3"/>
        <v>0.89</v>
      </c>
    </row>
    <row r="12" spans="1:39" ht="25.5" thickBot="1">
      <c r="A12" s="3471"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62"/>
      <c r="X12" s="2957" t="s">
        <v>2783</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73"/>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60">
        <v>12</v>
      </c>
      <c r="S13" s="2949"/>
      <c r="T13" s="2960" t="e">
        <f t="shared" si="0"/>
        <v>#DIV/0!</v>
      </c>
      <c r="U13" s="2949"/>
      <c r="V13" s="2960" t="e">
        <f t="shared" si="1"/>
        <v>#DIV/0!</v>
      </c>
      <c r="W13" s="3462"/>
      <c r="X13" s="2957"/>
      <c r="Y13" s="2956">
        <f>(-0.163*(Y12^2)-0.59*Y12+7617)*(10^(-4))/Y11</f>
        <v>0.85584269662921353</v>
      </c>
      <c r="Z13" s="2956">
        <f t="shared" ref="Z13:AJ13" si="5">(-0.163*(Z12^2)-0.59*Z12+7617)*(10^(-4))/Z11</f>
        <v>0.85584269662921353</v>
      </c>
      <c r="AA13" s="2956">
        <f t="shared" si="5"/>
        <v>0.85584269662921353</v>
      </c>
      <c r="AB13" s="2956">
        <f t="shared" si="5"/>
        <v>0.85584269662921353</v>
      </c>
      <c r="AC13" s="2956">
        <f t="shared" si="5"/>
        <v>0.85584269662921353</v>
      </c>
      <c r="AD13" s="2956">
        <f t="shared" si="5"/>
        <v>0.85584269662921353</v>
      </c>
      <c r="AE13" s="2956">
        <f t="shared" si="5"/>
        <v>0.85584269662921353</v>
      </c>
      <c r="AF13" s="2956">
        <f t="shared" si="5"/>
        <v>0.85584269662921353</v>
      </c>
      <c r="AG13" s="2956">
        <f t="shared" si="5"/>
        <v>0.85584269662921353</v>
      </c>
      <c r="AH13" s="2956">
        <f t="shared" si="5"/>
        <v>0.85584269662921353</v>
      </c>
      <c r="AI13" s="2956">
        <f t="shared" si="5"/>
        <v>0.85584269662921353</v>
      </c>
      <c r="AJ13" s="2956">
        <f t="shared" si="5"/>
        <v>0.85584269662921353</v>
      </c>
    </row>
    <row r="14" spans="1:39" ht="12.75" customHeight="1" thickBot="1">
      <c r="A14" s="3473"/>
      <c r="B14" s="1450"/>
      <c r="C14" s="1451"/>
      <c r="D14" s="1452"/>
      <c r="E14" s="1452"/>
      <c r="F14" s="1453"/>
      <c r="G14" s="1454" t="s">
        <v>949</v>
      </c>
      <c r="H14" s="1455"/>
      <c r="I14" s="1456"/>
      <c r="J14" s="1457"/>
      <c r="K14" s="1400"/>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7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60">
        <v>14</v>
      </c>
      <c r="S15" s="2949"/>
      <c r="T15" s="2960" t="e">
        <f t="shared" si="0"/>
        <v>#DIV/0!</v>
      </c>
      <c r="U15" s="2949"/>
      <c r="V15" s="2960" t="e">
        <f t="shared" si="1"/>
        <v>#DIV/0!</v>
      </c>
      <c r="W15" s="2188"/>
      <c r="X15" s="2188"/>
      <c r="Y15" s="2188"/>
      <c r="Z15" s="2188"/>
      <c r="AA15" s="2188"/>
      <c r="AB15" s="2188"/>
      <c r="AC15" s="2189"/>
    </row>
    <row r="16" spans="1:39" ht="24">
      <c r="A16" s="347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47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95" t="s">
        <v>956</v>
      </c>
      <c r="C18" s="2796">
        <f>SUMIF(修正!C18:C39,E3,修正!E18:E39)</f>
        <v>0</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43244</v>
      </c>
      <c r="H19" s="1474" t="s">
        <v>2926</v>
      </c>
      <c r="I19" s="2807" t="str">
        <f>IF(H19="季度增幅（自定义）",SUMIF(N21:N24,E2,O21:O24),"")</f>
        <v/>
      </c>
      <c r="J19" s="1470"/>
      <c r="K19" s="1480"/>
      <c r="L19" s="3063" t="s">
        <v>2842</v>
      </c>
      <c r="M19" s="3064">
        <f>ROUND(SUMIF(地价!B2:F2,E2,地价!B22:F22),0)</f>
        <v>0</v>
      </c>
      <c r="N19" s="2809" t="s">
        <v>1677</v>
      </c>
      <c r="O19" s="2808">
        <f>ROUNDDOWN(DATEDIF(E19,G19,"M")/3,0)</f>
        <v>17</v>
      </c>
      <c r="P19" s="1595"/>
      <c r="R19" s="2948"/>
      <c r="S19" s="2948"/>
      <c r="T19" s="2948"/>
      <c r="U19" s="2948"/>
      <c r="V19" s="2948"/>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1" t="s">
        <v>1837</v>
      </c>
      <c r="B20" s="2802" t="s">
        <v>972</v>
      </c>
      <c r="C20" s="2803" t="e">
        <f>ROUND(POWER(1+G20,J20-I20)*(POWER(1+G20,I20)-1)/(POWER(1+G20,J20)-1),4)</f>
        <v>#DIV/0!</v>
      </c>
      <c r="D20" s="2804" t="s">
        <v>973</v>
      </c>
      <c r="E20" s="3113">
        <f ca="1">存贷款利率!I4/100</f>
        <v>4.3499999999999997E-2</v>
      </c>
      <c r="F20" s="2804" t="s">
        <v>974</v>
      </c>
      <c r="G20" s="2805">
        <f>SUMIF(M15:P15,E2,M17:P17)</f>
        <v>0</v>
      </c>
      <c r="H20" s="2804" t="s">
        <v>975</v>
      </c>
      <c r="I20" s="2794" t="e">
        <f>SUMIF('数据-取费表'!C6:C15,E2,'数据-取费表'!F6:F15)/COUNTIF('数据-取费表'!C6:C15,E2)</f>
        <v>#DIV/0!</v>
      </c>
      <c r="J20" s="2806">
        <f>IF(E2="住宅",70,IF(E2="商业",40,50))</f>
        <v>50</v>
      </c>
      <c r="K20" s="1480"/>
      <c r="L20" s="3065" t="s">
        <v>2843</v>
      </c>
      <c r="M20" s="3066">
        <f>ROUND(SUMPRODUCT((地价!A4:A22=YEAR(G19)&amp;"-"&amp;ROUNDUP(MONTH(G19)/3,0))*(地价!B2:F2=E2)*(地价!B4:F22)),0)</f>
        <v>0</v>
      </c>
      <c r="N20" s="2812" t="s">
        <v>2646</v>
      </c>
      <c r="O20" s="2810" t="s">
        <v>2645</v>
      </c>
      <c r="P20" s="2811" t="s">
        <v>2651</v>
      </c>
      <c r="R20" s="2948"/>
      <c r="S20" s="2948"/>
      <c r="T20" s="2948"/>
      <c r="U20" s="2948"/>
      <c r="V20" s="2948"/>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0.8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0.9</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820" t="s">
        <v>2649</v>
      </c>
      <c r="O25" s="2194"/>
      <c r="P25" s="1540">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48"/>
      <c r="S26" s="2948"/>
      <c r="T26" s="2948"/>
      <c r="U26" s="2948"/>
      <c r="V26" s="2948"/>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48"/>
      <c r="S27" s="2948"/>
      <c r="T27" s="2948"/>
      <c r="U27" s="2948"/>
      <c r="V27" s="2948"/>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48"/>
      <c r="S28" s="2948"/>
      <c r="T28" s="2948"/>
      <c r="U28" s="2948"/>
      <c r="V28" s="2948"/>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48"/>
      <c r="S29" s="2948"/>
      <c r="T29" s="2948"/>
      <c r="U29" s="2948"/>
      <c r="V29" s="2948"/>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77" t="s">
        <v>2952</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78"/>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78"/>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9"/>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1007</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1008</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31" t="s">
        <v>1010</v>
      </c>
      <c r="C46" s="2453" t="s">
        <v>1011</v>
      </c>
      <c r="D46" s="2454" t="s">
        <v>1012</v>
      </c>
      <c r="E46" s="2455" t="s">
        <v>1014</v>
      </c>
      <c r="F46" s="2456" t="s">
        <v>2251</v>
      </c>
      <c r="G46" s="2454" t="s">
        <v>1015</v>
      </c>
      <c r="H46" s="2437" t="s">
        <v>2419</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34">
        <f>估价对象房地状况!C16</f>
        <v>0</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6" t="s">
        <v>1022</v>
      </c>
      <c r="B48" s="2431">
        <f>估价对象房地状况!C18</f>
        <v>0</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431">
        <f>估价对象房地状况!C19</f>
        <v>0</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115" t="s">
        <v>2928</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31" t="str">
        <f>估价对象房地状况!C24</f>
        <v>支路</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114" t="s">
        <v>2927</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3" t="s">
        <v>1027</v>
      </c>
      <c r="B53" s="2432">
        <f>估价对象房地状况!C21</f>
        <v>0</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1028</v>
      </c>
      <c r="B54" s="2431">
        <f>估价对象房地状况!C22</f>
        <v>0</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64" t="s">
        <v>1029</v>
      </c>
      <c r="B55" s="2435">
        <f>估价对象房地状况!C20</f>
        <v>0</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1030</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31"/>
      <c r="C57" s="2453" t="s">
        <v>1011</v>
      </c>
      <c r="D57" s="2454" t="s">
        <v>1012</v>
      </c>
      <c r="E57" s="2455" t="s">
        <v>1014</v>
      </c>
      <c r="F57" s="2456" t="s">
        <v>2252</v>
      </c>
      <c r="G57" s="2454" t="s">
        <v>1015</v>
      </c>
      <c r="H57" s="2437" t="s">
        <v>2419</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34">
        <f>估价对象房地状况!C17</f>
        <v>0</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6" t="s">
        <v>1022</v>
      </c>
      <c r="B59" s="2431">
        <f>估价对象房地状况!C18</f>
        <v>0</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431">
        <f>估价对象房地状况!C19</f>
        <v>0</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115" t="s">
        <v>2929</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31" t="str">
        <f>估价对象房地状况!C24</f>
        <v>支路</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114" t="s">
        <v>2927</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432">
        <f>估价对象房地状况!C21</f>
        <v>0</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32">
        <f>估价对象房地状况!C22</f>
        <v>0</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64" t="s">
        <v>1029</v>
      </c>
      <c r="B66" s="2436">
        <f>估价对象房地状况!C20</f>
        <v>0</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1032</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31"/>
      <c r="C68" s="2453" t="s">
        <v>1011</v>
      </c>
      <c r="D68" s="2454" t="s">
        <v>1012</v>
      </c>
      <c r="E68" s="2455" t="s">
        <v>1014</v>
      </c>
      <c r="F68" s="2456" t="s">
        <v>2253</v>
      </c>
      <c r="G68" s="2454" t="s">
        <v>1015</v>
      </c>
      <c r="H68" s="2437" t="s">
        <v>2419</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6" t="s">
        <v>1033</v>
      </c>
      <c r="B69" s="2434">
        <f>估价对象房地状况!C15</f>
        <v>0</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6" t="s">
        <v>1034</v>
      </c>
      <c r="B70" s="2431">
        <f>估价对象房地状况!C18</f>
        <v>0</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431">
        <f>估价对象房地状况!C19</f>
        <v>0</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31" t="str">
        <f>估价对象房地状况!C24</f>
        <v>支路</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432">
        <f>估价对象房地状况!C21</f>
        <v>0</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32">
        <f>估价对象房地状况!C22</f>
        <v>0</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114" t="s">
        <v>2927</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6" t="s">
        <v>1029</v>
      </c>
      <c r="B76" s="2434">
        <f>估价对象房地状况!C20</f>
        <v>0</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1036</v>
      </c>
      <c r="B77" s="1849"/>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1037</v>
      </c>
      <c r="B78" s="2448">
        <f>1+E80</f>
        <v>1</v>
      </c>
      <c r="C78" s="2467"/>
      <c r="D78" s="2450"/>
      <c r="E78" s="2451"/>
      <c r="F78" s="2452"/>
      <c r="G78" s="2446"/>
      <c r="H78" s="2446"/>
      <c r="I78" s="2446"/>
      <c r="J78" s="1065"/>
      <c r="K78" s="1065"/>
      <c r="L78" s="1065"/>
      <c r="M78" s="1065"/>
      <c r="N78" s="1065"/>
      <c r="AC78" s="1404"/>
      <c r="AD78" s="1403"/>
      <c r="AJ78" s="1402"/>
      <c r="AN78" s="1403"/>
    </row>
    <row r="79" spans="1:40" ht="24">
      <c r="A79" s="1066" t="s">
        <v>1009</v>
      </c>
      <c r="B79" s="2431"/>
      <c r="C79" s="2453" t="s">
        <v>1011</v>
      </c>
      <c r="D79" s="2454" t="s">
        <v>1012</v>
      </c>
      <c r="E79" s="2455" t="s">
        <v>1014</v>
      </c>
      <c r="F79" s="2456" t="s">
        <v>2254</v>
      </c>
      <c r="G79" s="2454" t="s">
        <v>1015</v>
      </c>
      <c r="H79" s="2437" t="s">
        <v>2419</v>
      </c>
      <c r="I79" s="2454" t="s">
        <v>1013</v>
      </c>
      <c r="J79" s="2457" t="s">
        <v>1016</v>
      </c>
      <c r="K79" s="2457" t="s">
        <v>1017</v>
      </c>
      <c r="L79" s="2457" t="s">
        <v>1018</v>
      </c>
      <c r="M79" s="2457" t="s">
        <v>1019</v>
      </c>
      <c r="N79" s="2457" t="s">
        <v>1020</v>
      </c>
      <c r="AC79" s="1404"/>
      <c r="AD79" s="1403"/>
      <c r="AJ79" s="1402"/>
      <c r="AN79" s="1403"/>
    </row>
    <row r="80" spans="1:40" ht="24">
      <c r="A80" s="1066" t="s">
        <v>1038</v>
      </c>
      <c r="B80" s="2431" t="str">
        <f>估价对象房地状况!G15</f>
        <v>工业园内，聚集程度较好</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48">
      <c r="A81" s="1066" t="s">
        <v>1034</v>
      </c>
      <c r="B81" s="2431" t="str">
        <f>估价对象房地状况!G16</f>
        <v>周边路网密集程度一般，有一定数量公交车通过，停车较方便，总体考虑一般</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6" t="s">
        <v>1023</v>
      </c>
      <c r="B82" s="2431" t="str">
        <f>估价对象房地状况!G17</f>
        <v>一致</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6" t="s">
        <v>1035</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6" t="s">
        <v>1027</v>
      </c>
      <c r="B84" s="2432" t="str">
        <f>估价对象房地状况!G19</f>
        <v>工业园区内，各配套设施齐备度一般，综合一般</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6" t="s">
        <v>1028</v>
      </c>
      <c r="B85" s="2432" t="str">
        <f>估价对象房地状况!G20</f>
        <v>六通</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6" t="s">
        <v>1026</v>
      </c>
      <c r="B86" s="3114" t="s">
        <v>2927</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24.75" thickBot="1">
      <c r="A87" s="2464" t="s">
        <v>1039</v>
      </c>
      <c r="B87" s="2433" t="str">
        <f>估价对象房地状况!G18</f>
        <v>无大型污染，自然环境一般，综合一般</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75" t="s">
        <v>1634</v>
      </c>
      <c r="B90" s="3475"/>
      <c r="C90" s="3475"/>
      <c r="D90" s="3475"/>
      <c r="E90" s="3475"/>
      <c r="F90" s="3475"/>
      <c r="G90" s="3475"/>
      <c r="H90" s="3475"/>
      <c r="I90" s="3475"/>
      <c r="J90" s="3475"/>
      <c r="K90" s="2473"/>
      <c r="L90" s="2473"/>
      <c r="M90" s="2473"/>
      <c r="N90" s="2473"/>
    </row>
    <row r="91" spans="1:40">
      <c r="A91" s="3476" t="s">
        <v>1444</v>
      </c>
      <c r="B91" s="3476" t="s">
        <v>1635</v>
      </c>
      <c r="C91" s="1139" t="s">
        <v>1636</v>
      </c>
      <c r="D91" s="1140"/>
      <c r="E91" s="1140"/>
      <c r="F91" s="1140"/>
      <c r="G91" s="1140"/>
      <c r="H91" s="1140"/>
      <c r="I91" s="1140"/>
      <c r="J91" s="1141"/>
      <c r="K91" s="1133"/>
      <c r="L91" s="1133"/>
      <c r="M91" s="1133"/>
      <c r="N91" s="1133"/>
    </row>
    <row r="92" spans="1:40">
      <c r="A92" s="3476"/>
      <c r="B92" s="3476"/>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465"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6"/>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5" t="s">
        <v>1638</v>
      </c>
      <c r="B101" s="1146" t="s">
        <v>906</v>
      </c>
      <c r="C101" s="1147">
        <f>$G$3</f>
        <v>0.89</v>
      </c>
      <c r="D101" s="1147">
        <f t="shared" ref="D101:N101" si="31">$G$3</f>
        <v>0.89</v>
      </c>
      <c r="E101" s="1147">
        <f t="shared" si="31"/>
        <v>0.89</v>
      </c>
      <c r="F101" s="1147">
        <f t="shared" si="31"/>
        <v>0.89</v>
      </c>
      <c r="G101" s="1147">
        <f t="shared" si="31"/>
        <v>0.89</v>
      </c>
      <c r="H101" s="1147">
        <f t="shared" si="31"/>
        <v>0.89</v>
      </c>
      <c r="I101" s="1147">
        <f t="shared" si="31"/>
        <v>0.89</v>
      </c>
      <c r="J101" s="1147">
        <f t="shared" si="31"/>
        <v>0.89</v>
      </c>
      <c r="K101" s="1147">
        <f t="shared" si="31"/>
        <v>0.89</v>
      </c>
      <c r="L101" s="1147">
        <f t="shared" si="31"/>
        <v>0.89</v>
      </c>
      <c r="M101" s="1147">
        <f t="shared" si="31"/>
        <v>0.89</v>
      </c>
      <c r="N101" s="1147">
        <f t="shared" si="31"/>
        <v>0.89</v>
      </c>
    </row>
    <row r="102" spans="1:14">
      <c r="A102" s="3466"/>
      <c r="B102" s="1142">
        <v>1</v>
      </c>
      <c r="C102" s="1143">
        <f>1.9362/C101</f>
        <v>2.1755056179775281</v>
      </c>
      <c r="D102" s="1143">
        <f>1.9362/D101</f>
        <v>2.1755056179775281</v>
      </c>
      <c r="E102" s="1143">
        <f>1.8629/E101</f>
        <v>2.0931460674157303</v>
      </c>
      <c r="F102" s="1143">
        <f>1.8629/F101</f>
        <v>2.0931460674157303</v>
      </c>
      <c r="G102" s="1143">
        <f>1.8629/G101</f>
        <v>2.0931460674157303</v>
      </c>
      <c r="H102" s="1143">
        <f>1.8629/H101</f>
        <v>2.0931460674157303</v>
      </c>
      <c r="I102" s="1143">
        <f>1.8629/I101</f>
        <v>2.0931460674157303</v>
      </c>
      <c r="J102" s="1143">
        <f>1.942/J101</f>
        <v>2.1820224719101122</v>
      </c>
      <c r="K102" s="1143">
        <f>1.942/K101</f>
        <v>2.1820224719101122</v>
      </c>
      <c r="L102" s="1143">
        <f>1.942/L101</f>
        <v>2.1820224719101122</v>
      </c>
      <c r="M102" s="1143">
        <f>1.942/M101</f>
        <v>2.1820224719101122</v>
      </c>
      <c r="N102" s="1143">
        <f>1.942/N101</f>
        <v>2.1820224719101122</v>
      </c>
    </row>
    <row r="103" spans="1:14">
      <c r="A103" s="3466"/>
      <c r="B103" s="1142">
        <v>2</v>
      </c>
      <c r="C103" s="1143">
        <f>1.4198/C101</f>
        <v>1.5952808988764045</v>
      </c>
      <c r="D103" s="1143">
        <f>1.4198/D101</f>
        <v>1.5952808988764045</v>
      </c>
      <c r="E103" s="1143">
        <f>1.3372/E101</f>
        <v>1.5024719101123594</v>
      </c>
      <c r="F103" s="1143">
        <f>1.3372/F101</f>
        <v>1.5024719101123594</v>
      </c>
      <c r="G103" s="1143">
        <f>1.3372/G101</f>
        <v>1.5024719101123594</v>
      </c>
      <c r="H103" s="1143">
        <f>1.3372/H101</f>
        <v>1.5024719101123594</v>
      </c>
      <c r="I103" s="1143">
        <f>1.3372/I101</f>
        <v>1.5024719101123594</v>
      </c>
      <c r="J103" s="1143">
        <f>1.2799/J101</f>
        <v>1.4380898876404495</v>
      </c>
      <c r="K103" s="1143">
        <f>1.2799/K101</f>
        <v>1.4380898876404495</v>
      </c>
      <c r="L103" s="1143">
        <f>1.2799/L101</f>
        <v>1.4380898876404495</v>
      </c>
      <c r="M103" s="1143">
        <f>1.2799/M101</f>
        <v>1.4380898876404495</v>
      </c>
      <c r="N103" s="1143">
        <f>1.2799/N101</f>
        <v>1.4380898876404495</v>
      </c>
    </row>
    <row r="104" spans="1:14">
      <c r="A104" s="3466"/>
      <c r="B104" s="1142">
        <v>3</v>
      </c>
      <c r="C104" s="1143">
        <f>1.1594/C101</f>
        <v>1.3026966292134832</v>
      </c>
      <c r="D104" s="1143">
        <f>1.1594/D101</f>
        <v>1.3026966292134832</v>
      </c>
      <c r="E104" s="1143">
        <f>1.0788/E101</f>
        <v>1.2121348314606741</v>
      </c>
      <c r="F104" s="1143">
        <f>1.0788/F101</f>
        <v>1.2121348314606741</v>
      </c>
      <c r="G104" s="1143">
        <f>1.0788/G101</f>
        <v>1.2121348314606741</v>
      </c>
      <c r="H104" s="1143">
        <f>1.0788/H101</f>
        <v>1.2121348314606741</v>
      </c>
      <c r="I104" s="1143">
        <f>1.0788/I101</f>
        <v>1.2121348314606741</v>
      </c>
      <c r="J104" s="1143">
        <f>1.0072/J101</f>
        <v>1.131685393258427</v>
      </c>
      <c r="K104" s="1143">
        <f>1.0072/K101</f>
        <v>1.131685393258427</v>
      </c>
      <c r="L104" s="1143">
        <f>1.0072/L101</f>
        <v>1.131685393258427</v>
      </c>
      <c r="M104" s="1143">
        <f>1.0072/M101</f>
        <v>1.131685393258427</v>
      </c>
      <c r="N104" s="1143">
        <f>1.0072/N101</f>
        <v>1.131685393258427</v>
      </c>
    </row>
    <row r="105" spans="1:14">
      <c r="A105" s="3466"/>
      <c r="B105" s="1142">
        <v>4</v>
      </c>
      <c r="C105" s="1143">
        <f>0.9622/C101</f>
        <v>1.081123595505618</v>
      </c>
      <c r="D105" s="1143">
        <f>0.9622/D101</f>
        <v>1.081123595505618</v>
      </c>
      <c r="E105" s="1143">
        <f>0.8656/E101</f>
        <v>0.97258426966292133</v>
      </c>
      <c r="F105" s="1143">
        <f>0.8656/F101</f>
        <v>0.97258426966292133</v>
      </c>
      <c r="G105" s="1143">
        <f>0.8656/G101</f>
        <v>0.97258426966292133</v>
      </c>
      <c r="H105" s="1143">
        <f>0.8656/H101</f>
        <v>0.97258426966292133</v>
      </c>
      <c r="I105" s="1143">
        <f>0.8656/I101</f>
        <v>0.97258426966292133</v>
      </c>
      <c r="J105" s="1143">
        <f>0.7525/J101</f>
        <v>0.84550561797752799</v>
      </c>
      <c r="K105" s="1143">
        <f>0.7525/K101</f>
        <v>0.84550561797752799</v>
      </c>
      <c r="L105" s="1143">
        <f>0.7525/L101</f>
        <v>0.84550561797752799</v>
      </c>
      <c r="M105" s="1143">
        <f>0.7525/M101</f>
        <v>0.84550561797752799</v>
      </c>
      <c r="N105" s="1143">
        <f>0.7525/N101</f>
        <v>0.84550561797752799</v>
      </c>
    </row>
    <row r="106" spans="1:14">
      <c r="A106" s="3466"/>
      <c r="B106" s="1142">
        <v>5</v>
      </c>
      <c r="C106" s="1143">
        <f>0.8417/C101</f>
        <v>0.94573033707865173</v>
      </c>
      <c r="D106" s="1143">
        <f>0.8417/D101</f>
        <v>0.94573033707865173</v>
      </c>
      <c r="E106" s="1143">
        <f>0.7371/E101</f>
        <v>0.82820224719101121</v>
      </c>
      <c r="F106" s="1143">
        <f>0.7371/F101</f>
        <v>0.82820224719101121</v>
      </c>
      <c r="G106" s="1143">
        <f>0.7371/G101</f>
        <v>0.82820224719101121</v>
      </c>
      <c r="H106" s="1143">
        <f>0.7371/H101</f>
        <v>0.82820224719101121</v>
      </c>
      <c r="I106" s="1143">
        <f>0.7371/I101</f>
        <v>0.82820224719101121</v>
      </c>
      <c r="J106" s="1143">
        <f>0.5659/J101</f>
        <v>0.63584269662921344</v>
      </c>
      <c r="K106" s="1143">
        <f>0.5659/K101</f>
        <v>0.63584269662921344</v>
      </c>
      <c r="L106" s="1143">
        <f>0.5659/L101</f>
        <v>0.63584269662921344</v>
      </c>
      <c r="M106" s="1143">
        <f>0.5659/M101</f>
        <v>0.63584269662921344</v>
      </c>
      <c r="N106" s="1143">
        <f>0.5659/N101</f>
        <v>0.63584269662921344</v>
      </c>
    </row>
    <row r="107" spans="1:14">
      <c r="A107" s="3466"/>
      <c r="B107" s="1142">
        <v>6</v>
      </c>
      <c r="C107" s="1143">
        <f>0.7608/C101</f>
        <v>0.85483146067415727</v>
      </c>
      <c r="D107" s="1143">
        <f>0.7608/D101</f>
        <v>0.85483146067415727</v>
      </c>
      <c r="E107" s="1143">
        <f>0.6482/E101</f>
        <v>0.728314606741573</v>
      </c>
      <c r="F107" s="1143">
        <f>0.6482/F101</f>
        <v>0.728314606741573</v>
      </c>
      <c r="G107" s="1143">
        <f>0.6482/G101</f>
        <v>0.728314606741573</v>
      </c>
      <c r="H107" s="1143">
        <f>0.6482/H101</f>
        <v>0.728314606741573</v>
      </c>
      <c r="I107" s="1143">
        <f>0.6482/I101</f>
        <v>0.728314606741573</v>
      </c>
      <c r="J107" s="1143">
        <f>0.4525/J101</f>
        <v>0.5084269662921348</v>
      </c>
      <c r="K107" s="1143">
        <f>0.4525/K101</f>
        <v>0.5084269662921348</v>
      </c>
      <c r="L107" s="1143">
        <f>0.4525/L101</f>
        <v>0.5084269662921348</v>
      </c>
      <c r="M107" s="1143">
        <f>0.4525/M101</f>
        <v>0.5084269662921348</v>
      </c>
      <c r="N107" s="1143">
        <f>0.4525/N101</f>
        <v>0.5084269662921348</v>
      </c>
    </row>
    <row r="108" spans="1:14">
      <c r="A108" s="3466"/>
      <c r="B108" s="3468"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7"/>
      <c r="B109" s="3469"/>
      <c r="C109" s="1145">
        <f>(-0.163*(C108^2)-0.59*C108+7617)*(10^(-4))/C101</f>
        <v>0.85414022471910112</v>
      </c>
      <c r="D109" s="1145">
        <f>(-0.163*(D108^2)-0.59*D108+7617)*(10^(-4))/D101</f>
        <v>0.85414022471910112</v>
      </c>
      <c r="E109" s="1145">
        <f>(-0.161*(E108^2)-7.509*E108+6533)*(10^(-4))/E101</f>
        <v>0.72613752808988763</v>
      </c>
      <c r="F109" s="1145">
        <f>(-0.161*(F108^2)-7.509*F108+6533)*(10^(-4))/F101</f>
        <v>0.72613752808988763</v>
      </c>
      <c r="G109" s="1145">
        <f>(-0.161*(G108^2)-7.509*G108+6533)*(10^(-4))/G101</f>
        <v>0.72613752808988763</v>
      </c>
      <c r="H109" s="1145">
        <f>(-0.161*(H108^2)-7.509*H108+6533)*(10^(-4))/H101</f>
        <v>0.72613752808988763</v>
      </c>
      <c r="I109" s="1145">
        <f>(-0.161*(I108^2)-7.509*I108+6533)*(10^(-4))/I101</f>
        <v>0.72613752808988763</v>
      </c>
      <c r="J109" s="1145">
        <f>(-0.214*(J108^2)-21.991*J108+4665)*(10^(-4))/J101</f>
        <v>0.50285123595505621</v>
      </c>
      <c r="K109" s="1145">
        <f>(-0.214*(K108^2)-21.991*K108+4665)*(10^(-4))/K101</f>
        <v>0.50285123595505621</v>
      </c>
      <c r="L109" s="1145">
        <f>(-0.214*(L108^2)-21.991*L108+4665)*(10^(-4))/L101</f>
        <v>0.50285123595505621</v>
      </c>
      <c r="M109" s="1145">
        <f>(-0.214*(M108^2)-21.991*M108+4665)*(10^(-4))/M101</f>
        <v>0.50285123595505621</v>
      </c>
      <c r="N109" s="1145">
        <f>(-0.214*(N108^2)-21.991*N108+4665)*(10^(-4))/N101</f>
        <v>0.50285123595505621</v>
      </c>
    </row>
    <row r="110" spans="1:14">
      <c r="A110" s="3470" t="s">
        <v>1640</v>
      </c>
      <c r="B110" s="3470"/>
      <c r="C110" s="3470"/>
      <c r="D110" s="3470"/>
      <c r="E110" s="3470"/>
      <c r="F110" s="3470"/>
      <c r="G110" s="3470"/>
      <c r="H110" s="3470"/>
      <c r="I110" s="3470"/>
      <c r="J110" s="3470"/>
      <c r="K110" s="2471"/>
      <c r="L110" s="2471"/>
      <c r="M110" s="2471"/>
      <c r="N110" s="2471"/>
    </row>
    <row r="112" spans="1:14" ht="12.75" thickBot="1"/>
    <row r="113" spans="1:13" ht="25.5" thickBot="1">
      <c r="A113" s="1015" t="s">
        <v>896</v>
      </c>
      <c r="B113" s="2474">
        <f>G3</f>
        <v>0.89</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0.92510000000000003</v>
      </c>
      <c r="C115" s="1029">
        <f>B115</f>
        <v>0.92510000000000003</v>
      </c>
      <c r="D115" s="1029">
        <f>ROUND(0.8331-0.0109*B113,4)</f>
        <v>0.82340000000000002</v>
      </c>
      <c r="E115" s="1029">
        <f>D115</f>
        <v>0.82340000000000002</v>
      </c>
      <c r="F115" s="1029">
        <f>E115</f>
        <v>0.82340000000000002</v>
      </c>
      <c r="G115" s="1029">
        <f>F115</f>
        <v>0.82340000000000002</v>
      </c>
      <c r="H115" s="1029">
        <f>G115</f>
        <v>0.82340000000000002</v>
      </c>
      <c r="I115" s="1029">
        <f>ROUND(0.689-0.0155*B113,4)</f>
        <v>0.67520000000000002</v>
      </c>
      <c r="J115" s="1029">
        <f t="shared" ref="J115:M118" si="33">I115</f>
        <v>0.67520000000000002</v>
      </c>
      <c r="K115" s="1029">
        <f t="shared" si="33"/>
        <v>0.67520000000000002</v>
      </c>
      <c r="L115" s="1029">
        <f t="shared" si="33"/>
        <v>0.67520000000000002</v>
      </c>
      <c r="M115" s="1030">
        <f t="shared" si="33"/>
        <v>0.67520000000000002</v>
      </c>
    </row>
    <row r="116" spans="1:13" ht="12.75">
      <c r="A116" s="1028" t="s">
        <v>901</v>
      </c>
      <c r="B116" s="1029">
        <f>ROUND(0.949-0.012*B113,4)</f>
        <v>0.93830000000000002</v>
      </c>
      <c r="C116" s="1029">
        <f>B116</f>
        <v>0.93830000000000002</v>
      </c>
      <c r="D116" s="1029">
        <f>ROUND(0.8567-0.013*B113,4)</f>
        <v>0.84509999999999996</v>
      </c>
      <c r="E116" s="1029">
        <f t="shared" ref="E116:H117" si="34">D116</f>
        <v>0.84509999999999996</v>
      </c>
      <c r="F116" s="1029">
        <f t="shared" si="34"/>
        <v>0.84509999999999996</v>
      </c>
      <c r="G116" s="1029">
        <f t="shared" si="34"/>
        <v>0.84509999999999996</v>
      </c>
      <c r="H116" s="1029">
        <f t="shared" si="34"/>
        <v>0.84509999999999996</v>
      </c>
      <c r="I116" s="1029">
        <f>ROUND(0.7694-0.014*B113,4)</f>
        <v>0.75690000000000002</v>
      </c>
      <c r="J116" s="1029">
        <f t="shared" si="33"/>
        <v>0.75690000000000002</v>
      </c>
      <c r="K116" s="1029">
        <f t="shared" si="33"/>
        <v>0.75690000000000002</v>
      </c>
      <c r="L116" s="1029">
        <f t="shared" si="33"/>
        <v>0.75690000000000002</v>
      </c>
      <c r="M116" s="1030">
        <f t="shared" si="33"/>
        <v>0.75690000000000002</v>
      </c>
    </row>
    <row r="117" spans="1:13" ht="12.75">
      <c r="A117" s="1031" t="s">
        <v>902</v>
      </c>
      <c r="B117" s="1029">
        <f>ROUND(0.8808-0.006*B113,4)</f>
        <v>0.87549999999999994</v>
      </c>
      <c r="C117" s="1029">
        <f>B117</f>
        <v>0.87549999999999994</v>
      </c>
      <c r="D117" s="1029">
        <f>ROUND(0.8748-0.008*B113,4)</f>
        <v>0.86770000000000003</v>
      </c>
      <c r="E117" s="1029">
        <f t="shared" si="34"/>
        <v>0.86770000000000003</v>
      </c>
      <c r="F117" s="1029">
        <f t="shared" si="34"/>
        <v>0.86770000000000003</v>
      </c>
      <c r="G117" s="1029">
        <f t="shared" si="34"/>
        <v>0.86770000000000003</v>
      </c>
      <c r="H117" s="1029">
        <f t="shared" si="34"/>
        <v>0.86770000000000003</v>
      </c>
      <c r="I117" s="1029">
        <f>ROUND(0.7412-0.0095*B113,4)</f>
        <v>0.73270000000000002</v>
      </c>
      <c r="J117" s="1029">
        <f t="shared" si="33"/>
        <v>0.73270000000000002</v>
      </c>
      <c r="K117" s="1029">
        <f t="shared" si="33"/>
        <v>0.73270000000000002</v>
      </c>
      <c r="L117" s="1029">
        <f t="shared" si="33"/>
        <v>0.73270000000000002</v>
      </c>
      <c r="M117" s="1030">
        <f t="shared" si="33"/>
        <v>0.73270000000000002</v>
      </c>
    </row>
    <row r="118" spans="1:13" ht="13.5" thickBot="1">
      <c r="A118" s="1032" t="s">
        <v>903</v>
      </c>
      <c r="B118" s="1033">
        <f>ROUND(0.7275-0.01*B113,4)</f>
        <v>0.71860000000000002</v>
      </c>
      <c r="C118" s="1033">
        <f>B118</f>
        <v>0.71860000000000002</v>
      </c>
      <c r="D118" s="1033">
        <f>ROUND(0.7043-0.012*B113,4)</f>
        <v>0.69359999999999999</v>
      </c>
      <c r="E118" s="1033">
        <f>D118</f>
        <v>0.69359999999999999</v>
      </c>
      <c r="F118" s="1033">
        <f>E118</f>
        <v>0.69359999999999999</v>
      </c>
      <c r="G118" s="1033">
        <f>ROUND(0.6299-0.0122*B113,4)</f>
        <v>0.61899999999999999</v>
      </c>
      <c r="H118" s="1033">
        <f>G118</f>
        <v>0.61899999999999999</v>
      </c>
      <c r="I118" s="1033">
        <f>ROUND(0.5667-0.0136*B113,4)</f>
        <v>0.55459999999999998</v>
      </c>
      <c r="J118" s="1033">
        <f t="shared" si="33"/>
        <v>0.55459999999999998</v>
      </c>
      <c r="K118" s="1033">
        <f t="shared" si="33"/>
        <v>0.55459999999999998</v>
      </c>
      <c r="L118" s="1033">
        <f t="shared" si="33"/>
        <v>0.55459999999999998</v>
      </c>
      <c r="M118" s="1034">
        <f t="shared" si="33"/>
        <v>0.55459999999999998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76" t="s">
        <v>1008</v>
      </c>
      <c r="B18" s="1153" t="s">
        <v>1447</v>
      </c>
      <c r="C18" s="1130" t="s">
        <v>1448</v>
      </c>
      <c r="D18" s="1131"/>
      <c r="E18" s="1153">
        <v>1</v>
      </c>
      <c r="F18" s="1132" t="s">
        <v>1449</v>
      </c>
      <c r="G18" s="1133"/>
      <c r="H18" s="1104"/>
      <c r="I18" s="1104"/>
    </row>
    <row r="19" spans="1:9" s="1598" customFormat="1" ht="19.5" customHeight="1">
      <c r="A19" s="3476"/>
      <c r="B19" s="3476" t="s">
        <v>1450</v>
      </c>
      <c r="C19" s="1130" t="s">
        <v>1451</v>
      </c>
      <c r="D19" s="1131"/>
      <c r="E19" s="1153">
        <v>0.9</v>
      </c>
      <c r="F19" s="1132" t="s">
        <v>1452</v>
      </c>
      <c r="G19" s="1133"/>
      <c r="H19" s="1104"/>
      <c r="I19" s="1104"/>
    </row>
    <row r="20" spans="1:9" s="1598" customFormat="1" ht="19.5" customHeight="1">
      <c r="A20" s="3476"/>
      <c r="B20" s="3476"/>
      <c r="C20" s="1130" t="s">
        <v>1453</v>
      </c>
      <c r="D20" s="1131"/>
      <c r="E20" s="1153">
        <v>1.1000000000000001</v>
      </c>
      <c r="F20" s="1132" t="s">
        <v>1454</v>
      </c>
      <c r="G20" s="1133"/>
      <c r="H20" s="1104"/>
      <c r="I20" s="1104"/>
    </row>
    <row r="21" spans="1:9" s="1598" customFormat="1" ht="19.5" customHeight="1">
      <c r="A21" s="3476"/>
      <c r="B21" s="3476"/>
      <c r="C21" s="1130" t="s">
        <v>1455</v>
      </c>
      <c r="D21" s="1131"/>
      <c r="E21" s="1153">
        <v>0.8</v>
      </c>
      <c r="F21" s="1132" t="s">
        <v>1456</v>
      </c>
      <c r="G21" s="1133"/>
      <c r="H21" s="1104"/>
      <c r="I21" s="1104"/>
    </row>
    <row r="22" spans="1:9" s="1598" customFormat="1" ht="19.5" customHeight="1">
      <c r="A22" s="3476"/>
      <c r="B22" s="3476"/>
      <c r="C22" s="1130" t="s">
        <v>1457</v>
      </c>
      <c r="D22" s="1131"/>
      <c r="E22" s="1153">
        <v>0.5</v>
      </c>
      <c r="F22" s="1132"/>
      <c r="G22" s="1133"/>
      <c r="H22" s="1104"/>
      <c r="I22" s="1104"/>
    </row>
    <row r="23" spans="1:9" s="1598" customFormat="1" ht="19.5" customHeight="1">
      <c r="A23" s="3476" t="s">
        <v>1030</v>
      </c>
      <c r="B23" s="1153" t="s">
        <v>1447</v>
      </c>
      <c r="C23" s="1130" t="s">
        <v>1458</v>
      </c>
      <c r="D23" s="1131"/>
      <c r="E23" s="1153">
        <v>1</v>
      </c>
      <c r="F23" s="1132" t="s">
        <v>1459</v>
      </c>
      <c r="G23" s="1133"/>
      <c r="H23" s="1104"/>
      <c r="I23" s="1104"/>
    </row>
    <row r="24" spans="1:9" s="1598" customFormat="1" ht="19.5" customHeight="1">
      <c r="A24" s="3476"/>
      <c r="B24" s="3476" t="s">
        <v>1450</v>
      </c>
      <c r="C24" s="1130" t="s">
        <v>1460</v>
      </c>
      <c r="D24" s="1131"/>
      <c r="E24" s="1153">
        <v>0.5</v>
      </c>
      <c r="F24" s="1132"/>
      <c r="G24" s="1133"/>
      <c r="H24" s="1104"/>
      <c r="I24" s="1104"/>
    </row>
    <row r="25" spans="1:9" s="1598" customFormat="1" ht="19.5" customHeight="1">
      <c r="A25" s="3476"/>
      <c r="B25" s="3476"/>
      <c r="C25" s="1130" t="s">
        <v>1461</v>
      </c>
      <c r="D25" s="1131"/>
      <c r="E25" s="1153">
        <v>1.1000000000000001</v>
      </c>
      <c r="F25" s="1132"/>
      <c r="G25" s="1133"/>
      <c r="H25" s="1104"/>
      <c r="I25" s="1104"/>
    </row>
    <row r="26" spans="1:9" s="1598" customFormat="1" ht="19.5" customHeight="1">
      <c r="A26" s="3476"/>
      <c r="B26" s="3476"/>
      <c r="C26" s="1130" t="s">
        <v>1462</v>
      </c>
      <c r="D26" s="1131"/>
      <c r="E26" s="1153">
        <v>1.1000000000000001</v>
      </c>
      <c r="F26" s="1132"/>
      <c r="G26" s="1133"/>
      <c r="H26" s="1104"/>
      <c r="I26" s="1104"/>
    </row>
    <row r="27" spans="1:9" s="1598" customFormat="1" ht="19.5" customHeight="1">
      <c r="A27" s="3476"/>
      <c r="B27" s="3476"/>
      <c r="C27" s="1130" t="s">
        <v>1463</v>
      </c>
      <c r="D27" s="1131"/>
      <c r="E27" s="1153">
        <v>0.9</v>
      </c>
      <c r="F27" s="1132" t="s">
        <v>1464</v>
      </c>
      <c r="G27" s="1133"/>
      <c r="H27" s="1104"/>
      <c r="I27" s="1104"/>
    </row>
    <row r="28" spans="1:9" s="1598" customFormat="1" ht="19.5" customHeight="1">
      <c r="A28" s="3476"/>
      <c r="B28" s="3476"/>
      <c r="C28" s="1130" t="s">
        <v>1465</v>
      </c>
      <c r="D28" s="1131"/>
      <c r="E28" s="1153">
        <v>0.9</v>
      </c>
      <c r="F28" s="1132" t="s">
        <v>1466</v>
      </c>
      <c r="G28" s="1133"/>
      <c r="H28" s="1104"/>
      <c r="I28" s="1104"/>
    </row>
    <row r="29" spans="1:9" s="1598" customFormat="1" ht="19.5" customHeight="1">
      <c r="A29" s="3476"/>
      <c r="B29" s="3476"/>
      <c r="C29" s="1130" t="s">
        <v>1467</v>
      </c>
      <c r="D29" s="1131"/>
      <c r="E29" s="1153">
        <v>0.9</v>
      </c>
      <c r="F29" s="1132" t="s">
        <v>1468</v>
      </c>
      <c r="G29" s="1133"/>
      <c r="H29" s="1104"/>
      <c r="I29" s="1104"/>
    </row>
    <row r="30" spans="1:9" s="1598" customFormat="1" ht="19.5" customHeight="1">
      <c r="A30" s="3476"/>
      <c r="B30" s="3476"/>
      <c r="C30" s="1130" t="s">
        <v>1469</v>
      </c>
      <c r="D30" s="1131"/>
      <c r="E30" s="1153">
        <v>0.9</v>
      </c>
      <c r="F30" s="1132" t="s">
        <v>1470</v>
      </c>
      <c r="G30" s="1133"/>
      <c r="H30" s="1104"/>
      <c r="I30" s="1104"/>
    </row>
    <row r="31" spans="1:9" s="1598" customFormat="1" ht="19.5" customHeight="1">
      <c r="A31" s="3476"/>
      <c r="B31" s="3476"/>
      <c r="C31" s="1130" t="s">
        <v>1471</v>
      </c>
      <c r="D31" s="1131"/>
      <c r="E31" s="1153">
        <v>0.8</v>
      </c>
      <c r="F31" s="1132" t="s">
        <v>1472</v>
      </c>
      <c r="G31" s="1133"/>
      <c r="H31" s="1104"/>
      <c r="I31" s="1104"/>
    </row>
    <row r="32" spans="1:9" s="1598" customFormat="1" ht="19.5" customHeight="1">
      <c r="A32" s="3476"/>
      <c r="B32" s="3476"/>
      <c r="C32" s="1130" t="s">
        <v>1473</v>
      </c>
      <c r="D32" s="1131"/>
      <c r="E32" s="1153">
        <v>0.8</v>
      </c>
      <c r="F32" s="1132" t="s">
        <v>1474</v>
      </c>
      <c r="G32" s="1133"/>
      <c r="H32" s="1104"/>
      <c r="I32" s="1104"/>
    </row>
    <row r="33" spans="1:9" s="1598" customFormat="1" ht="19.5" customHeight="1">
      <c r="A33" s="3476" t="s">
        <v>1475</v>
      </c>
      <c r="B33" s="1153" t="s">
        <v>1447</v>
      </c>
      <c r="C33" s="1130" t="s">
        <v>1476</v>
      </c>
      <c r="D33" s="1131"/>
      <c r="E33" s="1153">
        <v>1</v>
      </c>
      <c r="F33" s="1132" t="s">
        <v>1477</v>
      </c>
      <c r="G33" s="1133"/>
      <c r="H33" s="1104"/>
      <c r="I33" s="1104"/>
    </row>
    <row r="34" spans="1:9" s="1598" customFormat="1" ht="19.5" customHeight="1">
      <c r="A34" s="3476"/>
      <c r="B34" s="1153" t="s">
        <v>1450</v>
      </c>
      <c r="C34" s="1130" t="s">
        <v>1478</v>
      </c>
      <c r="D34" s="1131"/>
      <c r="E34" s="1153">
        <v>1.5</v>
      </c>
      <c r="F34" s="1132" t="s">
        <v>1479</v>
      </c>
      <c r="G34" s="1133"/>
      <c r="H34" s="1104"/>
      <c r="I34" s="1104"/>
    </row>
    <row r="35" spans="1:9" s="1598" customFormat="1" ht="19.5" customHeight="1">
      <c r="A35" s="3476" t="s">
        <v>1433</v>
      </c>
      <c r="B35" s="1153" t="s">
        <v>1447</v>
      </c>
      <c r="C35" s="1130" t="s">
        <v>1480</v>
      </c>
      <c r="D35" s="1131"/>
      <c r="E35" s="1153">
        <v>1</v>
      </c>
      <c r="F35" s="1132" t="s">
        <v>1481</v>
      </c>
      <c r="G35" s="1133"/>
      <c r="H35" s="1104"/>
      <c r="I35" s="1104"/>
    </row>
    <row r="36" spans="1:9" s="1598" customFormat="1" ht="19.5" customHeight="1">
      <c r="A36" s="3476"/>
      <c r="B36" s="3476" t="s">
        <v>1450</v>
      </c>
      <c r="C36" s="1130" t="s">
        <v>1482</v>
      </c>
      <c r="D36" s="1131"/>
      <c r="E36" s="1153">
        <v>1</v>
      </c>
      <c r="F36" s="1132" t="s">
        <v>1483</v>
      </c>
      <c r="G36" s="1133"/>
      <c r="H36" s="1104"/>
      <c r="I36" s="1104"/>
    </row>
    <row r="37" spans="1:9" s="1598" customFormat="1" ht="19.5" customHeight="1">
      <c r="A37" s="3476"/>
      <c r="B37" s="3476"/>
      <c r="C37" s="1130" t="s">
        <v>1484</v>
      </c>
      <c r="D37" s="1131"/>
      <c r="E37" s="1153">
        <v>1.5</v>
      </c>
      <c r="F37" s="1132" t="s">
        <v>1485</v>
      </c>
      <c r="G37" s="1133"/>
      <c r="H37" s="1104"/>
      <c r="I37" s="1104"/>
    </row>
    <row r="38" spans="1:9" s="1598" customFormat="1" ht="19.5" customHeight="1">
      <c r="A38" s="3476"/>
      <c r="B38" s="3476"/>
      <c r="C38" s="1130" t="s">
        <v>1486</v>
      </c>
      <c r="D38" s="1131"/>
      <c r="E38" s="1153">
        <v>1</v>
      </c>
      <c r="F38" s="1132" t="s">
        <v>1487</v>
      </c>
      <c r="G38" s="1133"/>
      <c r="H38" s="1104"/>
      <c r="I38" s="1104"/>
    </row>
    <row r="39" spans="1:9" s="1598" customFormat="1" ht="19.5" customHeight="1">
      <c r="A39" s="3476"/>
      <c r="B39" s="347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76" t="s">
        <v>1502</v>
      </c>
      <c r="C61" s="1067" t="s">
        <v>1503</v>
      </c>
      <c r="D61" s="1067" t="s">
        <v>1504</v>
      </c>
      <c r="E61" s="1138">
        <v>0.5</v>
      </c>
      <c r="F61" s="1153">
        <v>80</v>
      </c>
      <c r="H61" s="1104">
        <f>SUMIF(C59:C119,基准地价!C8,E59:E119)</f>
        <v>0</v>
      </c>
    </row>
    <row r="62" spans="1:8" s="1104" customFormat="1" ht="24">
      <c r="A62" s="1153">
        <v>2</v>
      </c>
      <c r="B62" s="3476"/>
      <c r="C62" s="1067" t="s">
        <v>1505</v>
      </c>
      <c r="D62" s="1067" t="s">
        <v>1506</v>
      </c>
      <c r="E62" s="1138">
        <v>0.5</v>
      </c>
      <c r="F62" s="1153">
        <v>80</v>
      </c>
    </row>
    <row r="63" spans="1:8" s="1104" customFormat="1" ht="36">
      <c r="A63" s="1153">
        <v>3</v>
      </c>
      <c r="B63" s="3476"/>
      <c r="C63" s="1067" t="s">
        <v>1507</v>
      </c>
      <c r="D63" s="1067" t="s">
        <v>1508</v>
      </c>
      <c r="E63" s="1138">
        <v>0.5</v>
      </c>
      <c r="F63" s="1153">
        <v>80</v>
      </c>
    </row>
    <row r="64" spans="1:8" s="1104" customFormat="1" ht="36">
      <c r="A64" s="1153">
        <v>4</v>
      </c>
      <c r="B64" s="3476"/>
      <c r="C64" s="1067" t="s">
        <v>1509</v>
      </c>
      <c r="D64" s="1067" t="s">
        <v>1510</v>
      </c>
      <c r="E64" s="1138">
        <v>0.4</v>
      </c>
      <c r="F64" s="1153">
        <v>60</v>
      </c>
    </row>
    <row r="65" spans="1:6" s="1104" customFormat="1" ht="36">
      <c r="A65" s="1153">
        <v>5</v>
      </c>
      <c r="B65" s="3476"/>
      <c r="C65" s="1067" t="s">
        <v>1511</v>
      </c>
      <c r="D65" s="1067" t="s">
        <v>1512</v>
      </c>
      <c r="E65" s="1138">
        <v>0.2</v>
      </c>
      <c r="F65" s="1153">
        <v>30</v>
      </c>
    </row>
    <row r="66" spans="1:6" s="1104" customFormat="1" ht="36">
      <c r="A66" s="1153">
        <v>6</v>
      </c>
      <c r="B66" s="3476"/>
      <c r="C66" s="1067" t="s">
        <v>1513</v>
      </c>
      <c r="D66" s="1067" t="s">
        <v>1514</v>
      </c>
      <c r="E66" s="1138">
        <v>0.3</v>
      </c>
      <c r="F66" s="1153">
        <v>50</v>
      </c>
    </row>
    <row r="67" spans="1:6" s="1104" customFormat="1" ht="36">
      <c r="A67" s="1153">
        <v>7</v>
      </c>
      <c r="B67" s="3476"/>
      <c r="C67" s="1067" t="s">
        <v>1515</v>
      </c>
      <c r="D67" s="1067" t="s">
        <v>1516</v>
      </c>
      <c r="E67" s="1138">
        <v>0.2</v>
      </c>
      <c r="F67" s="1153">
        <v>30</v>
      </c>
    </row>
    <row r="68" spans="1:6" s="1104" customFormat="1" ht="36">
      <c r="A68" s="1153">
        <v>8</v>
      </c>
      <c r="B68" s="3476"/>
      <c r="C68" s="1067" t="s">
        <v>1517</v>
      </c>
      <c r="D68" s="1067" t="s">
        <v>1518</v>
      </c>
      <c r="E68" s="1138">
        <v>0.2</v>
      </c>
      <c r="F68" s="1153">
        <v>30</v>
      </c>
    </row>
    <row r="69" spans="1:6" s="1104" customFormat="1" ht="36">
      <c r="A69" s="1153">
        <v>9</v>
      </c>
      <c r="B69" s="3476"/>
      <c r="C69" s="1067" t="s">
        <v>1519</v>
      </c>
      <c r="D69" s="1067" t="s">
        <v>1520</v>
      </c>
      <c r="E69" s="1138">
        <v>0.2</v>
      </c>
      <c r="F69" s="1153">
        <v>30</v>
      </c>
    </row>
    <row r="70" spans="1:6" s="1104" customFormat="1" ht="48">
      <c r="A70" s="1153">
        <v>10</v>
      </c>
      <c r="B70" s="3476"/>
      <c r="C70" s="1067" t="s">
        <v>1521</v>
      </c>
      <c r="D70" s="1067" t="s">
        <v>1522</v>
      </c>
      <c r="E70" s="1138">
        <v>0.2</v>
      </c>
      <c r="F70" s="1153">
        <v>30</v>
      </c>
    </row>
    <row r="71" spans="1:6" s="1104" customFormat="1" ht="48">
      <c r="A71" s="1153">
        <v>11</v>
      </c>
      <c r="B71" s="3476"/>
      <c r="C71" s="1067" t="s">
        <v>1523</v>
      </c>
      <c r="D71" s="1067" t="s">
        <v>1524</v>
      </c>
      <c r="E71" s="1138">
        <v>0.2</v>
      </c>
      <c r="F71" s="1153">
        <v>30</v>
      </c>
    </row>
    <row r="72" spans="1:6" s="1104" customFormat="1" ht="36">
      <c r="A72" s="1153">
        <v>12</v>
      </c>
      <c r="B72" s="3476"/>
      <c r="C72" s="1067" t="s">
        <v>1525</v>
      </c>
      <c r="D72" s="1067" t="s">
        <v>1526</v>
      </c>
      <c r="E72" s="1138">
        <v>0.5</v>
      </c>
      <c r="F72" s="1153">
        <v>80</v>
      </c>
    </row>
    <row r="73" spans="1:6" s="1104" customFormat="1" ht="24">
      <c r="A73" s="1153">
        <v>13</v>
      </c>
      <c r="B73" s="3476"/>
      <c r="C73" s="1067" t="s">
        <v>1527</v>
      </c>
      <c r="D73" s="1067" t="s">
        <v>1528</v>
      </c>
      <c r="E73" s="1138">
        <v>0.4</v>
      </c>
      <c r="F73" s="1153">
        <v>60</v>
      </c>
    </row>
    <row r="74" spans="1:6" s="1104" customFormat="1" ht="24">
      <c r="A74" s="1153">
        <v>14</v>
      </c>
      <c r="B74" s="3476"/>
      <c r="C74" s="1067" t="s">
        <v>1529</v>
      </c>
      <c r="D74" s="1067" t="s">
        <v>1530</v>
      </c>
      <c r="E74" s="1138">
        <v>0.2</v>
      </c>
      <c r="F74" s="1153">
        <v>30</v>
      </c>
    </row>
    <row r="75" spans="1:6" s="1104" customFormat="1" ht="24">
      <c r="A75" s="1153">
        <v>15</v>
      </c>
      <c r="B75" s="3476"/>
      <c r="C75" s="1067" t="s">
        <v>1531</v>
      </c>
      <c r="D75" s="1067" t="s">
        <v>1532</v>
      </c>
      <c r="E75" s="1138">
        <v>0.2</v>
      </c>
      <c r="F75" s="1153">
        <v>30</v>
      </c>
    </row>
    <row r="76" spans="1:6" s="1104" customFormat="1" ht="24">
      <c r="A76" s="1153">
        <v>16</v>
      </c>
      <c r="B76" s="3476" t="s">
        <v>1533</v>
      </c>
      <c r="C76" s="1067" t="s">
        <v>1534</v>
      </c>
      <c r="D76" s="1067" t="s">
        <v>1535</v>
      </c>
      <c r="E76" s="1138">
        <v>0.5</v>
      </c>
      <c r="F76" s="1153">
        <v>80</v>
      </c>
    </row>
    <row r="77" spans="1:6" s="1104" customFormat="1" ht="24">
      <c r="A77" s="1153">
        <v>17</v>
      </c>
      <c r="B77" s="3476"/>
      <c r="C77" s="1067" t="s">
        <v>1536</v>
      </c>
      <c r="D77" s="1067" t="s">
        <v>1537</v>
      </c>
      <c r="E77" s="1138">
        <v>0.5</v>
      </c>
      <c r="F77" s="1153">
        <v>80</v>
      </c>
    </row>
    <row r="78" spans="1:6" s="1104" customFormat="1" ht="24">
      <c r="A78" s="1153">
        <v>18</v>
      </c>
      <c r="B78" s="3476"/>
      <c r="C78" s="1067" t="s">
        <v>1538</v>
      </c>
      <c r="D78" s="1067" t="s">
        <v>1539</v>
      </c>
      <c r="E78" s="1138">
        <v>0.2</v>
      </c>
      <c r="F78" s="1153">
        <v>30</v>
      </c>
    </row>
    <row r="79" spans="1:6" s="1104" customFormat="1" ht="24">
      <c r="A79" s="1153">
        <v>19</v>
      </c>
      <c r="B79" s="3476"/>
      <c r="C79" s="1067" t="s">
        <v>1540</v>
      </c>
      <c r="D79" s="1067" t="s">
        <v>1541</v>
      </c>
      <c r="E79" s="1138">
        <v>0.5</v>
      </c>
      <c r="F79" s="1153">
        <v>80</v>
      </c>
    </row>
    <row r="80" spans="1:6" s="1104" customFormat="1" ht="36">
      <c r="A80" s="1153">
        <v>20</v>
      </c>
      <c r="B80" s="3476"/>
      <c r="C80" s="1067" t="s">
        <v>1542</v>
      </c>
      <c r="D80" s="1067" t="s">
        <v>1543</v>
      </c>
      <c r="E80" s="1138">
        <v>0.2</v>
      </c>
      <c r="F80" s="1153">
        <v>30</v>
      </c>
    </row>
    <row r="81" spans="1:6" s="1104" customFormat="1" ht="36">
      <c r="A81" s="1153">
        <v>21</v>
      </c>
      <c r="B81" s="3476"/>
      <c r="C81" s="1067" t="s">
        <v>1544</v>
      </c>
      <c r="D81" s="1067" t="s">
        <v>1545</v>
      </c>
      <c r="E81" s="1138">
        <v>0.2</v>
      </c>
      <c r="F81" s="1153">
        <v>30</v>
      </c>
    </row>
    <row r="82" spans="1:6" s="1104" customFormat="1" ht="48">
      <c r="A82" s="1153">
        <v>22</v>
      </c>
      <c r="B82" s="3476"/>
      <c r="C82" s="1067" t="s">
        <v>1546</v>
      </c>
      <c r="D82" s="1067" t="s">
        <v>1547</v>
      </c>
      <c r="E82" s="1138">
        <v>0.2</v>
      </c>
      <c r="F82" s="1153">
        <v>30</v>
      </c>
    </row>
    <row r="83" spans="1:6" s="1104" customFormat="1" ht="48">
      <c r="A83" s="1153">
        <v>23</v>
      </c>
      <c r="B83" s="3476"/>
      <c r="C83" s="1067" t="s">
        <v>1548</v>
      </c>
      <c r="D83" s="1067" t="s">
        <v>1549</v>
      </c>
      <c r="E83" s="1138">
        <v>0.2</v>
      </c>
      <c r="F83" s="1153">
        <v>30</v>
      </c>
    </row>
    <row r="84" spans="1:6" s="1104" customFormat="1" ht="36">
      <c r="A84" s="1153">
        <v>24</v>
      </c>
      <c r="B84" s="3476"/>
      <c r="C84" s="1067" t="s">
        <v>1550</v>
      </c>
      <c r="D84" s="1067" t="s">
        <v>1551</v>
      </c>
      <c r="E84" s="1138">
        <v>0.2</v>
      </c>
      <c r="F84" s="1153">
        <v>30</v>
      </c>
    </row>
    <row r="85" spans="1:6" s="1104" customFormat="1" ht="36">
      <c r="A85" s="1153">
        <v>25</v>
      </c>
      <c r="B85" s="3476"/>
      <c r="C85" s="1067" t="s">
        <v>1552</v>
      </c>
      <c r="D85" s="1067" t="s">
        <v>1553</v>
      </c>
      <c r="E85" s="1138">
        <v>0.5</v>
      </c>
      <c r="F85" s="1153">
        <v>80</v>
      </c>
    </row>
    <row r="86" spans="1:6" s="1104" customFormat="1" ht="36">
      <c r="A86" s="1153">
        <v>26</v>
      </c>
      <c r="B86" s="3476"/>
      <c r="C86" s="1067" t="s">
        <v>1554</v>
      </c>
      <c r="D86" s="1067" t="s">
        <v>1555</v>
      </c>
      <c r="E86" s="1138">
        <v>0.2</v>
      </c>
      <c r="F86" s="1153">
        <v>30</v>
      </c>
    </row>
    <row r="87" spans="1:6" s="1104" customFormat="1" ht="36">
      <c r="A87" s="1153">
        <v>27</v>
      </c>
      <c r="B87" s="3476"/>
      <c r="C87" s="1067" t="s">
        <v>1556</v>
      </c>
      <c r="D87" s="1067" t="s">
        <v>1557</v>
      </c>
      <c r="E87" s="1138">
        <v>0.2</v>
      </c>
      <c r="F87" s="1153">
        <v>30</v>
      </c>
    </row>
    <row r="88" spans="1:6" s="1104" customFormat="1" ht="36">
      <c r="A88" s="1153">
        <v>28</v>
      </c>
      <c r="B88" s="3476"/>
      <c r="C88" s="1067" t="s">
        <v>1558</v>
      </c>
      <c r="D88" s="1067" t="s">
        <v>1559</v>
      </c>
      <c r="E88" s="1138">
        <v>0.2</v>
      </c>
      <c r="F88" s="1153">
        <v>30</v>
      </c>
    </row>
    <row r="89" spans="1:6" s="1104" customFormat="1" ht="24">
      <c r="A89" s="1153">
        <v>29</v>
      </c>
      <c r="B89" s="3476"/>
      <c r="C89" s="1067" t="s">
        <v>1560</v>
      </c>
      <c r="D89" s="1067" t="s">
        <v>1561</v>
      </c>
      <c r="E89" s="1138">
        <v>0.2</v>
      </c>
      <c r="F89" s="1153">
        <v>30</v>
      </c>
    </row>
    <row r="90" spans="1:6" s="1104" customFormat="1" ht="24">
      <c r="A90" s="1153">
        <v>30</v>
      </c>
      <c r="B90" s="3476"/>
      <c r="C90" s="1067" t="s">
        <v>1562</v>
      </c>
      <c r="D90" s="1067" t="s">
        <v>1563</v>
      </c>
      <c r="E90" s="1138">
        <v>0.2</v>
      </c>
      <c r="F90" s="1153">
        <v>30</v>
      </c>
    </row>
    <row r="91" spans="1:6" s="1104" customFormat="1" ht="36">
      <c r="A91" s="1153">
        <v>31</v>
      </c>
      <c r="B91" s="3476"/>
      <c r="C91" s="1067" t="s">
        <v>1564</v>
      </c>
      <c r="D91" s="1067" t="s">
        <v>1565</v>
      </c>
      <c r="E91" s="1138">
        <v>0.2</v>
      </c>
      <c r="F91" s="1153">
        <v>30</v>
      </c>
    </row>
    <row r="92" spans="1:6" s="1104" customFormat="1" ht="24">
      <c r="A92" s="1153">
        <v>32</v>
      </c>
      <c r="B92" s="3476" t="s">
        <v>1566</v>
      </c>
      <c r="C92" s="1153" t="s">
        <v>1567</v>
      </c>
      <c r="D92" s="1067" t="s">
        <v>1568</v>
      </c>
      <c r="E92" s="1138">
        <v>0.2</v>
      </c>
      <c r="F92" s="1153">
        <v>30</v>
      </c>
    </row>
    <row r="93" spans="1:6" s="1104" customFormat="1" ht="36">
      <c r="A93" s="1153">
        <v>33</v>
      </c>
      <c r="B93" s="3476"/>
      <c r="C93" s="1153" t="s">
        <v>1569</v>
      </c>
      <c r="D93" s="1067" t="s">
        <v>1570</v>
      </c>
      <c r="E93" s="1138">
        <v>0.2</v>
      </c>
      <c r="F93" s="1153">
        <v>30</v>
      </c>
    </row>
    <row r="94" spans="1:6" s="1104" customFormat="1" ht="48">
      <c r="A94" s="1153">
        <v>34</v>
      </c>
      <c r="B94" s="3476"/>
      <c r="C94" s="1153" t="s">
        <v>1571</v>
      </c>
      <c r="D94" s="1067" t="s">
        <v>1572</v>
      </c>
      <c r="E94" s="1138">
        <v>0.2</v>
      </c>
      <c r="F94" s="1153">
        <v>30</v>
      </c>
    </row>
    <row r="95" spans="1:6" s="1104" customFormat="1" ht="36">
      <c r="A95" s="1153">
        <v>35</v>
      </c>
      <c r="B95" s="3476"/>
      <c r="C95" s="1153" t="s">
        <v>1573</v>
      </c>
      <c r="D95" s="1067" t="s">
        <v>1574</v>
      </c>
      <c r="E95" s="1138">
        <v>0.2</v>
      </c>
      <c r="F95" s="1153">
        <v>30</v>
      </c>
    </row>
    <row r="96" spans="1:6" s="1104" customFormat="1" ht="48">
      <c r="A96" s="1153">
        <v>36</v>
      </c>
      <c r="B96" s="3476"/>
      <c r="C96" s="1067" t="s">
        <v>1575</v>
      </c>
      <c r="D96" s="1067" t="s">
        <v>1576</v>
      </c>
      <c r="E96" s="1138">
        <v>0.2</v>
      </c>
      <c r="F96" s="1153">
        <v>30</v>
      </c>
    </row>
    <row r="97" spans="1:6" s="1104" customFormat="1" ht="36">
      <c r="A97" s="1153">
        <v>37</v>
      </c>
      <c r="B97" s="3476"/>
      <c r="C97" s="1153" t="s">
        <v>1577</v>
      </c>
      <c r="D97" s="1067" t="s">
        <v>1578</v>
      </c>
      <c r="E97" s="1138">
        <v>0.2</v>
      </c>
      <c r="F97" s="1153">
        <v>30</v>
      </c>
    </row>
    <row r="98" spans="1:6" s="1104" customFormat="1" ht="36">
      <c r="A98" s="1153">
        <v>38</v>
      </c>
      <c r="B98" s="3476"/>
      <c r="C98" s="1153" t="s">
        <v>1579</v>
      </c>
      <c r="D98" s="1067" t="s">
        <v>1580</v>
      </c>
      <c r="E98" s="1138">
        <v>0.2</v>
      </c>
      <c r="F98" s="1153">
        <v>30</v>
      </c>
    </row>
    <row r="99" spans="1:6" s="1104" customFormat="1" ht="36">
      <c r="A99" s="1153">
        <v>39</v>
      </c>
      <c r="B99" s="3476" t="s">
        <v>1581</v>
      </c>
      <c r="C99" s="1153" t="s">
        <v>1582</v>
      </c>
      <c r="D99" s="1067" t="s">
        <v>1583</v>
      </c>
      <c r="E99" s="1138">
        <v>0.3</v>
      </c>
      <c r="F99" s="1153">
        <v>50</v>
      </c>
    </row>
    <row r="100" spans="1:6" s="1104" customFormat="1" ht="24">
      <c r="A100" s="1153">
        <v>40</v>
      </c>
      <c r="B100" s="3476"/>
      <c r="C100" s="1153" t="s">
        <v>1584</v>
      </c>
      <c r="D100" s="1067" t="s">
        <v>1585</v>
      </c>
      <c r="E100" s="1138">
        <v>0.2</v>
      </c>
      <c r="F100" s="1153">
        <v>30</v>
      </c>
    </row>
    <row r="101" spans="1:6" s="1104" customFormat="1" ht="36">
      <c r="A101" s="1153">
        <v>41</v>
      </c>
      <c r="B101" s="347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76" t="s">
        <v>1596</v>
      </c>
      <c r="C105" s="1153" t="s">
        <v>1597</v>
      </c>
      <c r="D105" s="1067" t="s">
        <v>1598</v>
      </c>
      <c r="E105" s="1138">
        <v>0.2</v>
      </c>
      <c r="F105" s="1153">
        <v>30</v>
      </c>
    </row>
    <row r="106" spans="1:6" s="1104" customFormat="1" ht="36">
      <c r="A106" s="1153">
        <v>46</v>
      </c>
      <c r="B106" s="3476"/>
      <c r="C106" s="1153" t="s">
        <v>1599</v>
      </c>
      <c r="D106" s="1067" t="s">
        <v>1600</v>
      </c>
      <c r="E106" s="1138">
        <v>0.2</v>
      </c>
      <c r="F106" s="1153">
        <v>30</v>
      </c>
    </row>
    <row r="107" spans="1:6" s="1104" customFormat="1" ht="36">
      <c r="A107" s="1153">
        <v>47</v>
      </c>
      <c r="B107" s="3476" t="s">
        <v>1601</v>
      </c>
      <c r="C107" s="1153" t="s">
        <v>1602</v>
      </c>
      <c r="D107" s="1067" t="s">
        <v>1603</v>
      </c>
      <c r="E107" s="1138">
        <v>0.3</v>
      </c>
      <c r="F107" s="1153">
        <v>50</v>
      </c>
    </row>
    <row r="108" spans="1:6" s="1104" customFormat="1" ht="36">
      <c r="A108" s="1153">
        <v>48</v>
      </c>
      <c r="B108" s="347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76" t="s">
        <v>1612</v>
      </c>
      <c r="C111" s="1153" t="s">
        <v>1613</v>
      </c>
      <c r="D111" s="1067" t="s">
        <v>1614</v>
      </c>
      <c r="E111" s="1138">
        <v>0.2</v>
      </c>
      <c r="F111" s="1153">
        <v>30</v>
      </c>
    </row>
    <row r="112" spans="1:6" s="1104" customFormat="1" ht="24">
      <c r="A112" s="1153">
        <v>52</v>
      </c>
      <c r="B112" s="3476"/>
      <c r="C112" s="1153" t="s">
        <v>1615</v>
      </c>
      <c r="D112" s="1067" t="s">
        <v>1616</v>
      </c>
      <c r="E112" s="1138">
        <v>0.2</v>
      </c>
      <c r="F112" s="1153">
        <v>30</v>
      </c>
    </row>
    <row r="113" spans="1:14" s="1104" customFormat="1" ht="24">
      <c r="A113" s="1153">
        <v>53</v>
      </c>
      <c r="B113" s="347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76" t="s">
        <v>1625</v>
      </c>
      <c r="C116" s="1153" t="s">
        <v>1626</v>
      </c>
      <c r="D116" s="1067" t="s">
        <v>1627</v>
      </c>
      <c r="E116" s="1138">
        <v>0.2</v>
      </c>
      <c r="F116" s="1153">
        <v>30</v>
      </c>
    </row>
    <row r="117" spans="1:14" ht="36">
      <c r="A117" s="1153">
        <v>57</v>
      </c>
      <c r="B117" s="347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75" t="s">
        <v>1634</v>
      </c>
      <c r="B121" s="3475"/>
      <c r="C121" s="3475"/>
      <c r="D121" s="3475"/>
      <c r="E121" s="3475"/>
      <c r="F121" s="3475"/>
      <c r="G121" s="3475"/>
      <c r="H121" s="3475"/>
      <c r="I121" s="3475"/>
      <c r="J121" s="347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0" t="s">
        <v>1040</v>
      </c>
      <c r="B1" s="3480"/>
      <c r="C1" s="3480"/>
      <c r="D1" s="3480"/>
      <c r="E1" s="3480"/>
      <c r="F1" s="3480"/>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81" t="s">
        <v>1053</v>
      </c>
      <c r="B2" s="3481"/>
      <c r="C2" s="3481"/>
      <c r="D2" s="3481"/>
      <c r="E2" s="3481"/>
      <c r="F2" s="3481"/>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82"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83"/>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84" t="s">
        <v>2080</v>
      </c>
      <c r="B1" s="3484"/>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2940</v>
      </c>
      <c r="B1" s="3127"/>
      <c r="C1" s="3127"/>
      <c r="D1" s="3127"/>
      <c r="E1" s="3127"/>
      <c r="F1" s="3127"/>
    </row>
    <row r="2" spans="1:6" ht="14.25">
      <c r="A2" s="3128" t="s">
        <v>2935</v>
      </c>
      <c r="B2" s="3129" t="e">
        <f ca="1">SUMIF(B7:B14,"&lt;&gt;#ref!",B7:B14)</f>
        <v>#DIV/0!</v>
      </c>
      <c r="C2" s="3128" t="s">
        <v>2936</v>
      </c>
      <c r="D2" s="3127"/>
      <c r="E2" s="3127"/>
      <c r="F2" s="3127"/>
    </row>
    <row r="3" spans="1:6" ht="14.25">
      <c r="A3" s="3128" t="s">
        <v>2970</v>
      </c>
      <c r="B3" s="3129" t="e">
        <f ca="1">ROUND(B2*10000/E3,0)</f>
        <v>#DIV/0!</v>
      </c>
      <c r="C3" s="3128" t="s">
        <v>2079</v>
      </c>
      <c r="D3" s="3128" t="s">
        <v>2937</v>
      </c>
      <c r="E3" s="3129">
        <f ca="1">SUMIF(E7:E14,"&lt;&gt;#ref!",E7:E14)</f>
        <v>0</v>
      </c>
      <c r="F3" s="3127"/>
    </row>
    <row r="4" spans="1:6" ht="14.25">
      <c r="A4" s="3128" t="s">
        <v>2944</v>
      </c>
      <c r="B4" s="3129" t="e">
        <f ca="1">ROUND(B2*10000/E4,0)</f>
        <v>#DIV/0!</v>
      </c>
      <c r="C4" s="3128" t="s">
        <v>2079</v>
      </c>
      <c r="D4" s="3128" t="s">
        <v>2945</v>
      </c>
      <c r="E4" s="3129">
        <f ca="1">SUMIF(F7:F14,"&lt;&gt;#ref!",F7:F14)</f>
        <v>0</v>
      </c>
      <c r="F4" s="3127"/>
    </row>
    <row r="5" spans="1:6" ht="14.25">
      <c r="A5" s="3130"/>
      <c r="B5" s="1880"/>
      <c r="C5" s="1880"/>
      <c r="D5" s="1880"/>
      <c r="E5" s="1880"/>
      <c r="F5" s="3127"/>
    </row>
    <row r="6" spans="1:6" ht="28.5">
      <c r="A6" s="3131" t="s">
        <v>2941</v>
      </c>
      <c r="B6" s="3128" t="s">
        <v>2938</v>
      </c>
      <c r="C6" s="3129"/>
      <c r="D6" s="1880"/>
      <c r="E6" s="3128" t="s">
        <v>2939</v>
      </c>
      <c r="F6" s="3128" t="s">
        <v>2943</v>
      </c>
    </row>
    <row r="7" spans="1:6" ht="14.25">
      <c r="A7" s="259" t="s">
        <v>2942</v>
      </c>
      <c r="B7" s="3132" t="e">
        <f ca="1">SUMIF(INDIRECT("'"&amp;A7&amp;"'"&amp;"!A:A"),"总价",INDIRECT("'"&amp;A7&amp;"'"&amp;"!B:B"))</f>
        <v>#DIV/0!</v>
      </c>
      <c r="C7" s="3128" t="s">
        <v>2936</v>
      </c>
      <c r="D7" s="1880"/>
      <c r="E7" s="3133">
        <f ca="1">SUMIF(INDIRECT("'"&amp;A7&amp;"'"&amp;"!C:C"),"建筑面积",INDIRECT("'"&amp;A7&amp;"'"&amp;"!D:D"))</f>
        <v>0</v>
      </c>
      <c r="F7" s="3133">
        <f ca="1">SUMIF(INDIRECT("'"&amp;A7&amp;"'"&amp;"!E:E"),"土地面积",INDIRECT("'"&amp;A7&amp;"'"&amp;"!F:F"))</f>
        <v>0</v>
      </c>
    </row>
    <row r="8" spans="1:6" ht="14.25">
      <c r="A8" s="259"/>
      <c r="B8" s="3132" t="e">
        <f t="shared" ref="B8:B14" ca="1" si="0">SUMIF(INDIRECT("'"&amp;A8&amp;"'"&amp;"!A:A"),"总价",INDIRECT("'"&amp;A8&amp;"'"&amp;"!B:B"))</f>
        <v>#REF!</v>
      </c>
      <c r="C8" s="3128" t="s">
        <v>2936</v>
      </c>
      <c r="D8" s="1880"/>
      <c r="E8" s="3133" t="e">
        <f t="shared" ref="E8:E14" ca="1" si="1">SUMIF(INDIRECT("'"&amp;A8&amp;"'"&amp;"!C:C"),"建筑面积",INDIRECT("'"&amp;A8&amp;"'"&amp;"!D:D"))</f>
        <v>#REF!</v>
      </c>
      <c r="F8" s="3133" t="e">
        <f t="shared" ref="F8:F14" ca="1" si="2">SUMIF(INDIRECT("'"&amp;A8&amp;"'"&amp;"!E:E"),"土地面积",INDIRECT("'"&amp;A8&amp;"'"&amp;"!F:F"))</f>
        <v>#REF!</v>
      </c>
    </row>
    <row r="9" spans="1:6" ht="14.25">
      <c r="A9" s="259"/>
      <c r="B9" s="3132" t="e">
        <f t="shared" ca="1" si="0"/>
        <v>#REF!</v>
      </c>
      <c r="C9" s="3128" t="s">
        <v>2936</v>
      </c>
      <c r="D9" s="1880"/>
      <c r="E9" s="3133" t="e">
        <f t="shared" ca="1" si="1"/>
        <v>#REF!</v>
      </c>
      <c r="F9" s="3133" t="e">
        <f t="shared" ca="1" si="2"/>
        <v>#REF!</v>
      </c>
    </row>
    <row r="10" spans="1:6" ht="14.25">
      <c r="A10" s="259"/>
      <c r="B10" s="3132" t="e">
        <f t="shared" ca="1" si="0"/>
        <v>#REF!</v>
      </c>
      <c r="C10" s="3128" t="s">
        <v>2936</v>
      </c>
      <c r="D10" s="1880"/>
      <c r="E10" s="3133" t="e">
        <f t="shared" ca="1" si="1"/>
        <v>#REF!</v>
      </c>
      <c r="F10" s="3133" t="e">
        <f t="shared" ca="1" si="2"/>
        <v>#REF!</v>
      </c>
    </row>
    <row r="11" spans="1:6" ht="14.25">
      <c r="A11" s="259"/>
      <c r="B11" s="3132" t="e">
        <f t="shared" ca="1" si="0"/>
        <v>#REF!</v>
      </c>
      <c r="C11" s="3128" t="s">
        <v>2936</v>
      </c>
      <c r="D11" s="1880"/>
      <c r="E11" s="3133" t="e">
        <f t="shared" ca="1" si="1"/>
        <v>#REF!</v>
      </c>
      <c r="F11" s="3133" t="e">
        <f t="shared" ca="1" si="2"/>
        <v>#REF!</v>
      </c>
    </row>
    <row r="12" spans="1:6" ht="14.25">
      <c r="A12" s="259"/>
      <c r="B12" s="3132" t="e">
        <f t="shared" ca="1" si="0"/>
        <v>#REF!</v>
      </c>
      <c r="C12" s="3128" t="s">
        <v>2936</v>
      </c>
      <c r="D12" s="1880"/>
      <c r="E12" s="3133" t="e">
        <f t="shared" ca="1" si="1"/>
        <v>#REF!</v>
      </c>
      <c r="F12" s="3133" t="e">
        <f t="shared" ca="1" si="2"/>
        <v>#REF!</v>
      </c>
    </row>
    <row r="13" spans="1:6" ht="14.25">
      <c r="A13" s="259"/>
      <c r="B13" s="3132" t="e">
        <f t="shared" ca="1" si="0"/>
        <v>#REF!</v>
      </c>
      <c r="C13" s="3128" t="s">
        <v>2936</v>
      </c>
      <c r="D13" s="1880"/>
      <c r="E13" s="3133" t="e">
        <f t="shared" ca="1" si="1"/>
        <v>#REF!</v>
      </c>
      <c r="F13" s="3133" t="e">
        <f t="shared" ca="1" si="2"/>
        <v>#REF!</v>
      </c>
    </row>
    <row r="14" spans="1:6" ht="14.25">
      <c r="A14" s="3126"/>
      <c r="B14" s="3132" t="e">
        <f t="shared" ca="1" si="0"/>
        <v>#REF!</v>
      </c>
      <c r="C14" s="3128" t="s">
        <v>2936</v>
      </c>
      <c r="D14" s="1880"/>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珠海市恒信糖业有限公司：</v>
      </c>
    </row>
    <row r="4" spans="1:4" ht="37.5">
      <c r="A4" s="1790" t="str">
        <f>"受贵公司委托，我公司对"&amp;项目基本情况!K2&amp;项目基本情况!B9&amp;"进行了预评估。"</f>
        <v>受贵公司委托，我公司对广东省珠海市斗门区乾务镇糖厂内2宗工业用地出让国有建设用地使用权抵押价格进行了预评估。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珠海市斗门区乾务镇糖厂内2宗工业用地出让国有建设用地使用权。根据《国有土地使用证》[斗府国用（2002）字第04210300132号]，估价对象（分摊）出让国有建设用地使用权面积为157370.63平方米。根据企业介绍、《房地产权证》，估价对象规划建筑面积为140004.31平方米。</v>
      </c>
    </row>
    <row r="7" spans="1:4" ht="56.25">
      <c r="A7" s="1794" t="s">
        <v>2748</v>
      </c>
    </row>
    <row r="8" spans="1:4" ht="18.75">
      <c r="A8" s="1793" t="s">
        <v>1907</v>
      </c>
    </row>
    <row r="9" spans="1:4" ht="75">
      <c r="A9" s="1795"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2018年5月24日（评估专业人员勘察现场之日）</v>
      </c>
    </row>
    <row r="12" spans="1:4" ht="18.75">
      <c r="A12" s="1796" t="s">
        <v>2026</v>
      </c>
    </row>
    <row r="13" spans="1:4" ht="18.75">
      <c r="A13" s="1790" t="s">
        <v>2932</v>
      </c>
    </row>
    <row r="14" spans="1:4" ht="37.5">
      <c r="A14" s="1790" t="str">
        <f>"根据"&amp;项目基本情况!F12&amp;"，本次评估估价对象证载（地类）用途为"&amp;项目基本情况!B12&amp;"。"</f>
        <v>根据《国有土地使用证》[斗府国用（2002）字第04210300132号]，本次评估估价对象证载（地类）用途为住宅。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根据《国有土地使用证》[斗府国用（2002）字第04210300132号]，估价对象（分摊）出让国有建设用地使用权面积为157370.63平方米。根据企业介绍、《房地产权证》，估价对象规划建筑面积为140004.31平方米。</v>
      </c>
    </row>
    <row r="21" spans="1:1" ht="18.75">
      <c r="A21" s="1790" t="s">
        <v>2075</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本次估价对象为出让国有建设用地使用权，《国有土地使用证》[斗府国用（2002）字第04210300132号]证载土地终止日期为工业2052年8月19日。截至估价期日，出让国有建设用地使用权剩余土地使用年限为工业34.26。</v>
      </c>
    </row>
    <row r="23" spans="1:1" ht="18.75">
      <c r="A23" s="1790" t="str">
        <f>IF(项目基本情况!B16="出让","本次评估设定估价对象剩余土地使用年限为"&amp;项目基本情况!D20&amp;"。","")</f>
        <v>本次评估设定估价对象剩余土地使用年限为工业34.26。</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工业34.26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20" sqref="M20"/>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628</v>
      </c>
      <c r="B1" s="737"/>
      <c r="C1" s="772"/>
      <c r="D1" s="2049"/>
      <c r="E1" s="2410" t="s">
        <v>2375</v>
      </c>
      <c r="F1" s="2411">
        <f ca="1">J54</f>
        <v>0</v>
      </c>
      <c r="G1" s="773">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4">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5" t="s">
        <v>695</v>
      </c>
      <c r="I3" s="2056"/>
      <c r="J3" s="2056"/>
      <c r="K3" s="2057"/>
      <c r="L3" s="2056"/>
      <c r="M3" s="2056"/>
    </row>
    <row r="4" spans="1:25" ht="18" customHeight="1">
      <c r="A4" s="1645" t="s">
        <v>696</v>
      </c>
      <c r="B4" s="1351">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697</v>
      </c>
      <c r="D5" s="2054"/>
      <c r="E5" s="2055"/>
      <c r="F5" s="2055"/>
      <c r="G5" s="1589"/>
      <c r="H5" s="775"/>
      <c r="I5" s="2056"/>
      <c r="J5" s="2056"/>
      <c r="K5" s="2057"/>
      <c r="L5" s="2056"/>
      <c r="M5" s="2056"/>
    </row>
    <row r="6" spans="1:25" ht="18" customHeight="1">
      <c r="A6" s="1827" t="s">
        <v>698</v>
      </c>
      <c r="B6" s="1819" t="s">
        <v>699</v>
      </c>
      <c r="C6" s="1819" t="s">
        <v>632</v>
      </c>
      <c r="D6" s="1819" t="s">
        <v>633</v>
      </c>
      <c r="E6" s="778" t="s">
        <v>634</v>
      </c>
      <c r="F6" s="779"/>
      <c r="G6" s="1591"/>
      <c r="H6" s="1827" t="s">
        <v>630</v>
      </c>
      <c r="I6" s="1819" t="s">
        <v>631</v>
      </c>
      <c r="J6" s="1819" t="s">
        <v>632</v>
      </c>
      <c r="K6" s="1819" t="s">
        <v>633</v>
      </c>
      <c r="L6" s="778" t="s">
        <v>634</v>
      </c>
      <c r="M6" s="779"/>
    </row>
    <row r="7" spans="1:25" ht="18" customHeight="1">
      <c r="A7" s="780">
        <v>1</v>
      </c>
      <c r="B7" s="781" t="s">
        <v>2459</v>
      </c>
      <c r="C7" s="53">
        <f ca="1">C8+C12+C14</f>
        <v>0</v>
      </c>
      <c r="D7" s="2519" t="s">
        <v>2462</v>
      </c>
      <c r="E7" s="2513"/>
      <c r="F7" s="2514"/>
      <c r="G7" s="1591"/>
      <c r="H7" s="780">
        <v>1</v>
      </c>
      <c r="I7" s="781" t="s">
        <v>2459</v>
      </c>
      <c r="J7" s="53">
        <f ca="1">J8+J12+J14</f>
        <v>0</v>
      </c>
      <c r="K7" s="2519" t="s">
        <v>2462</v>
      </c>
      <c r="L7" s="2513"/>
      <c r="M7" s="2514"/>
    </row>
    <row r="8" spans="1:25" ht="18" customHeight="1">
      <c r="A8" s="1829" t="s">
        <v>1825</v>
      </c>
      <c r="B8" s="3486" t="s">
        <v>2464</v>
      </c>
      <c r="C8" s="1824">
        <f ca="1">ROUND(F8*F10*F9*(1-F11)/10000,0)</f>
        <v>0</v>
      </c>
      <c r="D8" s="1821" t="s">
        <v>2535</v>
      </c>
      <c r="E8" s="61" t="s">
        <v>637</v>
      </c>
      <c r="F8" s="784">
        <f ca="1">INDIRECT("'数据-取费表'!u"&amp;$G$1)</f>
        <v>0</v>
      </c>
      <c r="G8" s="1591"/>
      <c r="H8" s="2527" t="s">
        <v>1825</v>
      </c>
      <c r="I8" s="3486" t="s">
        <v>2464</v>
      </c>
      <c r="J8" s="782">
        <f ca="1">ROUND(M8*M10*M9*(1-M11)/10000,0)</f>
        <v>0</v>
      </c>
      <c r="K8" s="340" t="s">
        <v>2535</v>
      </c>
      <c r="L8" s="783" t="s">
        <v>1739</v>
      </c>
      <c r="M8" s="784">
        <f ca="1">INDIRECT("'数据-取费表'!z"&amp;$G$1)</f>
        <v>0</v>
      </c>
    </row>
    <row r="9" spans="1:25" ht="18" customHeight="1">
      <c r="A9" s="2523"/>
      <c r="B9" s="3487"/>
      <c r="C9" s="1825"/>
      <c r="D9" s="1822"/>
      <c r="E9" s="61" t="s">
        <v>638</v>
      </c>
      <c r="F9" s="784">
        <f ca="1">IF(INDIRECT("'数据-取费表'!ah"&amp;$G$1)="",INDIRECT("'数据-取费表'!k"&amp;$G$1),INDIRECT("'数据-取费表'!ah"&amp;$G$1))</f>
        <v>0</v>
      </c>
      <c r="G9" s="1591"/>
      <c r="H9" s="2512"/>
      <c r="I9" s="3487"/>
      <c r="J9" s="787"/>
      <c r="K9" s="788"/>
      <c r="L9" s="783" t="s">
        <v>1740</v>
      </c>
      <c r="M9" s="784">
        <f ca="1">F9</f>
        <v>0</v>
      </c>
    </row>
    <row r="10" spans="1:25" ht="18" customHeight="1">
      <c r="A10" s="2516"/>
      <c r="B10" s="3488"/>
      <c r="C10" s="1825"/>
      <c r="D10" s="1822"/>
      <c r="E10" s="61" t="s">
        <v>639</v>
      </c>
      <c r="F10" s="784">
        <f ca="1">INDIRECT("'数据-取费表'!ai"&amp;$G$1)</f>
        <v>0</v>
      </c>
      <c r="G10" s="1591"/>
      <c r="H10" s="2512"/>
      <c r="I10" s="3488"/>
      <c r="J10" s="787"/>
      <c r="K10" s="788"/>
      <c r="L10" s="783" t="s">
        <v>1741</v>
      </c>
      <c r="M10" s="784">
        <f ca="1">INDIRECT("'数据-取费表'!ai"&amp;$G$1)</f>
        <v>0</v>
      </c>
    </row>
    <row r="11" spans="1:25" ht="18" customHeight="1">
      <c r="A11" s="785"/>
      <c r="B11" s="3489"/>
      <c r="C11" s="1825"/>
      <c r="D11" s="1822"/>
      <c r="E11" s="61" t="s">
        <v>640</v>
      </c>
      <c r="F11" s="793">
        <f ca="1">INDIRECT("'数据-取费表'!w"&amp;$G$1)</f>
        <v>0</v>
      </c>
      <c r="G11" s="1591"/>
      <c r="H11" s="2528"/>
      <c r="I11" s="3488"/>
      <c r="J11" s="787"/>
      <c r="K11" s="788"/>
      <c r="L11" s="794" t="s">
        <v>1742</v>
      </c>
      <c r="M11" s="795">
        <f ca="1">INDIRECT("'数据-取费表'!ab"&amp;$G$1)</f>
        <v>0</v>
      </c>
    </row>
    <row r="12" spans="1:25" ht="18" customHeight="1">
      <c r="A12" s="1829" t="s">
        <v>1826</v>
      </c>
      <c r="B12" s="2517" t="s">
        <v>2460</v>
      </c>
      <c r="C12" s="798">
        <f ca="1">ROUND(IF(F12="押一",C8/12*F13,IF(F12="押二",C8/12*2*F13,IF(F12="押三",C8/12*3*F13,C13*F13))),0)</f>
        <v>0</v>
      </c>
      <c r="D12" s="2524" t="s">
        <v>2965</v>
      </c>
      <c r="E12" s="2521" t="s">
        <v>2465</v>
      </c>
      <c r="F12" s="2644"/>
      <c r="G12" s="1591"/>
      <c r="H12" s="2584" t="s">
        <v>1826</v>
      </c>
      <c r="I12" s="2589" t="s">
        <v>2460</v>
      </c>
      <c r="J12" s="782">
        <f ca="1">ROUND(IF(M12="押一",J8/12*M13,IF(M12="押二",J8/12*2*M13,IF(M12="押三",J8/12*3*M13,J13*M13))),0)</f>
        <v>0</v>
      </c>
      <c r="K12" s="2524" t="s">
        <v>2965</v>
      </c>
      <c r="L12" s="2521" t="s">
        <v>2465</v>
      </c>
      <c r="M12" s="2644"/>
    </row>
    <row r="13" spans="1:25" ht="18" customHeight="1">
      <c r="A13" s="789"/>
      <c r="B13" s="2518" t="s">
        <v>2574</v>
      </c>
      <c r="C13" s="2522"/>
      <c r="D13" s="788"/>
      <c r="E13" s="2521" t="s">
        <v>2457</v>
      </c>
      <c r="F13" s="795">
        <f ca="1">'数据-取费表'!B39</f>
        <v>1.4999999999999999E-2</v>
      </c>
      <c r="G13" s="1591"/>
      <c r="H13" s="2585"/>
      <c r="I13" s="2518" t="s">
        <v>2574</v>
      </c>
      <c r="J13" s="2522"/>
      <c r="K13" s="2586"/>
      <c r="L13" s="2521" t="s">
        <v>2457</v>
      </c>
      <c r="M13" s="2515">
        <f ca="1">'数据-取费表'!B39</f>
        <v>1.4999999999999999E-2</v>
      </c>
    </row>
    <row r="14" spans="1:25" ht="18" customHeight="1" thickBot="1">
      <c r="A14" s="2560" t="s">
        <v>2468</v>
      </c>
      <c r="B14" s="2561" t="s">
        <v>2461</v>
      </c>
      <c r="C14" s="2562"/>
      <c r="D14" s="2563"/>
      <c r="E14" s="2564"/>
      <c r="F14" s="2565"/>
      <c r="G14" s="1591"/>
      <c r="H14" s="2574" t="s">
        <v>2468</v>
      </c>
      <c r="I14" s="2587" t="s">
        <v>2461</v>
      </c>
      <c r="J14" s="2588"/>
      <c r="K14" s="2563"/>
      <c r="L14" s="2564"/>
      <c r="M14" s="2577"/>
    </row>
    <row r="15" spans="1:25" ht="18" customHeight="1" thickTop="1">
      <c r="A15" s="1828" t="s">
        <v>1875</v>
      </c>
      <c r="B15" s="1826" t="s">
        <v>641</v>
      </c>
      <c r="C15" s="791">
        <f ca="1">ROUND(C31*F15,0)</f>
        <v>0</v>
      </c>
      <c r="D15" s="1833" t="s">
        <v>642</v>
      </c>
      <c r="E15" s="794" t="s">
        <v>643</v>
      </c>
      <c r="F15" s="799">
        <f ca="1">INDIRECT("'数据-取费表'!y"&amp;$G$1)</f>
        <v>0</v>
      </c>
      <c r="G15" s="1591"/>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1"/>
      <c r="H16" s="802" t="s">
        <v>2070</v>
      </c>
      <c r="I16" s="2230" t="s">
        <v>2826</v>
      </c>
      <c r="J16" s="53">
        <f ca="1">C31</f>
        <v>0</v>
      </c>
      <c r="K16" s="26"/>
      <c r="L16" s="800"/>
      <c r="M16" s="801"/>
    </row>
    <row r="17" spans="1:25" s="2063" customFormat="1" ht="18" customHeight="1">
      <c r="A17" s="802" t="s">
        <v>1850</v>
      </c>
      <c r="B17" s="783" t="s">
        <v>647</v>
      </c>
      <c r="C17" s="53">
        <f ca="1">ROUND(C16*F17,0)</f>
        <v>0</v>
      </c>
      <c r="D17" s="805" t="s">
        <v>648</v>
      </c>
      <c r="E17" s="805" t="s">
        <v>649</v>
      </c>
      <c r="F17" s="806">
        <f>'数据-取费表'!B33</f>
        <v>0.03</v>
      </c>
      <c r="G17" s="1592"/>
      <c r="H17" s="802" t="s">
        <v>2071</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1"/>
      <c r="M18" s="56"/>
    </row>
    <row r="19" spans="1:25" s="2063" customFormat="1" ht="18" customHeight="1">
      <c r="A19" s="802" t="s">
        <v>1852</v>
      </c>
      <c r="B19" s="783" t="s">
        <v>653</v>
      </c>
      <c r="C19" s="53">
        <f ca="1">ROUND(F19*(INDIRECT("'数据-取费表'!k"&amp;$G$1)+INDIRECT("'数据-取费表'!S"&amp;$G$1))/10000,0)</f>
        <v>0</v>
      </c>
      <c r="D19" s="783" t="s">
        <v>654</v>
      </c>
      <c r="E19" s="783" t="s">
        <v>655</v>
      </c>
      <c r="F19" s="56">
        <f>'数据-取费表'!B35</f>
        <v>100</v>
      </c>
      <c r="G19" s="1592"/>
      <c r="H19" s="802" t="s">
        <v>2070</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662</v>
      </c>
      <c r="C21" s="53">
        <f ca="1">SUM(C16:C20)</f>
        <v>0</v>
      </c>
      <c r="D21" s="260" t="s">
        <v>663</v>
      </c>
      <c r="E21" s="1981"/>
      <c r="F21" s="56"/>
      <c r="G21" s="1591"/>
      <c r="H21" s="1829" t="s">
        <v>1850</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3">
        <f ca="1">ROUND(C21*F22,0)</f>
        <v>0</v>
      </c>
      <c r="D22" s="811" t="s">
        <v>667</v>
      </c>
      <c r="E22" s="783" t="s">
        <v>649</v>
      </c>
      <c r="F22" s="808">
        <f>'数据-取费表'!B37</f>
        <v>0.02</v>
      </c>
      <c r="G22" s="1592"/>
      <c r="H22" s="1831" t="s">
        <v>1851</v>
      </c>
      <c r="I22" s="1821" t="s">
        <v>668</v>
      </c>
      <c r="J22" s="54">
        <f ca="1">ROUND(M22*M23/10000,0)</f>
        <v>0</v>
      </c>
      <c r="K22" s="813" t="s">
        <v>669</v>
      </c>
      <c r="L22" s="783" t="s">
        <v>670</v>
      </c>
      <c r="M22" s="639">
        <f>'数据-取费表'!B52</f>
        <v>1</v>
      </c>
      <c r="N22" s="2062"/>
      <c r="O22" s="2062"/>
      <c r="P22" s="2062"/>
      <c r="Q22" s="2062"/>
      <c r="R22" s="2062"/>
      <c r="S22" s="2062"/>
      <c r="T22" s="2062"/>
      <c r="U22" s="2062"/>
      <c r="V22" s="2062"/>
      <c r="W22" s="2062"/>
      <c r="X22" s="2062"/>
      <c r="Y22" s="2062"/>
    </row>
    <row r="23" spans="1:25" s="2063" customFormat="1" ht="18" customHeight="1">
      <c r="A23" s="802" t="s">
        <v>1879</v>
      </c>
      <c r="B23" s="783" t="s">
        <v>671</v>
      </c>
      <c r="C23" s="53" t="s">
        <v>1</v>
      </c>
      <c r="D23" s="811" t="s">
        <v>672</v>
      </c>
      <c r="E23" s="783" t="s">
        <v>673</v>
      </c>
      <c r="F23" s="808">
        <f>'数据-取费表'!B38</f>
        <v>0.02</v>
      </c>
      <c r="G23" s="1592"/>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3"/>
      <c r="D24" s="2595" t="str">
        <f>IF(F25&lt;=1,"单利计息。","复利计息。")&amp;"建造成本、管理费用、销售费用产生的利息。"</f>
        <v>单利计息。建造成本、管理费用、销售费用产生的利息。</v>
      </c>
      <c r="E24" s="1981"/>
      <c r="F24" s="56"/>
      <c r="G24" s="1591"/>
      <c r="H24" s="1830" t="s">
        <v>2071</v>
      </c>
      <c r="I24" s="783" t="s">
        <v>676</v>
      </c>
      <c r="J24" s="53">
        <f ca="1">ROUND(J16*M24,0)</f>
        <v>0</v>
      </c>
      <c r="K24" s="1976" t="s">
        <v>677</v>
      </c>
      <c r="L24" s="783" t="s">
        <v>649</v>
      </c>
      <c r="M24" s="816">
        <f ca="1">INDIRECT("'数据-取费表'!Ak"&amp;$G$1)</f>
        <v>0</v>
      </c>
    </row>
    <row r="25" spans="1:25" s="2063" customFormat="1" ht="18" customHeight="1">
      <c r="A25" s="802" t="s">
        <v>1876</v>
      </c>
      <c r="B25" s="783" t="s">
        <v>2438</v>
      </c>
      <c r="C25" s="53">
        <f ca="1">ROUND(IF('数据-取费表'!B22&lt;=1,(C21+C22)*F26*F25/2,(C21+C22)*(POWER((1+F26),F25/2)-1)),0)</f>
        <v>0</v>
      </c>
      <c r="D25" s="2594" t="str">
        <f>IF(F25&lt;=1,"(建造成本+管理费用)×利率×(建设周期÷2)","(建造成本+管理费用)×((1+利率)^(建设周期÷2)-1)")</f>
        <v>(建造成本+管理费用)×利率×(建设周期÷2)</v>
      </c>
      <c r="E25" s="783" t="s">
        <v>678</v>
      </c>
      <c r="F25" s="639">
        <f>'数据-取费表'!B20</f>
        <v>1</v>
      </c>
      <c r="G25" s="1592"/>
      <c r="H25" s="802" t="s">
        <v>1879</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3">
        <f ca="1">ROUND(IF('数据-取费表'!B22&lt;=1,F23*F26*F25/2,F23*(POWER((1+F26),F25/2)-1)),4)</f>
        <v>4.0000000000000002E-4</v>
      </c>
      <c r="D26" s="2594" t="str">
        <f>IF(F25&lt;=1,"销售费用×利率×(建设周期÷2)","销售费用×((1+利率)^(建设周期÷2)-1)")</f>
        <v>销售费用×利率×(建设周期÷2)</v>
      </c>
      <c r="E26" s="783" t="s">
        <v>682</v>
      </c>
      <c r="F26" s="818">
        <f ca="1">'数据-取费表'!B40</f>
        <v>4.3499999999999997E-2</v>
      </c>
      <c r="G26" s="1592"/>
      <c r="H26" s="802" t="s">
        <v>1880</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3"/>
      <c r="D27" s="260" t="s">
        <v>685</v>
      </c>
      <c r="E27" s="1981"/>
      <c r="F27" s="56"/>
      <c r="G27" s="1591"/>
      <c r="H27" s="796" t="s">
        <v>1829</v>
      </c>
      <c r="I27" s="3034" t="s">
        <v>2823</v>
      </c>
      <c r="J27" s="798">
        <f ca="1">J7-J18</f>
        <v>0</v>
      </c>
      <c r="K27" s="1978" t="s">
        <v>700</v>
      </c>
      <c r="L27" s="1980"/>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3"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2824</v>
      </c>
      <c r="C31" s="2567">
        <f ca="1">ROUND((C21+C22+C25+C28)/(1-F23-C26-C29-C30),0)</f>
        <v>0</v>
      </c>
      <c r="D31" s="2568"/>
      <c r="E31" s="2569"/>
      <c r="F31" s="2570"/>
      <c r="G31" s="1592"/>
      <c r="H31" s="822" t="s">
        <v>1873</v>
      </c>
      <c r="I31" s="3035"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510"/>
      <c r="F32" s="2514"/>
      <c r="G32" s="2061"/>
      <c r="H32" s="2064"/>
      <c r="I32" s="2065"/>
      <c r="J32" s="2066"/>
      <c r="K32" s="2067"/>
      <c r="L32" s="2068"/>
      <c r="M32" s="2069"/>
    </row>
    <row r="33" spans="1:18" ht="18" customHeight="1">
      <c r="A33" s="802" t="s">
        <v>1877</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4">
        <f ca="1">ROUND(F36*F37/10000,1)</f>
        <v>0</v>
      </c>
      <c r="D36" s="813" t="s">
        <v>669</v>
      </c>
      <c r="E36" s="783" t="s">
        <v>670</v>
      </c>
      <c r="F36" s="639">
        <f>'数据-取费表'!B52</f>
        <v>1</v>
      </c>
      <c r="G36" s="2061"/>
      <c r="H36" s="2064"/>
      <c r="I36" s="3485"/>
      <c r="J36" s="2078"/>
      <c r="K36" s="2079"/>
      <c r="L36" s="2078"/>
      <c r="M36" s="2078"/>
    </row>
    <row r="37" spans="1:18" ht="18" customHeight="1">
      <c r="A37" s="814"/>
      <c r="B37" s="792"/>
      <c r="C37" s="69"/>
      <c r="D37" s="815"/>
      <c r="E37" s="783" t="s">
        <v>674</v>
      </c>
      <c r="F37" s="784">
        <f ca="1">INDIRECT("'数据-取费表'!r"&amp;$G$1)</f>
        <v>0</v>
      </c>
      <c r="G37" s="2061"/>
      <c r="H37" s="2064"/>
      <c r="I37" s="3485"/>
      <c r="J37" s="2076"/>
      <c r="K37" s="2077"/>
      <c r="L37" s="2076"/>
      <c r="M37" s="2076"/>
    </row>
    <row r="38" spans="1:18" ht="18" customHeight="1">
      <c r="A38" s="802" t="s">
        <v>1878</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83" t="s">
        <v>1880</v>
      </c>
      <c r="B40" s="2569" t="s">
        <v>666</v>
      </c>
      <c r="C40" s="2567">
        <f ca="1">ROUND(C7*F40,1)</f>
        <v>0</v>
      </c>
      <c r="D40" s="2568" t="s">
        <v>683</v>
      </c>
      <c r="E40" s="2569" t="s">
        <v>649</v>
      </c>
      <c r="F40" s="2565">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5" t="s">
        <v>712</v>
      </c>
      <c r="E43" s="3146" t="s">
        <v>2953</v>
      </c>
      <c r="F43" s="3147">
        <f ca="1">INDIRECT("'数据-取费表'!j"&amp;$G$1)</f>
        <v>0</v>
      </c>
      <c r="G43" s="2061"/>
      <c r="H43" s="2061"/>
      <c r="I43" s="2061"/>
      <c r="J43" s="2061"/>
      <c r="K43" s="2082"/>
      <c r="L43" s="2061"/>
      <c r="M43" s="2061"/>
    </row>
    <row r="44" spans="1:18" ht="18" customHeight="1">
      <c r="A44" s="802" t="s">
        <v>1879</v>
      </c>
      <c r="B44" s="834" t="s">
        <v>713</v>
      </c>
      <c r="C44" s="1356">
        <f ca="1">C42-C43</f>
        <v>0</v>
      </c>
      <c r="D44" s="462" t="s">
        <v>714</v>
      </c>
      <c r="E44" s="463"/>
      <c r="F44" s="464"/>
      <c r="G44" s="2061"/>
      <c r="H44" s="2061"/>
      <c r="I44" s="2061"/>
      <c r="J44" s="2061"/>
      <c r="K44" s="2082"/>
      <c r="L44" s="2061"/>
      <c r="M44" s="2061"/>
    </row>
    <row r="45" spans="1:18" ht="18" customHeight="1">
      <c r="A45" s="802" t="s">
        <v>1880</v>
      </c>
      <c r="B45" s="1355" t="s">
        <v>715</v>
      </c>
      <c r="C45" s="3061">
        <f ca="1">ROUND(-PV(F45,F46,C44,0),0)</f>
        <v>0</v>
      </c>
      <c r="D45" s="1357" t="s">
        <v>716</v>
      </c>
      <c r="E45" s="805" t="s">
        <v>717</v>
      </c>
      <c r="F45" s="829">
        <f ca="1">INDIRECT("'数据-取费表'!h"&amp;$G$1)</f>
        <v>0</v>
      </c>
      <c r="G45" s="2061"/>
      <c r="H45" s="2061"/>
      <c r="I45" s="2061"/>
      <c r="J45" s="2061"/>
      <c r="K45" s="2082"/>
      <c r="L45" s="2061"/>
      <c r="M45" s="2061"/>
    </row>
    <row r="46" spans="1:18" ht="18" customHeight="1" thickBot="1">
      <c r="A46" s="830"/>
      <c r="B46" s="1358"/>
      <c r="C46" s="1359"/>
      <c r="D46" s="1360"/>
      <c r="E46" s="3148" t="s">
        <v>2956</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2380" t="e">
        <f ca="1">IF(M48="住宅",0,IF(L49&gt;J52,L61,J61))</f>
        <v>#DIV/0!</v>
      </c>
      <c r="O47" s="2417" t="s">
        <v>2411</v>
      </c>
      <c r="P47" s="1591"/>
      <c r="Q47" s="1603"/>
      <c r="R47" s="1591"/>
    </row>
    <row r="48" spans="1:18" s="2058" customFormat="1" ht="18" customHeight="1" thickBot="1">
      <c r="A48" s="2083"/>
      <c r="C48" s="2086"/>
      <c r="D48" s="2087"/>
      <c r="E48" s="2087"/>
      <c r="F48" s="2088"/>
      <c r="G48" s="2089"/>
      <c r="I48" s="2381" t="s">
        <v>2344</v>
      </c>
      <c r="J48" s="2386"/>
      <c r="K48" s="2387" t="s">
        <v>2350</v>
      </c>
      <c r="L48" s="2388">
        <f ca="1">INDIRECT("'数据-取费表'!d"&amp;$G$1)</f>
        <v>50</v>
      </c>
      <c r="M48" s="3143" t="str">
        <f>IF(ISNUMBER(FIND("住宅",C1)),"住宅","非住宅")</f>
        <v>非住宅</v>
      </c>
      <c r="O48" s="2418" t="s">
        <v>2376</v>
      </c>
      <c r="P48" s="2419" t="s">
        <v>2377</v>
      </c>
      <c r="Q48" s="2420" t="s">
        <v>2378</v>
      </c>
      <c r="R48" s="2419" t="s">
        <v>2379</v>
      </c>
    </row>
    <row r="49" spans="1:18" s="2058" customFormat="1" ht="18" customHeight="1" thickBot="1">
      <c r="A49" s="2083"/>
      <c r="D49" s="2090"/>
      <c r="E49" s="2091"/>
      <c r="F49" s="2088"/>
      <c r="G49" s="2089"/>
      <c r="H49" s="2092"/>
      <c r="I49" s="2382" t="s">
        <v>2345</v>
      </c>
      <c r="J49" s="2389"/>
      <c r="K49" s="2390" t="s">
        <v>2352</v>
      </c>
      <c r="L49" s="2391">
        <f ca="1">INDIRECT("'数据-取费表'!f"&amp;$G$1)</f>
        <v>34.26</v>
      </c>
      <c r="O49" s="2421" t="s">
        <v>2380</v>
      </c>
      <c r="P49" s="2422" t="s">
        <v>2406</v>
      </c>
      <c r="Q49" s="2423">
        <f ca="1">C41+J31</f>
        <v>0</v>
      </c>
      <c r="R49" s="2422" t="s">
        <v>2381</v>
      </c>
    </row>
    <row r="50" spans="1:18" s="2058" customFormat="1" ht="18" customHeight="1" thickBot="1">
      <c r="A50" s="2083"/>
      <c r="D50" s="2093"/>
      <c r="E50" s="2093"/>
      <c r="F50" s="2087"/>
      <c r="G50" s="2094"/>
      <c r="H50" s="2092"/>
      <c r="I50" s="2382" t="s">
        <v>2346</v>
      </c>
      <c r="J50" s="2392"/>
      <c r="K50" s="2393" t="s">
        <v>2353</v>
      </c>
      <c r="L50" s="2394"/>
      <c r="O50" s="2421" t="s">
        <v>2382</v>
      </c>
      <c r="P50" s="2422" t="s">
        <v>2407</v>
      </c>
      <c r="Q50" s="2423" t="str">
        <f ca="1">J61</f>
        <v>0</v>
      </c>
      <c r="R50" s="2422" t="s">
        <v>2383</v>
      </c>
    </row>
    <row r="51" spans="1:18" s="2058" customFormat="1" ht="18" customHeight="1" thickBot="1">
      <c r="A51" s="2095"/>
      <c r="D51" s="2093"/>
      <c r="E51" s="2093"/>
      <c r="F51" s="2084"/>
      <c r="H51" s="2092"/>
      <c r="I51" s="2382" t="s">
        <v>2347</v>
      </c>
      <c r="J51" s="2395">
        <f>SUMPRODUCT((I64:I66=J48)*(J63:L63=J49)*(J64:L66))</f>
        <v>0</v>
      </c>
      <c r="K51" s="2393" t="s">
        <v>2354</v>
      </c>
      <c r="L51" s="2394"/>
      <c r="O51" s="2424" t="s">
        <v>2384</v>
      </c>
      <c r="P51" s="2422" t="s">
        <v>2408</v>
      </c>
      <c r="Q51" s="2423">
        <f ca="1">C31</f>
        <v>0</v>
      </c>
      <c r="R51" s="2422" t="s">
        <v>2381</v>
      </c>
    </row>
    <row r="52" spans="1:18" s="2058" customFormat="1" ht="18" customHeight="1" thickBot="1">
      <c r="A52" s="2095"/>
      <c r="F52" s="2084"/>
      <c r="I52" s="2383" t="s">
        <v>2348</v>
      </c>
      <c r="J52" s="2396">
        <f>IF(J50="",J51,J50+J51-YEAR('数据-取费表'!B3))</f>
        <v>0</v>
      </c>
      <c r="K52" s="2382" t="s">
        <v>2355</v>
      </c>
      <c r="L52" s="2397">
        <f ca="1">ROUND(-PV(INDIRECT("'数据-取费表'!h"&amp;$G$1),L49,(C40-C14*J36),0),0)</f>
        <v>0</v>
      </c>
      <c r="O52" s="2424" t="s">
        <v>2385</v>
      </c>
      <c r="P52" s="2422" t="s">
        <v>2386</v>
      </c>
      <c r="Q52" s="2425" t="e">
        <f ca="1">J59</f>
        <v>#VALUE!</v>
      </c>
      <c r="R52" s="2426"/>
    </row>
    <row r="53" spans="1:18" s="2058" customFormat="1" ht="18" customHeight="1" thickBot="1">
      <c r="A53" s="2095"/>
      <c r="F53" s="2084"/>
      <c r="I53" s="2384" t="s">
        <v>2422</v>
      </c>
      <c r="J53" s="2398"/>
      <c r="K53" s="2384" t="s">
        <v>2421</v>
      </c>
      <c r="L53" s="2398"/>
      <c r="O53" s="2424" t="s">
        <v>2387</v>
      </c>
      <c r="P53" s="2422" t="s">
        <v>2388</v>
      </c>
      <c r="Q53" s="2425">
        <f>J53</f>
        <v>0</v>
      </c>
      <c r="R53" s="2426"/>
    </row>
    <row r="54" spans="1:18" s="2058" customFormat="1" ht="43.5" thickBot="1">
      <c r="A54" s="2095"/>
      <c r="I54" s="2385" t="s">
        <v>2349</v>
      </c>
      <c r="J54" s="2399">
        <f ca="1">IF(M48="住宅",J52,IF(J52&gt;L49,L49-'数据-取费表'!B25,J52))</f>
        <v>0</v>
      </c>
      <c r="K54" s="3490"/>
      <c r="L54" s="3491"/>
      <c r="O54" s="2424" t="s">
        <v>2389</v>
      </c>
      <c r="P54" s="2422" t="s">
        <v>2390</v>
      </c>
      <c r="Q54" s="2423">
        <f ca="1">J54</f>
        <v>0</v>
      </c>
      <c r="R54" s="2422" t="s">
        <v>2391</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2392</v>
      </c>
      <c r="P55" s="2422" t="s">
        <v>2409</v>
      </c>
      <c r="Q55" s="2423">
        <f ca="1">Q49+Q50</f>
        <v>0</v>
      </c>
      <c r="R55" s="2426" t="s">
        <v>2393</v>
      </c>
    </row>
    <row r="56" spans="1:18" s="2058" customFormat="1" ht="16.5" thickBot="1">
      <c r="A56" s="2095"/>
      <c r="B56" s="2096"/>
      <c r="C56" s="2096"/>
      <c r="I56" s="3120" t="s">
        <v>2356</v>
      </c>
      <c r="J56" s="3144" t="e">
        <f ca="1">ROUND(IF(J48="钢混",J58/J51,1-(1-2%)*(J51-J58)/J51),3)</f>
        <v>#VALUE!</v>
      </c>
      <c r="K56" s="2400" t="s">
        <v>2357</v>
      </c>
      <c r="L56" s="2401"/>
      <c r="O56" s="2427" t="s">
        <v>2412</v>
      </c>
      <c r="P56" s="1591"/>
      <c r="Q56" s="1603"/>
      <c r="R56" s="1591"/>
    </row>
    <row r="57" spans="1:18" s="2058" customFormat="1" ht="43.5" thickBot="1">
      <c r="A57" s="2095"/>
      <c r="B57" s="2096"/>
      <c r="C57" s="2096"/>
      <c r="I57" s="2402" t="s">
        <v>2358</v>
      </c>
      <c r="J57" s="3143" t="s">
        <v>1679</v>
      </c>
      <c r="K57" s="2382" t="s">
        <v>2363</v>
      </c>
      <c r="L57" s="2391">
        <f ca="1">IF(L49&lt;J52,"——",L49-J52)</f>
        <v>34.26</v>
      </c>
      <c r="O57" s="2418" t="s">
        <v>2376</v>
      </c>
      <c r="P57" s="2419" t="s">
        <v>2377</v>
      </c>
      <c r="Q57" s="2420" t="s">
        <v>2378</v>
      </c>
      <c r="R57" s="2419" t="s">
        <v>2379</v>
      </c>
    </row>
    <row r="58" spans="1:18" s="2058" customFormat="1" ht="29.25" thickBot="1">
      <c r="A58" s="2095"/>
      <c r="B58" s="2096"/>
      <c r="C58" s="2096"/>
      <c r="I58" s="2403" t="s">
        <v>2359</v>
      </c>
      <c r="J58" s="2405" t="str">
        <f ca="1">IF(OR(M48="住宅",J52&lt;L49,J57="是"),"——",J52-L49)</f>
        <v>——</v>
      </c>
      <c r="K58" s="2382" t="s">
        <v>2364</v>
      </c>
      <c r="L58" s="2391">
        <f ca="1">IF(L49&lt;J52,"——",IF(L56="比较法",L50,IF(L56="基准地价",L51,L52)))</f>
        <v>0</v>
      </c>
      <c r="O58" s="2421" t="s">
        <v>2380</v>
      </c>
      <c r="P58" s="2422" t="s">
        <v>2406</v>
      </c>
      <c r="Q58" s="2423">
        <f ca="1">C41+J31</f>
        <v>0</v>
      </c>
      <c r="R58" s="2422" t="s">
        <v>2381</v>
      </c>
    </row>
    <row r="59" spans="1:18" s="2058" customFormat="1" ht="29.25" thickBot="1">
      <c r="A59" s="2095"/>
      <c r="B59" s="2096"/>
      <c r="C59" s="2096"/>
      <c r="I59" s="2403" t="s">
        <v>2360</v>
      </c>
      <c r="J59" s="3145" t="e">
        <f ca="1">IF(J56&lt;0.4,0.4,J56)</f>
        <v>#VALUE!</v>
      </c>
      <c r="K59" s="2382" t="s">
        <v>2365</v>
      </c>
      <c r="L59" s="2391">
        <f ca="1">IF(ISERROR(POWER(1+L53,L48-L49)*(POWER(1+L53,L49)-1)/(POWER(1+L53,L48)-1)),0,POWER(1+L53,L48-L49)*(POWER(1+L53,L49)-1)/(POWER(1+L53,L48)-1))</f>
        <v>0</v>
      </c>
      <c r="O59" s="2421" t="s">
        <v>2382</v>
      </c>
      <c r="P59" s="2422" t="s">
        <v>2413</v>
      </c>
      <c r="Q59" s="2423" t="e">
        <f ca="1">L61</f>
        <v>#DIV/0!</v>
      </c>
      <c r="R59" s="2426" t="s">
        <v>2415</v>
      </c>
    </row>
    <row r="60" spans="1:18" s="2058" customFormat="1" ht="29.25" thickBot="1">
      <c r="A60" s="2095"/>
      <c r="B60" s="2096"/>
      <c r="C60" s="2096"/>
      <c r="I60" s="2403" t="s">
        <v>2361</v>
      </c>
      <c r="J60" s="2405" t="str">
        <f ca="1">IF(OR(M48="住宅",J52&lt;L49,J57="是"),"——",ROUND(C30*J59,0))</f>
        <v>——</v>
      </c>
      <c r="K60" s="2382" t="s">
        <v>2366</v>
      </c>
      <c r="L60" s="2391">
        <f ca="1">IF(ISERROR(POWER(1+L53,L48-J52)*(POWER(1+L53,J52)-1)/(POWER(1+L53,L48)-1)),0,POWER(1+L53,L48-J52)*(POWER(1+L53,J52)-1)/(POWER(1+L53,L48)-1))</f>
        <v>0</v>
      </c>
      <c r="O60" s="2424" t="s">
        <v>2384</v>
      </c>
      <c r="P60" s="2422" t="s">
        <v>2414</v>
      </c>
      <c r="Q60" s="2423">
        <f>IF(L56="比较法",L50,IF(L56="基准地价",L51,0))</f>
        <v>0</v>
      </c>
      <c r="R60" s="2422" t="s">
        <v>2381</v>
      </c>
    </row>
    <row r="61" spans="1:18" s="2058" customFormat="1" ht="15.75" thickBot="1">
      <c r="A61" s="2095"/>
      <c r="B61" s="2096"/>
      <c r="C61" s="2096"/>
      <c r="I61" s="2404" t="s">
        <v>2362</v>
      </c>
      <c r="J61" s="2406" t="str">
        <f ca="1">IF(OR(M48="住宅",J52&lt;L49,J57="是"),"0",ROUND(J60/(1+J53)^J54,0))</f>
        <v>0</v>
      </c>
      <c r="K61" s="2407" t="s">
        <v>2367</v>
      </c>
      <c r="L61" s="2406" t="e">
        <f ca="1">IF(OR(M48="住宅",L49&lt;J52),0,ROUND(L58*(L59/L60-1),0))</f>
        <v>#DIV/0!</v>
      </c>
      <c r="O61" s="2424" t="s">
        <v>2385</v>
      </c>
      <c r="P61" s="2422" t="s">
        <v>2394</v>
      </c>
      <c r="Q61" s="2425">
        <f>L53</f>
        <v>0</v>
      </c>
      <c r="R61" s="2426"/>
    </row>
    <row r="62" spans="1:18" s="2058" customFormat="1" ht="20.25" thickBot="1">
      <c r="A62" s="2095"/>
      <c r="B62" s="2096"/>
      <c r="C62" s="2096"/>
      <c r="K62" s="2085"/>
      <c r="O62" s="2424" t="s">
        <v>2387</v>
      </c>
      <c r="P62" s="2422" t="s">
        <v>2395</v>
      </c>
      <c r="Q62" s="2423">
        <f ca="1">L59</f>
        <v>0</v>
      </c>
      <c r="R62" s="2426" t="s">
        <v>2396</v>
      </c>
    </row>
    <row r="63" spans="1:18" s="2058" customFormat="1" ht="20.25" thickBot="1">
      <c r="A63" s="2095"/>
      <c r="B63" s="2096"/>
      <c r="C63" s="2096"/>
      <c r="I63" s="2408" t="s">
        <v>2368</v>
      </c>
      <c r="J63" s="2409" t="s">
        <v>2369</v>
      </c>
      <c r="K63" s="2409" t="s">
        <v>2370</v>
      </c>
      <c r="L63" s="2409" t="s">
        <v>2351</v>
      </c>
      <c r="M63" s="3122" t="s">
        <v>2933</v>
      </c>
      <c r="O63" s="2424" t="s">
        <v>2389</v>
      </c>
      <c r="P63" s="2422" t="s">
        <v>2397</v>
      </c>
      <c r="Q63" s="2423">
        <f ca="1">L60</f>
        <v>0</v>
      </c>
      <c r="R63" s="2426" t="s">
        <v>2398</v>
      </c>
    </row>
    <row r="64" spans="1:18" s="2058" customFormat="1" ht="15.75" thickBot="1">
      <c r="A64" s="2095"/>
      <c r="B64" s="2096"/>
      <c r="C64" s="2096"/>
      <c r="I64" s="2408" t="s">
        <v>2371</v>
      </c>
      <c r="J64" s="2409">
        <v>70</v>
      </c>
      <c r="K64" s="2409">
        <v>50</v>
      </c>
      <c r="L64" s="2409">
        <v>80</v>
      </c>
      <c r="M64" s="3123">
        <v>0.02</v>
      </c>
      <c r="O64" s="2421" t="s">
        <v>2392</v>
      </c>
      <c r="P64" s="2422" t="s">
        <v>2409</v>
      </c>
      <c r="Q64" s="2423" t="e">
        <f ca="1">Q58+Q59</f>
        <v>#DIV/0!</v>
      </c>
      <c r="R64" s="2426" t="s">
        <v>2393</v>
      </c>
    </row>
    <row r="65" spans="1:18" s="2058" customFormat="1" ht="16.5" thickBot="1">
      <c r="A65" s="2095"/>
      <c r="B65" s="2096"/>
      <c r="C65" s="2096"/>
      <c r="I65" s="2408" t="s">
        <v>2372</v>
      </c>
      <c r="J65" s="2409">
        <v>50</v>
      </c>
      <c r="K65" s="2409">
        <v>35</v>
      </c>
      <c r="L65" s="2409">
        <v>60</v>
      </c>
      <c r="M65" s="3124">
        <v>0</v>
      </c>
      <c r="O65" s="2427" t="s">
        <v>2416</v>
      </c>
      <c r="P65" s="1591"/>
      <c r="Q65" s="1603"/>
      <c r="R65" s="1591"/>
    </row>
    <row r="66" spans="1:18" s="2058" customFormat="1" ht="15.75" thickBot="1">
      <c r="A66" s="2095"/>
      <c r="B66" s="2096"/>
      <c r="C66" s="2096"/>
      <c r="I66" s="2408" t="s">
        <v>2373</v>
      </c>
      <c r="J66" s="2409">
        <v>40</v>
      </c>
      <c r="K66" s="2409">
        <v>30</v>
      </c>
      <c r="L66" s="2409">
        <v>50</v>
      </c>
      <c r="M66" s="3123">
        <v>0.02</v>
      </c>
      <c r="O66" s="2418" t="s">
        <v>2376</v>
      </c>
      <c r="P66" s="2419" t="s">
        <v>2377</v>
      </c>
      <c r="Q66" s="2420" t="s">
        <v>2378</v>
      </c>
      <c r="R66" s="2419" t="s">
        <v>2379</v>
      </c>
    </row>
    <row r="67" spans="1:18" s="2058" customFormat="1" ht="15.75" thickBot="1">
      <c r="A67" s="2095"/>
      <c r="B67" s="2096"/>
      <c r="C67" s="2096"/>
      <c r="K67" s="2085"/>
      <c r="O67" s="2421" t="s">
        <v>2380</v>
      </c>
      <c r="P67" s="2422" t="s">
        <v>2406</v>
      </c>
      <c r="Q67" s="2423">
        <f ca="1">C41+J31</f>
        <v>0</v>
      </c>
      <c r="R67" s="2422" t="s">
        <v>2381</v>
      </c>
    </row>
    <row r="68" spans="1:18" s="2058" customFormat="1" ht="20.25" thickBot="1">
      <c r="A68" s="2095"/>
      <c r="B68" s="2096"/>
      <c r="C68" s="2096"/>
      <c r="K68" s="2085"/>
      <c r="O68" s="2421" t="s">
        <v>2382</v>
      </c>
      <c r="P68" s="2422" t="s">
        <v>2413</v>
      </c>
      <c r="Q68" s="2423" t="e">
        <f ca="1">L61</f>
        <v>#DIV/0!</v>
      </c>
      <c r="R68" s="2426" t="s">
        <v>2415</v>
      </c>
    </row>
    <row r="69" spans="1:18" s="2058" customFormat="1" ht="21.75" thickBot="1">
      <c r="A69" s="2095"/>
      <c r="B69" s="2096"/>
      <c r="C69" s="2096"/>
      <c r="K69" s="2085"/>
      <c r="O69" s="2424" t="s">
        <v>2384</v>
      </c>
      <c r="P69" s="2422" t="s">
        <v>2414</v>
      </c>
      <c r="Q69" s="2428">
        <f ca="1">L52</f>
        <v>0</v>
      </c>
      <c r="R69" s="2429" t="s">
        <v>2417</v>
      </c>
    </row>
    <row r="70" spans="1:18" s="2058" customFormat="1" ht="20.25" thickBot="1">
      <c r="A70" s="2095"/>
      <c r="B70" s="2096"/>
      <c r="C70" s="2096"/>
      <c r="K70" s="2085"/>
      <c r="O70" s="2424" t="s">
        <v>2385</v>
      </c>
      <c r="P70" s="2430" t="s">
        <v>2399</v>
      </c>
      <c r="Q70" s="2423">
        <f ca="1">ROUND(Q71-Q72*Q73,0)</f>
        <v>0</v>
      </c>
      <c r="R70" s="2426"/>
    </row>
    <row r="71" spans="1:18" s="2058" customFormat="1" ht="15.75" thickBot="1">
      <c r="A71" s="2095"/>
      <c r="B71" s="2096"/>
      <c r="C71" s="2096"/>
      <c r="K71" s="2085"/>
      <c r="O71" s="2424" t="s">
        <v>2400</v>
      </c>
      <c r="P71" s="2430" t="s">
        <v>2401</v>
      </c>
      <c r="Q71" s="2423">
        <f ca="1">C42</f>
        <v>0</v>
      </c>
      <c r="R71" s="2422" t="s">
        <v>2381</v>
      </c>
    </row>
    <row r="72" spans="1:18" s="2058" customFormat="1" ht="15.75" thickBot="1">
      <c r="A72" s="2095"/>
      <c r="B72" s="2096"/>
      <c r="C72" s="2096"/>
      <c r="K72" s="2085"/>
      <c r="O72" s="2424" t="s">
        <v>2402</v>
      </c>
      <c r="P72" s="2430" t="s">
        <v>2403</v>
      </c>
      <c r="Q72" s="2423">
        <f ca="1">C15</f>
        <v>0</v>
      </c>
      <c r="R72" s="2422" t="s">
        <v>2381</v>
      </c>
    </row>
    <row r="73" spans="1:18" s="2058" customFormat="1" ht="15.75" thickBot="1">
      <c r="A73" s="2095"/>
      <c r="B73" s="2096"/>
      <c r="C73" s="2096"/>
      <c r="K73" s="2085"/>
      <c r="O73" s="2424" t="s">
        <v>2404</v>
      </c>
      <c r="P73" s="2430" t="s">
        <v>2405</v>
      </c>
      <c r="Q73" s="2425">
        <f ca="1">F43</f>
        <v>0</v>
      </c>
      <c r="R73" s="2426"/>
    </row>
    <row r="74" spans="1:18" s="2058" customFormat="1" ht="15.75" thickBot="1">
      <c r="A74" s="2095"/>
      <c r="B74" s="2096"/>
      <c r="C74" s="2096"/>
      <c r="K74" s="2085"/>
      <c r="O74" s="2424" t="s">
        <v>2387</v>
      </c>
      <c r="P74" s="2422" t="s">
        <v>2394</v>
      </c>
      <c r="Q74" s="2425">
        <f>L53</f>
        <v>0</v>
      </c>
      <c r="R74" s="2426"/>
    </row>
    <row r="75" spans="1:18" s="2058" customFormat="1" ht="20.25" thickBot="1">
      <c r="A75" s="2095"/>
      <c r="B75" s="2096"/>
      <c r="C75" s="2096"/>
      <c r="K75" s="2085"/>
      <c r="O75" s="2424" t="s">
        <v>2389</v>
      </c>
      <c r="P75" s="2422" t="s">
        <v>2395</v>
      </c>
      <c r="Q75" s="2423">
        <f ca="1">L59</f>
        <v>0</v>
      </c>
      <c r="R75" s="2426" t="s">
        <v>2396</v>
      </c>
    </row>
    <row r="76" spans="1:18" s="2058" customFormat="1" ht="20.25" thickBot="1">
      <c r="A76" s="2095"/>
      <c r="B76" s="2096"/>
      <c r="C76" s="2096"/>
      <c r="K76" s="2085"/>
      <c r="O76" s="2424" t="s">
        <v>2418</v>
      </c>
      <c r="P76" s="2422" t="s">
        <v>2397</v>
      </c>
      <c r="Q76" s="2423">
        <f ca="1">L60</f>
        <v>0</v>
      </c>
      <c r="R76" s="2426" t="s">
        <v>2398</v>
      </c>
    </row>
    <row r="77" spans="1:18" s="2058" customFormat="1" ht="15.75" thickBot="1">
      <c r="A77" s="2095"/>
      <c r="B77" s="2096"/>
      <c r="C77" s="2096"/>
      <c r="K77" s="2085"/>
      <c r="O77" s="2421" t="s">
        <v>2392</v>
      </c>
      <c r="P77" s="2422" t="s">
        <v>2409</v>
      </c>
      <c r="Q77" s="2423" t="e">
        <f ca="1">Q67+Q68</f>
        <v>#DIV/0!</v>
      </c>
      <c r="R77" s="2426"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98" t="s">
        <v>2577</v>
      </c>
      <c r="C1" s="3498"/>
      <c r="D1" s="3498"/>
      <c r="E1" s="3498"/>
      <c r="F1" s="3498"/>
      <c r="G1" s="3497" t="s">
        <v>2578</v>
      </c>
      <c r="H1" s="3497"/>
      <c r="I1" s="3497"/>
      <c r="J1" s="3497"/>
      <c r="K1" s="3497"/>
      <c r="L1" s="3497"/>
      <c r="N1" s="3497" t="s">
        <v>2579</v>
      </c>
      <c r="O1" s="3497"/>
      <c r="P1" s="3497"/>
      <c r="Q1" s="3497"/>
      <c r="R1" s="2677"/>
      <c r="S1" s="3497" t="s">
        <v>2580</v>
      </c>
      <c r="T1" s="3497"/>
      <c r="U1" s="3497"/>
      <c r="V1" s="3497"/>
      <c r="X1" s="3496" t="s">
        <v>2640</v>
      </c>
      <c r="Y1" s="3497"/>
      <c r="Z1" s="3497"/>
      <c r="AA1" s="3497"/>
      <c r="AB1" s="3497"/>
      <c r="AD1" s="3496" t="s">
        <v>2644</v>
      </c>
      <c r="AE1" s="3497"/>
      <c r="AF1" s="3497"/>
      <c r="AG1" s="3497"/>
      <c r="AH1" s="3497"/>
    </row>
    <row r="2" spans="1:34" s="2779" customFormat="1" ht="14.25" thickBot="1">
      <c r="B2" s="2787" t="s">
        <v>2581</v>
      </c>
      <c r="C2" s="2787" t="s">
        <v>2642</v>
      </c>
      <c r="D2" s="2780" t="s">
        <v>1645</v>
      </c>
      <c r="E2" s="2780" t="s">
        <v>1952</v>
      </c>
      <c r="F2" s="2787" t="s">
        <v>2643</v>
      </c>
      <c r="G2" s="2783"/>
      <c r="H2" s="2782"/>
      <c r="I2" s="2787" t="s">
        <v>2947</v>
      </c>
      <c r="J2" s="2780" t="s">
        <v>2949</v>
      </c>
      <c r="K2" s="2780" t="s">
        <v>2950</v>
      </c>
      <c r="L2" s="2787" t="s">
        <v>2951</v>
      </c>
      <c r="N2" s="2787" t="s">
        <v>2581</v>
      </c>
      <c r="O2" s="2780" t="s">
        <v>2948</v>
      </c>
      <c r="P2" s="2780" t="s">
        <v>1952</v>
      </c>
      <c r="Q2" s="2787" t="s">
        <v>2643</v>
      </c>
      <c r="R2" s="2781"/>
      <c r="S2" s="2787" t="s">
        <v>2581</v>
      </c>
      <c r="T2" s="2780" t="s">
        <v>2948</v>
      </c>
      <c r="U2" s="2780" t="s">
        <v>1952</v>
      </c>
      <c r="V2" s="2787" t="s">
        <v>2643</v>
      </c>
      <c r="X2" s="2787" t="s">
        <v>2581</v>
      </c>
      <c r="Y2" s="2787" t="s">
        <v>2642</v>
      </c>
      <c r="Z2" s="2780" t="s">
        <v>1645</v>
      </c>
      <c r="AA2" s="2780" t="s">
        <v>1952</v>
      </c>
      <c r="AB2" s="2787" t="s">
        <v>2643</v>
      </c>
      <c r="AD2" s="2787" t="s">
        <v>2581</v>
      </c>
      <c r="AE2" s="2787" t="s">
        <v>2642</v>
      </c>
      <c r="AF2" s="2780" t="s">
        <v>1645</v>
      </c>
      <c r="AG2" s="2780" t="s">
        <v>1952</v>
      </c>
      <c r="AH2" s="2787" t="s">
        <v>2643</v>
      </c>
    </row>
    <row r="3" spans="1:34" s="3158" customFormat="1" ht="14.25">
      <c r="A3" s="3170" t="s">
        <v>2960</v>
      </c>
      <c r="B3" s="3159"/>
      <c r="C3" s="3159"/>
      <c r="D3" s="3160"/>
      <c r="E3" s="3160"/>
      <c r="F3" s="3159"/>
      <c r="G3" s="3161"/>
      <c r="H3" s="3162"/>
      <c r="I3" s="3169">
        <f>ROUND(AVERAGE($I7:$I22),2)</f>
        <v>2.4500000000000002</v>
      </c>
      <c r="J3" s="3169">
        <f>ROUND(AVERAGE($J7:$J22),2)</f>
        <v>1.65</v>
      </c>
      <c r="K3" s="3169">
        <f>ROUND(AVERAGE($K7:$K22),2)</f>
        <v>2.71</v>
      </c>
      <c r="L3" s="3169">
        <f>ROUND(AVERAGE($L7:$L22),2)</f>
        <v>1.39</v>
      </c>
      <c r="N3" s="3161"/>
      <c r="O3" s="3163"/>
      <c r="P3" s="3163"/>
      <c r="Q3" s="3163"/>
      <c r="R3" s="3163"/>
      <c r="S3" s="3161"/>
      <c r="T3" s="3163"/>
      <c r="U3" s="3163"/>
      <c r="V3" s="3163"/>
      <c r="W3" s="3166"/>
      <c r="X3" s="3164">
        <f>ROUND(SUMPRODUCT(PRODUCT(1+N3:N$21)),4)</f>
        <v>1.4517</v>
      </c>
      <c r="Y3" s="3164">
        <f>ROUND(SUMPRODUCT(PRODUCT(1+O3:O$21)),4)</f>
        <v>1.2928999999999999</v>
      </c>
      <c r="Z3" s="3164">
        <f t="shared" ref="Z3:Z19" si="0">Y3</f>
        <v>1.2928999999999999</v>
      </c>
      <c r="AA3" s="3164">
        <f>ROUND(SUMPRODUCT(PRODUCT(1+P3:P$21)),4)</f>
        <v>1.5068999999999999</v>
      </c>
      <c r="AB3" s="3164">
        <f>ROUND(SUMPRODUCT(PRODUCT(1+Q3:Q$21)),4)</f>
        <v>1.2557</v>
      </c>
      <c r="AD3" s="3165">
        <f>ROUND(AVERAGE(I3:I$22)/100,4)</f>
        <v>2.2800000000000001E-2</v>
      </c>
      <c r="AE3" s="3165">
        <f>ROUND(AVERAGE(J3:J$22)/100,4)</f>
        <v>1.5699999999999999E-2</v>
      </c>
      <c r="AF3" s="3165">
        <f t="shared" ref="AF3:AF20" si="1">AE3</f>
        <v>1.5699999999999999E-2</v>
      </c>
      <c r="AG3" s="3165">
        <f>ROUND(AVERAGE(K3:K$22)/100,4)</f>
        <v>2.5100000000000001E-2</v>
      </c>
      <c r="AH3" s="3165">
        <f>ROUND(AVERAGE(L3:L$22)/100,4)</f>
        <v>1.35E-2</v>
      </c>
    </row>
    <row r="4" spans="1:34" s="2772" customFormat="1" ht="14.25">
      <c r="B4" s="2773"/>
      <c r="C4" s="2773"/>
      <c r="D4" s="2774"/>
      <c r="E4" s="2774"/>
      <c r="F4" s="2773"/>
      <c r="G4" s="2778"/>
      <c r="H4" s="2775"/>
      <c r="I4" s="3151"/>
      <c r="J4" s="3151"/>
      <c r="K4" s="3151"/>
      <c r="L4" s="3151"/>
      <c r="N4" s="2778"/>
      <c r="O4" s="2776"/>
      <c r="P4" s="2776"/>
      <c r="Q4" s="2776"/>
      <c r="R4" s="2776"/>
      <c r="S4" s="2778"/>
      <c r="T4" s="2776"/>
      <c r="U4" s="2776"/>
      <c r="V4" s="2776"/>
      <c r="W4" s="3167"/>
      <c r="X4" s="2777"/>
      <c r="Y4" s="2777"/>
      <c r="Z4" s="2777"/>
      <c r="AA4" s="2777"/>
      <c r="AB4" s="2777"/>
      <c r="AD4" s="2697"/>
      <c r="AE4" s="2697"/>
      <c r="AF4" s="2697"/>
      <c r="AG4" s="2697"/>
      <c r="AH4" s="2697"/>
    </row>
    <row r="5" spans="1:34" s="3137" customFormat="1">
      <c r="A5" s="3135" t="s">
        <v>2967</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36">
        <v>2</v>
      </c>
      <c r="I5" s="3152">
        <v>0</v>
      </c>
      <c r="J5" s="3152">
        <v>0</v>
      </c>
      <c r="K5" s="3152">
        <v>0</v>
      </c>
      <c r="L5" s="3152">
        <v>0</v>
      </c>
      <c r="N5" s="2785">
        <f t="shared" ref="N5" si="6">I5/100</f>
        <v>0</v>
      </c>
      <c r="O5" s="2785">
        <f t="shared" ref="O5" si="7">J5/100</f>
        <v>0</v>
      </c>
      <c r="P5" s="2785">
        <f t="shared" ref="P5" si="8">K5/100</f>
        <v>0</v>
      </c>
      <c r="Q5" s="2785">
        <f t="shared" ref="Q5" si="9">L5/100</f>
        <v>0</v>
      </c>
      <c r="R5" s="3138"/>
      <c r="S5" s="3139"/>
      <c r="T5" s="3138"/>
      <c r="U5" s="3138"/>
      <c r="V5" s="3138"/>
      <c r="W5" s="3168" t="s">
        <v>2961</v>
      </c>
      <c r="X5" s="3140">
        <f>ROUND(SUMPRODUCT(PRODUCT(1+N5:N$21)),4)</f>
        <v>1.4517</v>
      </c>
      <c r="Y5" s="3140">
        <f>ROUND(SUMPRODUCT(PRODUCT(1+O5:O$21)),4)</f>
        <v>1.2928999999999999</v>
      </c>
      <c r="Z5" s="3140">
        <f t="shared" ref="Z5" si="10">Y5</f>
        <v>1.2928999999999999</v>
      </c>
      <c r="AA5" s="3140">
        <f>ROUND(SUMPRODUCT(PRODUCT(1+P5:P$21)),4)</f>
        <v>1.5068999999999999</v>
      </c>
      <c r="AB5" s="3140">
        <f>ROUND(SUMPRODUCT(PRODUCT(1+Q5:Q$21)),4)</f>
        <v>1.2557</v>
      </c>
      <c r="AD5" s="3141">
        <f>ROUND(AVERAGE(I5:I$22)/100,4)</f>
        <v>2.2700000000000001E-2</v>
      </c>
      <c r="AE5" s="3141">
        <f>ROUND(AVERAGE(J5:J$22)/100,4)</f>
        <v>1.5699999999999999E-2</v>
      </c>
      <c r="AF5" s="3141">
        <f t="shared" ref="AF5" si="11">AE5</f>
        <v>1.5699999999999999E-2</v>
      </c>
      <c r="AG5" s="3141">
        <f>ROUND(AVERAGE(K5:K$22)/100,4)</f>
        <v>2.5000000000000001E-2</v>
      </c>
      <c r="AH5" s="3141">
        <f>ROUND(AVERAGE(L5:L$22)/100,4)</f>
        <v>1.35E-2</v>
      </c>
    </row>
    <row r="6" spans="1:34" s="2784" customFormat="1" ht="13.5" thickBot="1">
      <c r="A6" s="2678" t="s">
        <v>2968</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57">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2958</v>
      </c>
      <c r="B7" s="3172">
        <v>439</v>
      </c>
      <c r="C7" s="3172">
        <v>327</v>
      </c>
      <c r="D7" s="3172">
        <f t="shared" si="13"/>
        <v>327</v>
      </c>
      <c r="E7" s="3172">
        <v>627</v>
      </c>
      <c r="F7" s="3173">
        <v>283</v>
      </c>
      <c r="G7" s="3155">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2962</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57"/>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2582</v>
      </c>
      <c r="B9" s="2692">
        <f t="shared" si="25"/>
        <v>419.31181600000002</v>
      </c>
      <c r="C9" s="2692">
        <f t="shared" si="25"/>
        <v>313.95436800000004</v>
      </c>
      <c r="D9" s="2692">
        <f t="shared" si="13"/>
        <v>313.95436800000004</v>
      </c>
      <c r="E9" s="2692">
        <f t="shared" si="26"/>
        <v>596.63028431999999</v>
      </c>
      <c r="F9" s="2692">
        <f t="shared" si="26"/>
        <v>274.74220703999998</v>
      </c>
      <c r="G9" s="3156"/>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2583</v>
      </c>
      <c r="B10" s="2692">
        <f t="shared" si="25"/>
        <v>405.524</v>
      </c>
      <c r="C10" s="2692">
        <f t="shared" si="25"/>
        <v>307.79840000000002</v>
      </c>
      <c r="D10" s="2692">
        <f t="shared" si="13"/>
        <v>307.79840000000002</v>
      </c>
      <c r="E10" s="2692">
        <f t="shared" si="26"/>
        <v>574.67759999999998</v>
      </c>
      <c r="F10" s="2692">
        <f t="shared" si="26"/>
        <v>270.20280000000002</v>
      </c>
      <c r="G10" s="3157"/>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971</v>
      </c>
      <c r="B11" s="2684">
        <v>392</v>
      </c>
      <c r="C11" s="2684">
        <v>302</v>
      </c>
      <c r="D11" s="2684">
        <f t="shared" si="13"/>
        <v>302</v>
      </c>
      <c r="E11" s="2684">
        <v>553</v>
      </c>
      <c r="F11" s="2685">
        <v>266</v>
      </c>
      <c r="G11" s="3495">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970</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93"/>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960</v>
      </c>
      <c r="B13" s="2692">
        <f t="shared" si="34"/>
        <v>360.06949782209392</v>
      </c>
      <c r="C13" s="2692">
        <f t="shared" si="34"/>
        <v>289.84672674747821</v>
      </c>
      <c r="D13" s="2692">
        <f t="shared" si="35"/>
        <v>289.84672674747821</v>
      </c>
      <c r="E13" s="2692">
        <f t="shared" si="36"/>
        <v>501.06543001181495</v>
      </c>
      <c r="F13" s="2692">
        <f t="shared" si="36"/>
        <v>256.82882500744967</v>
      </c>
      <c r="G13" s="3493"/>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969</v>
      </c>
      <c r="B14" s="2692">
        <f t="shared" si="34"/>
        <v>346.720748986128</v>
      </c>
      <c r="C14" s="2692">
        <f t="shared" si="34"/>
        <v>284.30282172386285</v>
      </c>
      <c r="D14" s="2692">
        <f t="shared" si="35"/>
        <v>284.30282172386285</v>
      </c>
      <c r="E14" s="2692">
        <f t="shared" si="36"/>
        <v>479.58023546306947</v>
      </c>
      <c r="F14" s="2692">
        <f t="shared" si="36"/>
        <v>253.25788877571213</v>
      </c>
      <c r="G14" s="3494"/>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968</v>
      </c>
      <c r="B15" s="2684">
        <v>333</v>
      </c>
      <c r="C15" s="2684">
        <v>277</v>
      </c>
      <c r="D15" s="2684">
        <f t="shared" si="35"/>
        <v>277</v>
      </c>
      <c r="E15" s="2684">
        <v>459</v>
      </c>
      <c r="F15" s="2685">
        <v>249</v>
      </c>
      <c r="G15" s="3492">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967</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93"/>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966</v>
      </c>
      <c r="B17" s="2692">
        <f t="shared" si="38"/>
        <v>322.34053690220776</v>
      </c>
      <c r="C17" s="2692">
        <f t="shared" si="38"/>
        <v>271.46160770422546</v>
      </c>
      <c r="D17" s="2692">
        <f t="shared" si="35"/>
        <v>271.46160770422546</v>
      </c>
      <c r="E17" s="2692">
        <f t="shared" si="39"/>
        <v>442.69434542172456</v>
      </c>
      <c r="F17" s="2692">
        <f t="shared" si="39"/>
        <v>241.34030753190925</v>
      </c>
      <c r="G17" s="3493"/>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965</v>
      </c>
      <c r="B18" s="2692">
        <f t="shared" si="38"/>
        <v>319.87748030386797</v>
      </c>
      <c r="C18" s="2692">
        <f t="shared" si="38"/>
        <v>269.60135833173649</v>
      </c>
      <c r="D18" s="2692">
        <f t="shared" si="35"/>
        <v>269.60135833173649</v>
      </c>
      <c r="E18" s="2692">
        <f t="shared" si="39"/>
        <v>439.18089823583784</v>
      </c>
      <c r="F18" s="2692">
        <f t="shared" si="39"/>
        <v>239.23503918706311</v>
      </c>
      <c r="G18" s="3494"/>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964</v>
      </c>
      <c r="B19" s="2706">
        <v>318</v>
      </c>
      <c r="C19" s="2706">
        <v>268</v>
      </c>
      <c r="D19" s="2706">
        <f t="shared" si="35"/>
        <v>268</v>
      </c>
      <c r="E19" s="2706">
        <v>437</v>
      </c>
      <c r="F19" s="2707">
        <v>237</v>
      </c>
      <c r="G19" s="3492">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963</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93"/>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962</v>
      </c>
      <c r="B21" s="2692">
        <f t="shared" si="40"/>
        <v>314.72141172386546</v>
      </c>
      <c r="C21" s="2692">
        <f t="shared" si="40"/>
        <v>263.03901319069001</v>
      </c>
      <c r="D21" s="2692">
        <f t="shared" si="35"/>
        <v>263.03901319069001</v>
      </c>
      <c r="E21" s="2692">
        <f t="shared" si="41"/>
        <v>433.65745506782821</v>
      </c>
      <c r="F21" s="2692">
        <f t="shared" si="41"/>
        <v>233.23005080045735</v>
      </c>
      <c r="G21" s="3493"/>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961</v>
      </c>
      <c r="B22" s="2711">
        <f t="shared" si="40"/>
        <v>307.34512863658733</v>
      </c>
      <c r="C22" s="2711">
        <f t="shared" si="40"/>
        <v>257.80556031626975</v>
      </c>
      <c r="D22" s="2711">
        <f t="shared" si="35"/>
        <v>257.80556031626975</v>
      </c>
      <c r="E22" s="2711">
        <f t="shared" si="41"/>
        <v>422.70928459677179</v>
      </c>
      <c r="F22" s="2711">
        <f t="shared" si="41"/>
        <v>229.73803270336617</v>
      </c>
      <c r="G22" s="3494"/>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2641</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2584</v>
      </c>
      <c r="B23" s="2684">
        <v>299</v>
      </c>
      <c r="C23" s="2684">
        <v>252</v>
      </c>
      <c r="D23" s="2684">
        <f t="shared" si="35"/>
        <v>252</v>
      </c>
      <c r="E23" s="2684">
        <v>409</v>
      </c>
      <c r="F23" s="2685">
        <v>227</v>
      </c>
      <c r="G23" s="3499">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2585</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500"/>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2586</v>
      </c>
      <c r="B25" s="2692">
        <f t="shared" si="44"/>
        <v>288.2649053828776</v>
      </c>
      <c r="C25" s="2692">
        <f t="shared" si="44"/>
        <v>243.64564425013293</v>
      </c>
      <c r="D25" s="2692">
        <f t="shared" si="35"/>
        <v>243.64564425013293</v>
      </c>
      <c r="E25" s="2692">
        <f t="shared" si="45"/>
        <v>393.31080825986544</v>
      </c>
      <c r="F25" s="2692">
        <f t="shared" si="45"/>
        <v>223.07903790551154</v>
      </c>
      <c r="G25" s="3500"/>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2587</v>
      </c>
      <c r="B26" s="2692">
        <f t="shared" si="44"/>
        <v>282.50186729015837</v>
      </c>
      <c r="C26" s="2692">
        <f t="shared" si="44"/>
        <v>238.09796174155468</v>
      </c>
      <c r="D26" s="2692">
        <f t="shared" si="35"/>
        <v>238.09796174155468</v>
      </c>
      <c r="E26" s="2692">
        <f t="shared" si="45"/>
        <v>385.33438646014054</v>
      </c>
      <c r="F26" s="2692">
        <f t="shared" si="45"/>
        <v>221.55034055567739</v>
      </c>
      <c r="G26" s="3501"/>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2588</v>
      </c>
      <c r="B27" s="2722">
        <v>278</v>
      </c>
      <c r="C27" s="2722">
        <v>234</v>
      </c>
      <c r="D27" s="2722">
        <f t="shared" si="35"/>
        <v>234</v>
      </c>
      <c r="E27" s="2722">
        <v>379</v>
      </c>
      <c r="F27" s="2723">
        <v>220</v>
      </c>
      <c r="G27" s="3492">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2589</v>
      </c>
      <c r="B28" s="2692">
        <f>B27/(1+N27)</f>
        <v>275.49301357645425</v>
      </c>
      <c r="C28" s="2692">
        <f>C27/(1+O27)</f>
        <v>232.41954707985698</v>
      </c>
      <c r="D28" s="2692">
        <f t="shared" si="35"/>
        <v>232.41954707985698</v>
      </c>
      <c r="E28" s="2692">
        <f t="shared" ref="E28:F30" si="46">E27/(1+P27)</f>
        <v>375.32184591008121</v>
      </c>
      <c r="F28" s="2692">
        <f t="shared" si="46"/>
        <v>218.03766105054513</v>
      </c>
      <c r="G28" s="3493"/>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2590</v>
      </c>
      <c r="B29" s="2692">
        <f>B28/(1+N28)</f>
        <v>275.24529281292263</v>
      </c>
      <c r="C29" s="2692">
        <f>C28/(1+O28)</f>
        <v>231.74747938962707</v>
      </c>
      <c r="D29" s="2692">
        <f t="shared" si="35"/>
        <v>231.74747938962707</v>
      </c>
      <c r="E29" s="2692">
        <f t="shared" si="46"/>
        <v>375.35938184826603</v>
      </c>
      <c r="F29" s="2692">
        <f t="shared" si="46"/>
        <v>216.78033510692495</v>
      </c>
      <c r="G29" s="3493"/>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2591</v>
      </c>
      <c r="B30" s="2692">
        <f>B29/(1+N29)</f>
        <v>275.19025476197027</v>
      </c>
      <c r="C30" s="2724">
        <v>232</v>
      </c>
      <c r="D30" s="2724">
        <f t="shared" si="35"/>
        <v>232</v>
      </c>
      <c r="E30" s="2692">
        <f t="shared" si="46"/>
        <v>375.65990977608692</v>
      </c>
      <c r="F30" s="2692">
        <f t="shared" si="46"/>
        <v>214.12518283971252</v>
      </c>
      <c r="G30" s="3494"/>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2592</v>
      </c>
      <c r="B31" s="2684">
        <v>275</v>
      </c>
      <c r="C31" s="2684">
        <v>232</v>
      </c>
      <c r="D31" s="2684">
        <f t="shared" si="35"/>
        <v>232</v>
      </c>
      <c r="E31" s="2684">
        <v>376</v>
      </c>
      <c r="F31" s="2685">
        <v>213</v>
      </c>
      <c r="G31" s="3492">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2593</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93">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2594</v>
      </c>
      <c r="B33" s="2692">
        <f t="shared" si="47"/>
        <v>275.19335084830601</v>
      </c>
      <c r="C33" s="2692">
        <f t="shared" si="47"/>
        <v>230.18088050139744</v>
      </c>
      <c r="D33" s="2692">
        <f t="shared" si="35"/>
        <v>230.18088050139744</v>
      </c>
      <c r="E33" s="2692">
        <f t="shared" si="48"/>
        <v>377.58482925212331</v>
      </c>
      <c r="F33" s="2692">
        <f t="shared" si="48"/>
        <v>210.90687997847917</v>
      </c>
      <c r="G33" s="3493">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2595</v>
      </c>
      <c r="B34" s="2692">
        <f t="shared" si="47"/>
        <v>276.29854502841971</v>
      </c>
      <c r="C34" s="2692">
        <f t="shared" si="47"/>
        <v>229.79023709833027</v>
      </c>
      <c r="D34" s="2692">
        <f t="shared" si="35"/>
        <v>229.79023709833027</v>
      </c>
      <c r="E34" s="2692">
        <f t="shared" si="48"/>
        <v>379.78759731655936</v>
      </c>
      <c r="F34" s="2692">
        <f t="shared" si="48"/>
        <v>211.32953905659235</v>
      </c>
      <c r="G34" s="3494">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2596</v>
      </c>
      <c r="B35" s="2684">
        <v>269</v>
      </c>
      <c r="C35" s="2684">
        <v>221</v>
      </c>
      <c r="D35" s="2684">
        <f t="shared" si="35"/>
        <v>221</v>
      </c>
      <c r="E35" s="2684">
        <v>373</v>
      </c>
      <c r="F35" s="2685">
        <v>196</v>
      </c>
      <c r="G35" s="3492">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2597</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93">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2598</v>
      </c>
      <c r="B37" s="2692">
        <f t="shared" si="49"/>
        <v>242.95398227588385</v>
      </c>
      <c r="C37" s="2692">
        <f t="shared" si="49"/>
        <v>199.59137053614126</v>
      </c>
      <c r="D37" s="2692">
        <f t="shared" si="35"/>
        <v>199.59137053614126</v>
      </c>
      <c r="E37" s="2692">
        <f t="shared" si="50"/>
        <v>335.92189522342125</v>
      </c>
      <c r="F37" s="2692">
        <f t="shared" si="50"/>
        <v>183.10139991109489</v>
      </c>
      <c r="G37" s="3493">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2599</v>
      </c>
      <c r="B38" s="2692">
        <f t="shared" si="49"/>
        <v>232.06990378821649</v>
      </c>
      <c r="C38" s="2692">
        <f t="shared" si="49"/>
        <v>192.74878854286936</v>
      </c>
      <c r="D38" s="2692">
        <f t="shared" si="35"/>
        <v>192.74878854286936</v>
      </c>
      <c r="E38" s="2692">
        <f t="shared" si="50"/>
        <v>319.71247284992984</v>
      </c>
      <c r="F38" s="2692">
        <f t="shared" si="50"/>
        <v>175.67053622862409</v>
      </c>
      <c r="G38" s="3494">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2600</v>
      </c>
      <c r="B39" s="2684">
        <v>220</v>
      </c>
      <c r="C39" s="2684">
        <v>187</v>
      </c>
      <c r="D39" s="2684">
        <f t="shared" si="35"/>
        <v>187</v>
      </c>
      <c r="E39" s="2684">
        <v>301</v>
      </c>
      <c r="F39" s="2685">
        <v>168</v>
      </c>
      <c r="G39" s="3492">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2601</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93">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2602</v>
      </c>
      <c r="B41" s="2692">
        <f t="shared" si="51"/>
        <v>210.630522469011</v>
      </c>
      <c r="C41" s="2692">
        <f t="shared" si="51"/>
        <v>181.69567812247232</v>
      </c>
      <c r="D41" s="2692">
        <f t="shared" si="35"/>
        <v>181.69567812247232</v>
      </c>
      <c r="E41" s="2692">
        <f t="shared" si="52"/>
        <v>286.13517466736738</v>
      </c>
      <c r="F41" s="2692">
        <f t="shared" si="52"/>
        <v>165.47535084591149</v>
      </c>
      <c r="G41" s="3493">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2603</v>
      </c>
      <c r="B42" s="2692">
        <f t="shared" si="51"/>
        <v>208.83454537875372</v>
      </c>
      <c r="C42" s="2692">
        <f t="shared" si="51"/>
        <v>183.77230517090351</v>
      </c>
      <c r="D42" s="2692">
        <f t="shared" si="35"/>
        <v>183.77230517090351</v>
      </c>
      <c r="E42" s="2692">
        <f t="shared" si="52"/>
        <v>281.10342338870947</v>
      </c>
      <c r="F42" s="2692">
        <f t="shared" si="52"/>
        <v>168.97309388942256</v>
      </c>
      <c r="G42" s="3494">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2604</v>
      </c>
      <c r="B43" s="2722">
        <v>214</v>
      </c>
      <c r="C43" s="2722">
        <v>188</v>
      </c>
      <c r="D43" s="2722">
        <f t="shared" si="35"/>
        <v>188</v>
      </c>
      <c r="E43" s="2722">
        <v>289</v>
      </c>
      <c r="F43" s="2723">
        <v>166</v>
      </c>
      <c r="G43" s="3492">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2605</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93">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2606</v>
      </c>
      <c r="B45" s="2692">
        <f t="shared" si="53"/>
        <v>206.31694671589116</v>
      </c>
      <c r="C45" s="2692">
        <f t="shared" si="53"/>
        <v>183.61041121036101</v>
      </c>
      <c r="D45" s="2692">
        <f t="shared" si="35"/>
        <v>183.61041121036101</v>
      </c>
      <c r="E45" s="2692">
        <f t="shared" si="54"/>
        <v>276.66850301795557</v>
      </c>
      <c r="F45" s="2692">
        <f t="shared" si="54"/>
        <v>165.1360938278614</v>
      </c>
      <c r="G45" s="3493">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2607</v>
      </c>
      <c r="B46" s="2725">
        <f t="shared" si="53"/>
        <v>196.62341248059772</v>
      </c>
      <c r="C46" s="2725">
        <f t="shared" si="53"/>
        <v>170.99125648199012</v>
      </c>
      <c r="D46" s="2725">
        <f t="shared" si="35"/>
        <v>170.99125648199012</v>
      </c>
      <c r="E46" s="2725">
        <f t="shared" si="54"/>
        <v>266.07857570490052</v>
      </c>
      <c r="F46" s="2725">
        <f t="shared" si="54"/>
        <v>154.53499328828505</v>
      </c>
      <c r="G46" s="3494">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2608</v>
      </c>
      <c r="B47" s="2684">
        <v>188</v>
      </c>
      <c r="C47" s="2684">
        <v>165</v>
      </c>
      <c r="D47" s="2684">
        <f t="shared" si="35"/>
        <v>165</v>
      </c>
      <c r="E47" s="2684">
        <v>254</v>
      </c>
      <c r="F47" s="2685">
        <v>148</v>
      </c>
      <c r="G47" s="3492">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2609</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93">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2610</v>
      </c>
      <c r="B49" s="2692">
        <f t="shared" si="57"/>
        <v>168.82017748715555</v>
      </c>
      <c r="C49" s="2692">
        <f t="shared" si="57"/>
        <v>148.06267029972753</v>
      </c>
      <c r="D49" s="2692">
        <f t="shared" si="35"/>
        <v>148.06267029972753</v>
      </c>
      <c r="E49" s="2692">
        <f t="shared" si="58"/>
        <v>216.46288379323747</v>
      </c>
      <c r="F49" s="2692">
        <f t="shared" si="58"/>
        <v>134.23529411764704</v>
      </c>
      <c r="G49" s="3493">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2611</v>
      </c>
      <c r="B50" s="2692">
        <f t="shared" si="57"/>
        <v>163.84913591779542</v>
      </c>
      <c r="C50" s="2692">
        <f t="shared" si="57"/>
        <v>145.0283378746594</v>
      </c>
      <c r="D50" s="2692">
        <f t="shared" si="35"/>
        <v>145.0283378746594</v>
      </c>
      <c r="E50" s="2692">
        <f t="shared" si="58"/>
        <v>204.95180722891567</v>
      </c>
      <c r="F50" s="2692">
        <f t="shared" si="58"/>
        <v>125.95920303605313</v>
      </c>
      <c r="G50" s="3494">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2612</v>
      </c>
      <c r="B51" s="2706">
        <v>159</v>
      </c>
      <c r="C51" s="2706">
        <v>141</v>
      </c>
      <c r="D51" s="2706">
        <f t="shared" si="35"/>
        <v>141</v>
      </c>
      <c r="E51" s="2706">
        <v>195</v>
      </c>
      <c r="F51" s="2707">
        <v>122</v>
      </c>
      <c r="G51" s="3492">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2613</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93">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2614</v>
      </c>
      <c r="B53" s="2692">
        <f t="shared" si="61"/>
        <v>146.57412060301507</v>
      </c>
      <c r="C53" s="2692">
        <f t="shared" si="61"/>
        <v>136.46831955922866</v>
      </c>
      <c r="D53" s="2692">
        <f t="shared" si="35"/>
        <v>136.46831955922866</v>
      </c>
      <c r="E53" s="2692">
        <f t="shared" si="62"/>
        <v>166.73864894795128</v>
      </c>
      <c r="F53" s="2692">
        <f t="shared" si="62"/>
        <v>115.05882352941177</v>
      </c>
      <c r="G53" s="3493">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2615</v>
      </c>
      <c r="B54" s="2692">
        <f t="shared" si="61"/>
        <v>144.04145728643215</v>
      </c>
      <c r="C54" s="2692">
        <f t="shared" si="61"/>
        <v>136.12396694214877</v>
      </c>
      <c r="D54" s="2692">
        <f t="shared" si="35"/>
        <v>136.12396694214877</v>
      </c>
      <c r="E54" s="2692">
        <f t="shared" si="62"/>
        <v>158.32225913621264</v>
      </c>
      <c r="F54" s="2692">
        <f t="shared" si="62"/>
        <v>114.04278074866311</v>
      </c>
      <c r="G54" s="3494">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2616</v>
      </c>
      <c r="B55" s="2706">
        <v>138</v>
      </c>
      <c r="C55" s="2706">
        <v>131</v>
      </c>
      <c r="D55" s="2706">
        <f t="shared" si="35"/>
        <v>131</v>
      </c>
      <c r="E55" s="2706">
        <v>155</v>
      </c>
      <c r="F55" s="2707">
        <v>114</v>
      </c>
      <c r="G55" s="3492">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2617</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93">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2618</v>
      </c>
      <c r="B57" s="2692">
        <f t="shared" si="65"/>
        <v>124.29032258064517</v>
      </c>
      <c r="C57" s="2692">
        <f t="shared" si="65"/>
        <v>123.8968609865471</v>
      </c>
      <c r="D57" s="2692">
        <f t="shared" si="35"/>
        <v>123.8968609865471</v>
      </c>
      <c r="E57" s="2692">
        <f t="shared" si="66"/>
        <v>138.00507614213197</v>
      </c>
      <c r="F57" s="2692">
        <f t="shared" si="66"/>
        <v>107.96106557377048</v>
      </c>
      <c r="G57" s="3493">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2619</v>
      </c>
      <c r="B58" s="2692">
        <f t="shared" si="65"/>
        <v>122.57204301075269</v>
      </c>
      <c r="C58" s="2692">
        <f t="shared" si="65"/>
        <v>123.4932735426009</v>
      </c>
      <c r="D58" s="2692">
        <f t="shared" si="35"/>
        <v>123.4932735426009</v>
      </c>
      <c r="E58" s="2692">
        <f t="shared" si="66"/>
        <v>129.82233502538071</v>
      </c>
      <c r="F58" s="2692">
        <f t="shared" si="66"/>
        <v>107.39446721311475</v>
      </c>
      <c r="G58" s="3494">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2620</v>
      </c>
      <c r="B59" s="2722">
        <v>121</v>
      </c>
      <c r="C59" s="2722">
        <v>122</v>
      </c>
      <c r="D59" s="2722">
        <f t="shared" si="35"/>
        <v>122</v>
      </c>
      <c r="E59" s="2722">
        <v>124</v>
      </c>
      <c r="F59" s="2723">
        <v>107</v>
      </c>
      <c r="G59" s="3492">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2621</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93">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2622</v>
      </c>
      <c r="B61" s="2692">
        <f t="shared" si="69"/>
        <v>116.99099099099099</v>
      </c>
      <c r="C61" s="2692">
        <f t="shared" si="69"/>
        <v>118.84848484848486</v>
      </c>
      <c r="D61" s="2692">
        <f t="shared" si="35"/>
        <v>118.84848484848486</v>
      </c>
      <c r="E61" s="2692">
        <f t="shared" si="70"/>
        <v>117.60960960960961</v>
      </c>
      <c r="F61" s="2692">
        <f t="shared" si="70"/>
        <v>104</v>
      </c>
      <c r="G61" s="3493">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2623</v>
      </c>
      <c r="B62" s="2725">
        <f t="shared" si="69"/>
        <v>112.48648648648648</v>
      </c>
      <c r="C62" s="2725">
        <f t="shared" si="69"/>
        <v>115.21212121212122</v>
      </c>
      <c r="D62" s="2725">
        <f t="shared" si="35"/>
        <v>115.21212121212122</v>
      </c>
      <c r="E62" s="2725">
        <f t="shared" si="70"/>
        <v>110.4024024024024</v>
      </c>
      <c r="F62" s="2725">
        <f t="shared" si="70"/>
        <v>104</v>
      </c>
      <c r="G62" s="3494">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2624</v>
      </c>
      <c r="B63" s="2743">
        <v>111</v>
      </c>
      <c r="C63" s="2743">
        <v>114</v>
      </c>
      <c r="D63" s="2743">
        <f t="shared" si="35"/>
        <v>114</v>
      </c>
      <c r="E63" s="2743">
        <v>108</v>
      </c>
      <c r="F63" s="2744">
        <v>104</v>
      </c>
      <c r="G63" s="3492">
        <v>2003</v>
      </c>
      <c r="H63" s="2733">
        <v>4</v>
      </c>
      <c r="I63" s="2745"/>
      <c r="J63" s="2745"/>
      <c r="K63" s="2745"/>
      <c r="L63" s="2745"/>
      <c r="N63" s="2746"/>
      <c r="O63" s="2745"/>
      <c r="P63" s="2745"/>
      <c r="Q63" s="2745"/>
      <c r="S63" s="2746"/>
      <c r="T63" s="2745"/>
      <c r="U63" s="2745"/>
      <c r="V63" s="2745"/>
      <c r="X63" s="2737"/>
      <c r="Y63" s="2737"/>
      <c r="Z63" s="2737"/>
    </row>
    <row r="64" spans="1:26">
      <c r="A64" s="2678" t="s">
        <v>2625</v>
      </c>
      <c r="B64" s="2747">
        <f t="shared" ref="B64:C66" si="71">B65+(B$63-B$67)/4</f>
        <v>109.75</v>
      </c>
      <c r="C64" s="2747">
        <f t="shared" si="71"/>
        <v>112.25</v>
      </c>
      <c r="D64" s="2747">
        <f t="shared" si="35"/>
        <v>112.25</v>
      </c>
      <c r="E64" s="2747">
        <f t="shared" ref="E64:F66" si="72">E65+(E$63-E$67)/4</f>
        <v>107.25</v>
      </c>
      <c r="F64" s="2747">
        <f t="shared" si="72"/>
        <v>103.5</v>
      </c>
      <c r="G64" s="3493">
        <v>2003</v>
      </c>
      <c r="H64" s="2703">
        <v>3</v>
      </c>
      <c r="I64" s="2745"/>
      <c r="J64" s="2745"/>
      <c r="K64" s="2745"/>
      <c r="L64" s="2745"/>
      <c r="X64" s="2737"/>
      <c r="Y64" s="2737"/>
      <c r="Z64" s="2737"/>
    </row>
    <row r="65" spans="1:26">
      <c r="A65" s="2678" t="s">
        <v>2626</v>
      </c>
      <c r="B65" s="2747">
        <f t="shared" si="71"/>
        <v>108.5</v>
      </c>
      <c r="C65" s="2747">
        <f t="shared" si="71"/>
        <v>110.5</v>
      </c>
      <c r="D65" s="2747">
        <f t="shared" si="35"/>
        <v>110.5</v>
      </c>
      <c r="E65" s="2747">
        <f t="shared" si="72"/>
        <v>106.5</v>
      </c>
      <c r="F65" s="2747">
        <f t="shared" si="72"/>
        <v>103</v>
      </c>
      <c r="G65" s="3493">
        <v>2003</v>
      </c>
      <c r="H65" s="2683">
        <v>2</v>
      </c>
      <c r="I65" s="2745"/>
      <c r="J65" s="2745"/>
      <c r="K65" s="2745"/>
      <c r="L65" s="2745"/>
      <c r="X65" s="2737"/>
      <c r="Y65" s="2737"/>
      <c r="Z65" s="2737"/>
    </row>
    <row r="66" spans="1:26" ht="13.5" thickBot="1">
      <c r="A66" s="2678" t="s">
        <v>2627</v>
      </c>
      <c r="B66" s="2747">
        <f t="shared" si="71"/>
        <v>107.25</v>
      </c>
      <c r="C66" s="2747">
        <f t="shared" si="71"/>
        <v>108.75</v>
      </c>
      <c r="D66" s="2747">
        <f t="shared" si="35"/>
        <v>108.75</v>
      </c>
      <c r="E66" s="2747">
        <f t="shared" si="72"/>
        <v>105.75</v>
      </c>
      <c r="F66" s="2747">
        <f t="shared" si="72"/>
        <v>102.5</v>
      </c>
      <c r="G66" s="3494">
        <v>2003</v>
      </c>
      <c r="H66" s="2748">
        <v>1</v>
      </c>
      <c r="I66" s="2745"/>
      <c r="J66" s="2745"/>
      <c r="K66" s="2745"/>
      <c r="L66" s="2745"/>
      <c r="S66" s="2687"/>
      <c r="T66" s="2688"/>
      <c r="U66" s="2688"/>
      <c r="X66" s="2737"/>
      <c r="Y66" s="2737"/>
      <c r="Z66" s="2737"/>
    </row>
    <row r="67" spans="1:26" ht="13.5" thickBot="1">
      <c r="A67" s="2678" t="s">
        <v>2628</v>
      </c>
      <c r="B67" s="2749">
        <v>106</v>
      </c>
      <c r="C67" s="2749">
        <v>107</v>
      </c>
      <c r="D67" s="2749">
        <f t="shared" si="35"/>
        <v>107</v>
      </c>
      <c r="E67" s="2749">
        <v>105</v>
      </c>
      <c r="F67" s="2750">
        <v>102</v>
      </c>
      <c r="G67" s="3492">
        <v>2002</v>
      </c>
      <c r="H67" s="2698">
        <v>4</v>
      </c>
      <c r="I67" s="2745"/>
      <c r="J67" s="2745"/>
      <c r="K67" s="2745"/>
      <c r="L67" s="2745"/>
      <c r="N67" s="2746"/>
      <c r="O67" s="2745"/>
      <c r="P67" s="2745"/>
      <c r="Q67" s="2745"/>
      <c r="S67" s="2746"/>
      <c r="T67" s="2745"/>
      <c r="U67" s="2745"/>
      <c r="V67" s="2745"/>
      <c r="X67" s="2737"/>
      <c r="Y67" s="2737"/>
      <c r="Z67" s="2737"/>
    </row>
    <row r="68" spans="1:26">
      <c r="A68" s="2678" t="s">
        <v>2629</v>
      </c>
      <c r="B68" s="2747">
        <f t="shared" ref="B68:C70" si="73">B69+(B$67-B$71)/4</f>
        <v>105</v>
      </c>
      <c r="C68" s="2747">
        <f t="shared" si="73"/>
        <v>106</v>
      </c>
      <c r="D68" s="2747">
        <f t="shared" si="35"/>
        <v>106</v>
      </c>
      <c r="E68" s="2747">
        <f t="shared" ref="E68:F70" si="74">E69+(E$67-E$71)/4</f>
        <v>104.5</v>
      </c>
      <c r="F68" s="2747">
        <f t="shared" si="74"/>
        <v>101.5</v>
      </c>
      <c r="G68" s="3493">
        <v>2002</v>
      </c>
      <c r="H68" s="2703">
        <v>3</v>
      </c>
      <c r="I68" s="2745"/>
      <c r="J68" s="2745"/>
      <c r="K68" s="2745"/>
      <c r="L68" s="2745"/>
      <c r="X68" s="2737"/>
      <c r="Y68" s="2737"/>
      <c r="Z68" s="2737"/>
    </row>
    <row r="69" spans="1:26">
      <c r="A69" s="2678" t="s">
        <v>2630</v>
      </c>
      <c r="B69" s="2747">
        <f t="shared" si="73"/>
        <v>104</v>
      </c>
      <c r="C69" s="2747">
        <f t="shared" si="73"/>
        <v>105</v>
      </c>
      <c r="D69" s="2747">
        <f t="shared" si="35"/>
        <v>105</v>
      </c>
      <c r="E69" s="2747">
        <f t="shared" si="74"/>
        <v>104</v>
      </c>
      <c r="F69" s="2747">
        <f t="shared" si="74"/>
        <v>101</v>
      </c>
      <c r="G69" s="3493">
        <v>2002</v>
      </c>
      <c r="H69" s="2683">
        <v>2</v>
      </c>
      <c r="I69" s="2745"/>
      <c r="J69" s="2745"/>
      <c r="K69" s="2745"/>
      <c r="L69" s="2745"/>
      <c r="X69" s="2737"/>
      <c r="Y69" s="2737"/>
      <c r="Z69" s="2737"/>
    </row>
    <row r="70" spans="1:26" s="2714" customFormat="1" ht="13.5" thickBot="1">
      <c r="A70" s="2710" t="s">
        <v>2631</v>
      </c>
      <c r="B70" s="2751">
        <f t="shared" si="73"/>
        <v>103</v>
      </c>
      <c r="C70" s="2751">
        <f t="shared" si="73"/>
        <v>104</v>
      </c>
      <c r="D70" s="2751">
        <f t="shared" si="35"/>
        <v>104</v>
      </c>
      <c r="E70" s="2751">
        <f t="shared" si="74"/>
        <v>103.5</v>
      </c>
      <c r="F70" s="2751">
        <f t="shared" si="74"/>
        <v>100.5</v>
      </c>
      <c r="G70" s="3494">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2632</v>
      </c>
      <c r="G73" s="2761"/>
      <c r="N73" s="2761"/>
      <c r="S73" s="2761"/>
    </row>
    <row r="74" spans="1:26" s="2760" customFormat="1">
      <c r="A74" s="2760" t="s">
        <v>2633</v>
      </c>
      <c r="G74" s="2761"/>
      <c r="N74" s="2761"/>
      <c r="S74" s="2761"/>
    </row>
    <row r="75" spans="1:26" s="2760" customFormat="1">
      <c r="A75" s="2760" t="s">
        <v>2634</v>
      </c>
      <c r="G75" s="2761"/>
      <c r="I75" s="2762"/>
      <c r="J75" s="2762"/>
      <c r="K75" s="2762"/>
      <c r="L75" s="2762"/>
      <c r="N75" s="2763"/>
      <c r="O75" s="2762"/>
      <c r="P75" s="2762"/>
      <c r="Q75" s="2762"/>
      <c r="S75" s="2763"/>
      <c r="T75" s="2762"/>
      <c r="U75" s="2762"/>
      <c r="V75" s="2762"/>
    </row>
    <row r="76" spans="1:26" s="2760" customFormat="1">
      <c r="A76" s="2760" t="s">
        <v>2635</v>
      </c>
      <c r="G76" s="2761"/>
      <c r="N76" s="2761"/>
      <c r="S76" s="2761"/>
    </row>
    <row r="83" spans="7:22" ht="13.5" thickBot="1"/>
    <row r="84" spans="7:22">
      <c r="G84" s="2686"/>
      <c r="S84" s="2764" t="s">
        <v>2636</v>
      </c>
      <c r="T84" s="2765" t="s">
        <v>2637</v>
      </c>
      <c r="U84" s="2765" t="s">
        <v>2638</v>
      </c>
      <c r="V84" s="2765" t="s">
        <v>2639</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0" sqref="E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3403</v>
      </c>
      <c r="D1" s="3149" t="s">
        <v>952</v>
      </c>
      <c r="E1" s="2410" t="s">
        <v>2375</v>
      </c>
      <c r="F1" s="2411">
        <f ca="1">J53</f>
        <v>34.26</v>
      </c>
      <c r="G1" s="773">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35314</v>
      </c>
      <c r="C2" s="2056"/>
      <c r="D2" s="2054"/>
      <c r="E2" s="2055"/>
      <c r="F2" s="2055"/>
      <c r="G2" s="1589"/>
      <c r="H2" s="2056"/>
      <c r="I2" s="2056"/>
      <c r="J2" s="2056"/>
      <c r="K2" s="2057"/>
      <c r="L2" s="2056"/>
      <c r="M2" s="2056"/>
    </row>
    <row r="3" spans="1:33" ht="18" customHeight="1" thickBot="1">
      <c r="A3" s="832" t="s">
        <v>1728</v>
      </c>
      <c r="B3" s="833">
        <f ca="1">IF(ISERROR(B2*10000/F43),0,ROUND(B2*10000/F43,0))</f>
        <v>2522</v>
      </c>
      <c r="C3" s="2056"/>
      <c r="D3" s="2054"/>
      <c r="E3" s="2055"/>
      <c r="F3" s="2055"/>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2303</v>
      </c>
      <c r="D5" s="2519" t="s">
        <v>2462</v>
      </c>
      <c r="E5" s="2513"/>
      <c r="F5" s="2514"/>
      <c r="G5" s="1591"/>
      <c r="H5" s="780">
        <v>1</v>
      </c>
      <c r="I5" s="781" t="s">
        <v>2459</v>
      </c>
      <c r="J5" s="55">
        <f ca="1">J6+J10+J12</f>
        <v>0</v>
      </c>
      <c r="K5" s="2519" t="s">
        <v>2462</v>
      </c>
      <c r="L5" s="2513"/>
      <c r="M5" s="2514"/>
    </row>
    <row r="6" spans="1:33" ht="18" customHeight="1">
      <c r="A6" s="1829" t="s">
        <v>1825</v>
      </c>
      <c r="B6" s="3486" t="s">
        <v>2464</v>
      </c>
      <c r="C6" s="782">
        <f ca="1">ROUND(F6*F8*F7*(1-F9)/10000,0)</f>
        <v>2300</v>
      </c>
      <c r="D6" s="2520" t="s">
        <v>2463</v>
      </c>
      <c r="E6" s="783" t="s">
        <v>1739</v>
      </c>
      <c r="F6" s="784">
        <f ca="1">INDIRECT("'数据-取费表'!u"&amp;$G$1)</f>
        <v>0.5</v>
      </c>
      <c r="G6" s="1591"/>
      <c r="H6" s="2527" t="s">
        <v>2469</v>
      </c>
      <c r="I6" s="3486" t="s">
        <v>2464</v>
      </c>
      <c r="J6" s="782">
        <f ca="1">ROUND(M6*M8*M7*(1-M9)/10000,0)</f>
        <v>0</v>
      </c>
      <c r="K6" s="340" t="s">
        <v>1738</v>
      </c>
      <c r="L6" s="783" t="s">
        <v>1739</v>
      </c>
      <c r="M6" s="784">
        <f ca="1">INDIRECT("'数据-取费表'!z"&amp;$G$1)</f>
        <v>0</v>
      </c>
    </row>
    <row r="7" spans="1:33" ht="18" customHeight="1">
      <c r="A7" s="2523"/>
      <c r="B7" s="3487"/>
      <c r="C7" s="787"/>
      <c r="D7" s="788"/>
      <c r="E7" s="783" t="s">
        <v>1740</v>
      </c>
      <c r="F7" s="784">
        <f ca="1">IF(INDIRECT("'数据-取费表'!ah"&amp;$G$1)="",INDIRECT("'数据-取费表'!k"&amp;$G$1),INDIRECT("'数据-取费表'!ah"&amp;$G$1))</f>
        <v>140004.31</v>
      </c>
      <c r="G7" s="1591"/>
      <c r="H7" s="2512"/>
      <c r="I7" s="3487"/>
      <c r="J7" s="787"/>
      <c r="K7" s="788"/>
      <c r="L7" s="783" t="s">
        <v>1740</v>
      </c>
      <c r="M7" s="784">
        <f ca="1">F7</f>
        <v>140004.31</v>
      </c>
    </row>
    <row r="8" spans="1:33" ht="18" customHeight="1">
      <c r="A8" s="2516"/>
      <c r="B8" s="3488"/>
      <c r="C8" s="787"/>
      <c r="D8" s="788"/>
      <c r="E8" s="783" t="s">
        <v>1741</v>
      </c>
      <c r="F8" s="784">
        <f ca="1">INDIRECT("'数据-取费表'!ai"&amp;$G$1)</f>
        <v>365</v>
      </c>
      <c r="G8" s="1591"/>
      <c r="H8" s="2512"/>
      <c r="I8" s="3488"/>
      <c r="J8" s="787"/>
      <c r="K8" s="788"/>
      <c r="L8" s="783" t="s">
        <v>1741</v>
      </c>
      <c r="M8" s="784">
        <f ca="1">INDIRECT("'数据-取费表'!ai"&amp;$G$1)</f>
        <v>365</v>
      </c>
    </row>
    <row r="9" spans="1:33" ht="18" customHeight="1">
      <c r="A9" s="785"/>
      <c r="B9" s="3489"/>
      <c r="C9" s="787"/>
      <c r="D9" s="788"/>
      <c r="E9" s="783" t="s">
        <v>1742</v>
      </c>
      <c r="F9" s="793">
        <f ca="1">INDIRECT("'数据-取费表'!w"&amp;$G$1)</f>
        <v>0.1</v>
      </c>
      <c r="G9" s="1591"/>
      <c r="H9" s="2528"/>
      <c r="I9" s="3488"/>
      <c r="J9" s="787"/>
      <c r="K9" s="788"/>
      <c r="L9" s="794" t="s">
        <v>1742</v>
      </c>
      <c r="M9" s="795">
        <f ca="1">INDIRECT("'数据-取费表'!ab"&amp;$G$1)</f>
        <v>0</v>
      </c>
    </row>
    <row r="10" spans="1:33" ht="18" customHeight="1">
      <c r="A10" s="1829" t="s">
        <v>2467</v>
      </c>
      <c r="B10" s="2517" t="s">
        <v>2460</v>
      </c>
      <c r="C10" s="798">
        <f ca="1">ROUND(IF(F10="押一",C6/12*F11,IF(F10="押二",C6/12*2*F11,IF(F10="押三",C6/12*3*F11,C11*F11))),0)</f>
        <v>3</v>
      </c>
      <c r="D10" s="2524" t="s">
        <v>2965</v>
      </c>
      <c r="E10" s="2521" t="s">
        <v>2465</v>
      </c>
      <c r="F10" s="2644" t="s">
        <v>3437</v>
      </c>
      <c r="G10" s="1591"/>
      <c r="H10" s="2584" t="s">
        <v>2470</v>
      </c>
      <c r="I10" s="2589" t="s">
        <v>2460</v>
      </c>
      <c r="J10" s="782">
        <f ca="1">ROUND(IF(M10="押一",J6/12*M11,IF(M10="押二",J6/12*2*M11,IF(M10="押三",J6/12*3*M11,J11*M11))),0)</f>
        <v>0</v>
      </c>
      <c r="K10" s="2524" t="s">
        <v>2965</v>
      </c>
      <c r="L10" s="2521" t="s">
        <v>2465</v>
      </c>
      <c r="M10" s="2644"/>
    </row>
    <row r="11" spans="1:33" ht="18" customHeight="1">
      <c r="A11" s="789"/>
      <c r="B11" s="2518" t="s">
        <v>2574</v>
      </c>
      <c r="C11" s="2522"/>
      <c r="D11" s="788"/>
      <c r="E11" s="2521" t="s">
        <v>2466</v>
      </c>
      <c r="F11" s="795">
        <f ca="1">'数据-取费表'!B39</f>
        <v>1.4999999999999999E-2</v>
      </c>
      <c r="G11" s="1591"/>
      <c r="H11" s="2585"/>
      <c r="I11" s="2518" t="s">
        <v>2574</v>
      </c>
      <c r="J11" s="2522"/>
      <c r="K11" s="2586"/>
      <c r="L11" s="2521" t="s">
        <v>2466</v>
      </c>
      <c r="M11" s="2515">
        <f ca="1">'数据-取费表'!B39</f>
        <v>1.4999999999999999E-2</v>
      </c>
    </row>
    <row r="12" spans="1:33" ht="18" customHeight="1" thickBot="1">
      <c r="A12" s="2560" t="s">
        <v>2468</v>
      </c>
      <c r="B12" s="2561" t="s">
        <v>2461</v>
      </c>
      <c r="C12" s="2562"/>
      <c r="D12" s="2563"/>
      <c r="E12" s="2564"/>
      <c r="F12" s="2565"/>
      <c r="G12" s="1591"/>
      <c r="H12" s="2574" t="s">
        <v>2471</v>
      </c>
      <c r="I12" s="2587" t="s">
        <v>2461</v>
      </c>
      <c r="J12" s="2588"/>
      <c r="K12" s="2563"/>
      <c r="L12" s="2564"/>
      <c r="M12" s="2577"/>
    </row>
    <row r="13" spans="1:33" ht="18" customHeight="1" thickTop="1">
      <c r="A13" s="1828">
        <v>2</v>
      </c>
      <c r="B13" s="1826" t="s">
        <v>1743</v>
      </c>
      <c r="C13" s="791">
        <f ca="1">ROUND(C29*F13,0)</f>
        <v>28900</v>
      </c>
      <c r="D13" s="1833" t="s">
        <v>2298</v>
      </c>
      <c r="E13" s="1833" t="s">
        <v>1745</v>
      </c>
      <c r="F13" s="2559">
        <f ca="1">INDIRECT("'数据-取费表'!y"&amp;$G$1)</f>
        <v>1</v>
      </c>
      <c r="G13" s="1591"/>
      <c r="H13" s="1828">
        <v>2</v>
      </c>
      <c r="I13" s="1826" t="s">
        <v>1743</v>
      </c>
      <c r="J13" s="1818">
        <f ca="1">ROUND(J14*J15,0)</f>
        <v>0</v>
      </c>
      <c r="K13" s="1820" t="s">
        <v>1744</v>
      </c>
      <c r="L13" s="2575"/>
      <c r="M13" s="2576"/>
    </row>
    <row r="14" spans="1:33" ht="18" customHeight="1">
      <c r="A14" s="1647" t="s">
        <v>1885</v>
      </c>
      <c r="B14" s="783" t="s">
        <v>645</v>
      </c>
      <c r="C14" s="803">
        <f ca="1">INDIRECT("'数据-取费表'!m"&amp;$G$1)+INDIRECT("'数据-取费表'!t"&amp;$G$1)</f>
        <v>21001</v>
      </c>
      <c r="D14" s="1978" t="s">
        <v>1746</v>
      </c>
      <c r="E14" s="1979"/>
      <c r="F14" s="804"/>
      <c r="G14" s="1591"/>
      <c r="H14" s="1648" t="s">
        <v>1831</v>
      </c>
      <c r="I14" s="2230" t="s">
        <v>2827</v>
      </c>
      <c r="J14" s="53">
        <f ca="1">C29</f>
        <v>28900</v>
      </c>
      <c r="K14" s="26"/>
      <c r="L14" s="800"/>
      <c r="M14" s="801"/>
    </row>
    <row r="15" spans="1:33" s="2063" customFormat="1" ht="18" customHeight="1" thickBot="1">
      <c r="A15" s="1647" t="s">
        <v>1886</v>
      </c>
      <c r="B15" s="783" t="s">
        <v>647</v>
      </c>
      <c r="C15" s="53">
        <f ca="1">ROUND(C14*F15,0)</f>
        <v>630</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548</v>
      </c>
      <c r="K16" s="1820" t="s">
        <v>1751</v>
      </c>
      <c r="L16" s="2509"/>
      <c r="M16" s="2514"/>
    </row>
    <row r="17" spans="1:33" s="2063" customFormat="1" ht="18" customHeight="1">
      <c r="A17" s="1647" t="s">
        <v>1888</v>
      </c>
      <c r="B17" s="783" t="s">
        <v>653</v>
      </c>
      <c r="C17" s="53">
        <f ca="1">ROUND(F17*(F43+INDIRECT("'数据-取费表'!S"&amp;$G$1))/10000,0)</f>
        <v>1400</v>
      </c>
      <c r="D17" s="783" t="s">
        <v>1752</v>
      </c>
      <c r="E17" s="783" t="s">
        <v>1753</v>
      </c>
      <c r="F17" s="56">
        <f>'数据-取费表'!B35</f>
        <v>100</v>
      </c>
      <c r="G17" s="1592"/>
      <c r="H17" s="1648" t="s">
        <v>1831</v>
      </c>
      <c r="I17" s="783" t="s">
        <v>656</v>
      </c>
      <c r="J17" s="53">
        <f ca="1">ROUND(IF(项目基本情况!B11="自然人",J5*M17,J18+J19+J20),0)</f>
        <v>259</v>
      </c>
      <c r="K17" s="2508" t="s">
        <v>1754</v>
      </c>
      <c r="L17" s="2507"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659</v>
      </c>
      <c r="C18" s="53">
        <f ca="1">ROUND(C14*F18,0)</f>
        <v>315</v>
      </c>
      <c r="D18" s="783" t="s">
        <v>1747</v>
      </c>
      <c r="E18" s="783" t="s">
        <v>1748</v>
      </c>
      <c r="F18" s="808">
        <f>'数据-取费表'!B36</f>
        <v>1.4999999999999999E-2</v>
      </c>
      <c r="G18" s="1592"/>
      <c r="H18" s="1647" t="s">
        <v>1885</v>
      </c>
      <c r="I18" s="783" t="s">
        <v>1756</v>
      </c>
      <c r="J18" s="53">
        <f ca="1">ROUND(J5*M18/1.05,1)</f>
        <v>0</v>
      </c>
      <c r="K18" s="2507"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662</v>
      </c>
      <c r="C19" s="53">
        <f ca="1">SUM(C14:C18)</f>
        <v>23346</v>
      </c>
      <c r="D19" s="260" t="s">
        <v>1758</v>
      </c>
      <c r="E19" s="1981"/>
      <c r="F19" s="56"/>
      <c r="G19" s="1591"/>
      <c r="H19" s="1647" t="s">
        <v>1886</v>
      </c>
      <c r="I19" s="783" t="s">
        <v>1759</v>
      </c>
      <c r="J19" s="53">
        <f ca="1">IF(K19="按租金收入计税",ROUND(J5*M19,1),ROUND(C29*F33*0.7,1))</f>
        <v>242.8</v>
      </c>
      <c r="K19" s="810" t="s">
        <v>665</v>
      </c>
      <c r="L19" s="783" t="s">
        <v>1748</v>
      </c>
      <c r="M19" s="808">
        <f>IF(K19="按租金收入计税",'数据-取费表'!B51,'数据-取费表'!B50)</f>
        <v>1.2E-2</v>
      </c>
    </row>
    <row r="20" spans="1:33" s="2063" customFormat="1" ht="18" customHeight="1">
      <c r="A20" s="1648" t="s">
        <v>1890</v>
      </c>
      <c r="B20" s="783" t="s">
        <v>666</v>
      </c>
      <c r="C20" s="53">
        <f ca="1">ROUND(C19*F20,0)</f>
        <v>467</v>
      </c>
      <c r="D20" s="811" t="s">
        <v>1760</v>
      </c>
      <c r="E20" s="783" t="s">
        <v>1748</v>
      </c>
      <c r="F20" s="808">
        <f>'数据-取费表'!B37</f>
        <v>0.02</v>
      </c>
      <c r="G20" s="1592"/>
      <c r="H20" s="1650" t="s">
        <v>1881</v>
      </c>
      <c r="I20" s="340" t="s">
        <v>1761</v>
      </c>
      <c r="J20" s="54">
        <f ca="1">ROUND(M20*M21/10000,0)</f>
        <v>16</v>
      </c>
      <c r="K20" s="813" t="s">
        <v>1762</v>
      </c>
      <c r="L20" s="783" t="s">
        <v>1763</v>
      </c>
      <c r="M20" s="639">
        <f>'数据-取费表'!B52</f>
        <v>1</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2299</v>
      </c>
      <c r="E21" s="783" t="s">
        <v>1766</v>
      </c>
      <c r="F21" s="808">
        <f>'数据-取费表'!B38</f>
        <v>0.02</v>
      </c>
      <c r="G21" s="1592"/>
      <c r="H21" s="2529"/>
      <c r="I21" s="792"/>
      <c r="J21" s="69"/>
      <c r="K21" s="815"/>
      <c r="L21" s="783" t="s">
        <v>1767</v>
      </c>
      <c r="M21" s="784">
        <f ca="1">INDIRECT("'数据-取费表'!r"&amp;$G$1)</f>
        <v>157370.63</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单利计息。建造成本、管理费用、销售费用产生的利息。</v>
      </c>
      <c r="E22" s="1981"/>
      <c r="F22" s="56"/>
      <c r="G22" s="1591"/>
      <c r="H22" s="1648" t="s">
        <v>1890</v>
      </c>
      <c r="I22" s="783" t="s">
        <v>1769</v>
      </c>
      <c r="J22" s="53">
        <f ca="1">ROUND(J14*M22,0)</f>
        <v>289</v>
      </c>
      <c r="K22" s="2507" t="s">
        <v>1770</v>
      </c>
      <c r="L22" s="783" t="s">
        <v>1748</v>
      </c>
      <c r="M22" s="816">
        <f ca="1">INDIRECT("'数据-取费表'!Ak"&amp;$G$1)</f>
        <v>0.01</v>
      </c>
    </row>
    <row r="23" spans="1:33" s="2063" customFormat="1" ht="18" customHeight="1">
      <c r="A23" s="1647" t="s">
        <v>1832</v>
      </c>
      <c r="B23" s="783" t="s">
        <v>2536</v>
      </c>
      <c r="C23" s="53">
        <f ca="1">ROUND(IF('数据-取费表'!B22&lt;=1,(C19+C20)*F24*F23/2,(C19+C20)*(POWER((1+F24),F23/2)-1)),0)</f>
        <v>518</v>
      </c>
      <c r="D23" s="2594" t="str">
        <f>IF(F23&lt;=1,"(建造成本+管理费用)×利率×(建设周期÷2)","(建造成本+管理费用)×((1+利率)^(建设周期÷2)-1)")</f>
        <v>(建造成本+管理费用)×利率×(建设周期÷2)</v>
      </c>
      <c r="E23" s="783" t="s">
        <v>1771</v>
      </c>
      <c r="F23" s="639">
        <f>'数据-取费表'!B20</f>
        <v>1</v>
      </c>
      <c r="G23" s="1592"/>
      <c r="H23" s="1648" t="s">
        <v>1891</v>
      </c>
      <c r="I23" s="783" t="s">
        <v>679</v>
      </c>
      <c r="J23" s="53">
        <f ca="1">ROUND(J13*M23,0)</f>
        <v>0</v>
      </c>
      <c r="K23" s="2507" t="s">
        <v>1772</v>
      </c>
      <c r="L23" s="783" t="s">
        <v>1748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4.0000000000000002E-4</v>
      </c>
      <c r="D24" s="2594" t="str">
        <f>IF(F23&lt;=1,"销售费用×利率×(建设周期÷2)","销售费用×((1+利率)^(建设周期÷2)-1)")</f>
        <v>销售费用×利率×(建设周期÷2)</v>
      </c>
      <c r="E24" s="783" t="s">
        <v>1774</v>
      </c>
      <c r="F24" s="818">
        <f ca="1">'数据-取费表'!B40</f>
        <v>4.3499999999999997E-2</v>
      </c>
      <c r="G24" s="1592"/>
      <c r="H24" s="2574" t="s">
        <v>1892</v>
      </c>
      <c r="I24" s="2569" t="s">
        <v>666</v>
      </c>
      <c r="J24" s="2567">
        <f ca="1">ROUND(J5*M24,0)</f>
        <v>0</v>
      </c>
      <c r="K24" s="2568" t="s">
        <v>1775</v>
      </c>
      <c r="L24" s="2569" t="s">
        <v>1748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684</v>
      </c>
      <c r="C25" s="53"/>
      <c r="D25" s="260" t="s">
        <v>1776</v>
      </c>
      <c r="E25" s="1981"/>
      <c r="F25" s="56"/>
      <c r="G25" s="1591"/>
      <c r="H25" s="1828" t="s">
        <v>1777</v>
      </c>
      <c r="I25" s="3033" t="s">
        <v>2823</v>
      </c>
      <c r="J25" s="791">
        <f ca="1">J5-J16</f>
        <v>-548</v>
      </c>
      <c r="K25" s="2571" t="s">
        <v>1778</v>
      </c>
      <c r="L25" s="2572"/>
      <c r="M25" s="2573"/>
    </row>
    <row r="26" spans="1:33" ht="18" customHeight="1">
      <c r="A26" s="1647" t="s">
        <v>1832</v>
      </c>
      <c r="B26" s="783" t="s">
        <v>2439</v>
      </c>
      <c r="C26" s="53">
        <f ca="1">ROUND((C19+C20)*F26,0)</f>
        <v>2381</v>
      </c>
      <c r="D26" s="811" t="s">
        <v>1779</v>
      </c>
      <c r="E26" s="794" t="s">
        <v>1780</v>
      </c>
      <c r="F26" s="793">
        <f ca="1">INDIRECT("'数据-取费表'!q"&amp;$G$1)</f>
        <v>0.1</v>
      </c>
      <c r="G26" s="1591"/>
      <c r="H26" s="2525" t="s">
        <v>1781</v>
      </c>
      <c r="I26" s="2231" t="s">
        <v>2828</v>
      </c>
      <c r="J26" s="782">
        <f ca="1">IF(J5&lt;&gt;0,ROUND(J25*(1-((1+M28)/(1+M26))^M27)/(M26-M28),0),0)</f>
        <v>0</v>
      </c>
      <c r="K26" s="813" t="s">
        <v>1782</v>
      </c>
      <c r="L26" s="783" t="s">
        <v>2420</v>
      </c>
      <c r="M26" s="793">
        <f ca="1">INDIRECT("'数据-取费表'!I"&amp;$G$1)</f>
        <v>4.4999999999999998E-2</v>
      </c>
    </row>
    <row r="27" spans="1:33" ht="18" customHeight="1">
      <c r="A27" s="1647" t="s">
        <v>1833</v>
      </c>
      <c r="B27" s="783" t="s">
        <v>686</v>
      </c>
      <c r="C27" s="53">
        <f ca="1">ROUND(F21*F26,4)</f>
        <v>2E-3</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687</v>
      </c>
      <c r="C28" s="53">
        <f>ROUND(F28/(1+'数据-取费表'!C42),4)</f>
        <v>5.33E-2</v>
      </c>
      <c r="D28" s="811" t="s">
        <v>2300</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2301</v>
      </c>
      <c r="C29" s="2567">
        <f ca="1">ROUND((C19+C20+C23+C26)/(1-F21-C24-C27-C28),0)</f>
        <v>28900</v>
      </c>
      <c r="D29" s="2568"/>
      <c r="E29" s="2569"/>
      <c r="F29" s="2570"/>
      <c r="G29" s="1592"/>
      <c r="H29" s="822" t="s">
        <v>1788</v>
      </c>
      <c r="I29" s="823" t="s">
        <v>1789</v>
      </c>
      <c r="J29" s="824">
        <f ca="1">ROUND(J26/(1+F40)^F41,0)</f>
        <v>0</v>
      </c>
      <c r="K29" s="825" t="s">
        <v>1790</v>
      </c>
      <c r="L29" s="826"/>
      <c r="M29" s="827">
        <f ca="1">INDIRECT("'数据-取费表'!k"&amp;$G$1)</f>
        <v>140004.31</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737</v>
      </c>
      <c r="D30" s="1820" t="s">
        <v>1792</v>
      </c>
      <c r="E30" s="2509"/>
      <c r="F30" s="2514"/>
      <c r="G30" s="2061"/>
      <c r="H30" s="2064"/>
      <c r="I30" s="2065"/>
      <c r="J30" s="2066"/>
      <c r="K30" s="2067"/>
      <c r="L30" s="2068"/>
      <c r="M30" s="2069"/>
    </row>
    <row r="31" spans="1:33" ht="18" customHeight="1">
      <c r="A31" s="1648" t="s">
        <v>1831</v>
      </c>
      <c r="B31" s="783" t="s">
        <v>656</v>
      </c>
      <c r="C31" s="53">
        <f ca="1">ROUND(IF(项目基本情况!B11="自然人",C5*F31,C32+C33+C34),1)</f>
        <v>381.3</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122.8</v>
      </c>
      <c r="D32" s="1976" t="s">
        <v>1796</v>
      </c>
      <c r="E32" s="783" t="s">
        <v>1797</v>
      </c>
      <c r="F32" s="808">
        <f>'数据-取费表'!B41</f>
        <v>5.6000000000000001E-2</v>
      </c>
      <c r="G32" s="2061"/>
      <c r="H32" s="2070"/>
      <c r="I32" s="2071"/>
      <c r="J32" s="2072"/>
      <c r="K32" s="2073"/>
      <c r="L32" s="2074"/>
      <c r="M32" s="2075"/>
    </row>
    <row r="33" spans="1:18" ht="18" customHeight="1">
      <c r="A33" s="1647" t="s">
        <v>1833</v>
      </c>
      <c r="B33" s="783" t="s">
        <v>1798</v>
      </c>
      <c r="C33" s="53">
        <f ca="1">IF(D33="按租金收入计税",ROUND(C5*F33,1),IF(D33="按房产原值计税",ROUND(C29*F33*0.7,1),INDIRECT("'数据-取费表'!Aj"&amp;$G$1)))</f>
        <v>242.8</v>
      </c>
      <c r="D33" s="3232"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15.7</v>
      </c>
      <c r="D34" s="813" t="s">
        <v>1800</v>
      </c>
      <c r="E34" s="783" t="s">
        <v>1801</v>
      </c>
      <c r="F34" s="639">
        <f>'数据-取费表'!B52</f>
        <v>1</v>
      </c>
      <c r="G34" s="2061"/>
      <c r="H34" s="2064"/>
      <c r="I34" s="834" t="s">
        <v>1814</v>
      </c>
      <c r="J34" s="835"/>
      <c r="K34" s="2079"/>
      <c r="L34" s="2078"/>
      <c r="M34" s="2078"/>
    </row>
    <row r="35" spans="1:18" ht="18" customHeight="1">
      <c r="A35" s="814"/>
      <c r="B35" s="792"/>
      <c r="C35" s="69"/>
      <c r="D35" s="815"/>
      <c r="E35" s="783" t="s">
        <v>1802</v>
      </c>
      <c r="F35" s="784">
        <f ca="1">INDIRECT("'数据-取费表'!r"&amp;$G$1)</f>
        <v>157370.63</v>
      </c>
      <c r="G35" s="2061"/>
      <c r="H35" s="2064"/>
      <c r="I35" s="836" t="s">
        <v>1815</v>
      </c>
      <c r="J35" s="837">
        <f ca="1">ROUND(C13*J36,0)</f>
        <v>2312</v>
      </c>
      <c r="K35" s="2077"/>
      <c r="L35" s="2076"/>
      <c r="M35" s="2076"/>
    </row>
    <row r="36" spans="1:18" ht="18" customHeight="1">
      <c r="A36" s="1648" t="s">
        <v>1890</v>
      </c>
      <c r="B36" s="783" t="s">
        <v>1803</v>
      </c>
      <c r="C36" s="53">
        <f ca="1">ROUND(C29*F36,1)</f>
        <v>289</v>
      </c>
      <c r="D36" s="1976" t="s">
        <v>1804</v>
      </c>
      <c r="E36" s="783" t="s">
        <v>1797</v>
      </c>
      <c r="F36" s="816">
        <f ca="1">INDIRECT("'数据-取费表'!Ak"&amp;$G$1)</f>
        <v>0.01</v>
      </c>
      <c r="G36" s="2061"/>
      <c r="H36" s="2076"/>
      <c r="I36" s="838" t="s">
        <v>1816</v>
      </c>
      <c r="J36" s="839">
        <f ca="1">INDIRECT("'数据-取费表'!j"&amp;$G$1)</f>
        <v>0.08</v>
      </c>
      <c r="K36" s="2081"/>
      <c r="L36" s="2076"/>
      <c r="M36" s="2076"/>
    </row>
    <row r="37" spans="1:18" ht="18" customHeight="1">
      <c r="A37" s="1648" t="s">
        <v>1891</v>
      </c>
      <c r="B37" s="783" t="s">
        <v>679</v>
      </c>
      <c r="C37" s="53">
        <f ca="1">ROUND(C13*F37,1)</f>
        <v>43.4</v>
      </c>
      <c r="D37" s="1976" t="s">
        <v>1805</v>
      </c>
      <c r="E37" s="783" t="s">
        <v>1797</v>
      </c>
      <c r="F37" s="817">
        <f ca="1">INDIRECT("'数据-取费表'!Al"&amp;$G$1)</f>
        <v>1.5E-3</v>
      </c>
      <c r="G37" s="2061"/>
      <c r="H37" s="2076"/>
      <c r="I37" s="840" t="s">
        <v>1817</v>
      </c>
      <c r="J37" s="841"/>
      <c r="K37" s="2081"/>
      <c r="L37" s="2076"/>
      <c r="M37" s="2076"/>
    </row>
    <row r="38" spans="1:18" ht="18" customHeight="1" thickBot="1">
      <c r="A38" s="2574" t="s">
        <v>1892</v>
      </c>
      <c r="B38" s="2569" t="s">
        <v>666</v>
      </c>
      <c r="C38" s="2567">
        <f ca="1">ROUND(C5*F38,1)</f>
        <v>23</v>
      </c>
      <c r="D38" s="2568" t="s">
        <v>1806</v>
      </c>
      <c r="E38" s="2569" t="s">
        <v>1797</v>
      </c>
      <c r="F38" s="2565">
        <f ca="1">INDIRECT("'数据-取费表'!Am"&amp;$G$1)</f>
        <v>0.01</v>
      </c>
      <c r="G38" s="2061"/>
      <c r="H38" s="2076"/>
      <c r="I38" s="842" t="s">
        <v>1818</v>
      </c>
      <c r="J38" s="843"/>
      <c r="K38" s="2082"/>
      <c r="L38" s="2076"/>
      <c r="M38" s="2076"/>
    </row>
    <row r="39" spans="1:18" ht="24.6" customHeight="1" thickTop="1">
      <c r="A39" s="1828" t="s">
        <v>1895</v>
      </c>
      <c r="B39" s="3033" t="s">
        <v>2823</v>
      </c>
      <c r="C39" s="791">
        <f ca="1">C5-C30</f>
        <v>1566</v>
      </c>
      <c r="D39" s="2571" t="s">
        <v>1807</v>
      </c>
      <c r="E39" s="2572"/>
      <c r="F39" s="2573"/>
      <c r="G39" s="2061"/>
      <c r="H39" s="2076"/>
      <c r="I39" s="836" t="s">
        <v>1819</v>
      </c>
      <c r="J39" s="844">
        <f ca="1">ROUND(J35/C39,3)</f>
        <v>1.476</v>
      </c>
      <c r="K39" s="2082"/>
      <c r="L39" s="2076"/>
      <c r="M39" s="2076"/>
    </row>
    <row r="40" spans="1:18" ht="18" customHeight="1">
      <c r="A40" s="780" t="s">
        <v>1896</v>
      </c>
      <c r="B40" s="2231" t="s">
        <v>2302</v>
      </c>
      <c r="C40" s="782">
        <f ca="1">ROUND(C39*(1-((1+F42)/(1+F40))^F41)/(F40-F42),0)</f>
        <v>35314</v>
      </c>
      <c r="D40" s="813" t="s">
        <v>1808</v>
      </c>
      <c r="E40" s="783" t="s">
        <v>2420</v>
      </c>
      <c r="F40" s="793">
        <f ca="1">INDIRECT("'数据-取费表'!I"&amp;$G$1)</f>
        <v>4.4999999999999998E-2</v>
      </c>
      <c r="G40" s="2061"/>
      <c r="H40" s="2061"/>
      <c r="I40" s="836" t="s">
        <v>1820</v>
      </c>
      <c r="J40" s="844">
        <f ca="1">1-J39</f>
        <v>-0.47599999999999998</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34.26</v>
      </c>
      <c r="G41" s="2061"/>
      <c r="H41" s="1987"/>
      <c r="I41" s="842" t="s">
        <v>1821</v>
      </c>
      <c r="J41" s="845"/>
      <c r="K41" s="2081"/>
      <c r="L41" s="1987"/>
      <c r="M41" s="1987"/>
    </row>
    <row r="42" spans="1:18" ht="18" customHeight="1">
      <c r="A42" s="789"/>
      <c r="B42" s="790"/>
      <c r="C42" s="791"/>
      <c r="D42" s="815"/>
      <c r="E42" s="783" t="s">
        <v>1810</v>
      </c>
      <c r="F42" s="793">
        <f ca="1">INDIRECT("'数据-取费表'!v"&amp;$G$1)</f>
        <v>0.02</v>
      </c>
      <c r="G42" s="2061"/>
      <c r="H42" s="1987"/>
      <c r="I42" s="846" t="s">
        <v>1822</v>
      </c>
      <c r="J42" s="844">
        <f ca="1">ROUND(C13/C40,3)</f>
        <v>0.81799999999999995</v>
      </c>
      <c r="K42" s="2081"/>
      <c r="L42" s="1987"/>
      <c r="M42" s="1987"/>
    </row>
    <row r="43" spans="1:18" ht="18" customHeight="1" thickBot="1">
      <c r="A43" s="822" t="s">
        <v>1788</v>
      </c>
      <c r="B43" s="823" t="s">
        <v>1811</v>
      </c>
      <c r="C43" s="824">
        <f ca="1">ROUND(C40*10000/F43,0)</f>
        <v>2522</v>
      </c>
      <c r="D43" s="825" t="s">
        <v>1812</v>
      </c>
      <c r="E43" s="826" t="s">
        <v>1813</v>
      </c>
      <c r="F43" s="827">
        <f ca="1">INDIRECT("'数据-取费表'!k"&amp;$G$1)</f>
        <v>140004.31</v>
      </c>
      <c r="G43" s="2061"/>
      <c r="H43" s="1987"/>
      <c r="I43" s="846" t="s">
        <v>1823</v>
      </c>
      <c r="J43" s="847">
        <f ca="1">1-J42</f>
        <v>0.18200000000000005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7">
        <f ca="1">C67-C40</f>
        <v>-45540</v>
      </c>
      <c r="D46" s="2084"/>
      <c r="E46" s="2084"/>
      <c r="F46" s="2084"/>
      <c r="I46" s="2377" t="s">
        <v>2343</v>
      </c>
      <c r="J46" s="2378"/>
      <c r="K46" s="2379"/>
      <c r="L46" s="2380" t="str">
        <f ca="1">IF(OR(M47="住宅",D1="土地（套用方法）"),0,IF(L48&gt;J51,L60,J60))</f>
        <v>0</v>
      </c>
      <c r="O46" s="2417" t="s">
        <v>2411</v>
      </c>
      <c r="P46" s="1591"/>
      <c r="Q46" s="1603"/>
      <c r="R46" s="1591"/>
    </row>
    <row r="47" spans="1:18" s="2058" customFormat="1" ht="18" customHeight="1" thickBot="1">
      <c r="A47" s="2371">
        <v>1</v>
      </c>
      <c r="B47" s="2372" t="s">
        <v>635</v>
      </c>
      <c r="C47" s="2597">
        <f ca="1">C48+C52+C54</f>
        <v>0</v>
      </c>
      <c r="D47" s="2084"/>
      <c r="E47" s="2084"/>
      <c r="F47" s="2084"/>
      <c r="I47" s="2381" t="s">
        <v>2344</v>
      </c>
      <c r="J47" s="2386" t="s">
        <v>3438</v>
      </c>
      <c r="K47" s="2387" t="s">
        <v>2350</v>
      </c>
      <c r="L47" s="2388">
        <f ca="1">INDIRECT("'数据-取费表'!d"&amp;$G$1)</f>
        <v>50</v>
      </c>
      <c r="M47" s="1603" t="str">
        <f>IF(ISNUMBER(FIND("住宅",C1)),"住宅","非住宅")</f>
        <v>非住宅</v>
      </c>
      <c r="O47" s="2418" t="s">
        <v>2376</v>
      </c>
      <c r="P47" s="2419" t="s">
        <v>2377</v>
      </c>
      <c r="Q47" s="2420" t="s">
        <v>2378</v>
      </c>
      <c r="R47" s="2419" t="s">
        <v>2379</v>
      </c>
    </row>
    <row r="48" spans="1:18" s="2058" customFormat="1" ht="18" customHeight="1" thickBot="1">
      <c r="A48" s="2665" t="s">
        <v>2538</v>
      </c>
      <c r="B48" s="2666" t="s">
        <v>2539</v>
      </c>
      <c r="C48" s="2373">
        <f ca="1">ROUND(F48*F50*F49*(1-F51)/10000,0)</f>
        <v>0</v>
      </c>
      <c r="D48" s="2374" t="s">
        <v>636</v>
      </c>
      <c r="E48" s="2375" t="s">
        <v>2297</v>
      </c>
      <c r="F48" s="2376"/>
      <c r="G48" s="2089"/>
      <c r="I48" s="2382" t="s">
        <v>2345</v>
      </c>
      <c r="J48" s="2389" t="s">
        <v>2351</v>
      </c>
      <c r="K48" s="2390" t="s">
        <v>2352</v>
      </c>
      <c r="L48" s="2391">
        <f ca="1">INDIRECT("'数据-取费表'!f"&amp;$G$1)</f>
        <v>34.26</v>
      </c>
      <c r="O48" s="2421" t="s">
        <v>2380</v>
      </c>
      <c r="P48" s="2422" t="s">
        <v>2406</v>
      </c>
      <c r="Q48" s="2423">
        <f ca="1">C40+J29</f>
        <v>35314</v>
      </c>
      <c r="R48" s="2422" t="s">
        <v>2381</v>
      </c>
    </row>
    <row r="49" spans="1:18" s="2058" customFormat="1" ht="18" customHeight="1" thickBot="1">
      <c r="A49" s="785"/>
      <c r="B49" s="786"/>
      <c r="C49" s="787"/>
      <c r="D49" s="788"/>
      <c r="E49" s="783" t="s">
        <v>1740</v>
      </c>
      <c r="F49" s="784">
        <f ca="1">F7</f>
        <v>140004.31</v>
      </c>
      <c r="G49" s="2089"/>
      <c r="H49" s="2092"/>
      <c r="I49" s="2382" t="s">
        <v>2346</v>
      </c>
      <c r="J49" s="2392"/>
      <c r="K49" s="2393" t="s">
        <v>2353</v>
      </c>
      <c r="L49" s="2394"/>
      <c r="O49" s="2421" t="s">
        <v>2382</v>
      </c>
      <c r="P49" s="2422" t="s">
        <v>2407</v>
      </c>
      <c r="Q49" s="2423" t="str">
        <f ca="1">J60</f>
        <v>0</v>
      </c>
      <c r="R49" s="2422" t="s">
        <v>2383</v>
      </c>
    </row>
    <row r="50" spans="1:18" s="2058" customFormat="1" ht="18" customHeight="1" thickBot="1">
      <c r="A50" s="785"/>
      <c r="B50" s="786"/>
      <c r="C50" s="787"/>
      <c r="D50" s="788"/>
      <c r="E50" s="783" t="s">
        <v>1741</v>
      </c>
      <c r="F50" s="784">
        <f ca="1">F8</f>
        <v>365</v>
      </c>
      <c r="G50" s="2094"/>
      <c r="H50" s="2092"/>
      <c r="I50" s="2382" t="s">
        <v>2347</v>
      </c>
      <c r="J50" s="2395">
        <f>SUMPRODUCT((I63:I65=J47)*(J62:L62=J48)*(J63:L65))</f>
        <v>50</v>
      </c>
      <c r="K50" s="2393" t="s">
        <v>2354</v>
      </c>
      <c r="L50" s="2394"/>
      <c r="O50" s="2424" t="s">
        <v>2384</v>
      </c>
      <c r="P50" s="2422" t="s">
        <v>2408</v>
      </c>
      <c r="Q50" s="2423">
        <f ca="1">C29</f>
        <v>28900</v>
      </c>
      <c r="R50" s="2422" t="s">
        <v>2381</v>
      </c>
    </row>
    <row r="51" spans="1:18" s="2058" customFormat="1" ht="18" customHeight="1" thickBot="1">
      <c r="A51" s="785"/>
      <c r="B51" s="786"/>
      <c r="C51" s="787"/>
      <c r="D51" s="788"/>
      <c r="E51" s="783" t="s">
        <v>640</v>
      </c>
      <c r="F51" s="2370"/>
      <c r="H51" s="2092"/>
      <c r="I51" s="2383" t="s">
        <v>2348</v>
      </c>
      <c r="J51" s="2396">
        <f>IF(J49="",J50,J49+J50-YEAR('数据-取费表'!B2))</f>
        <v>50</v>
      </c>
      <c r="K51" s="2382" t="s">
        <v>2355</v>
      </c>
      <c r="L51" s="2397">
        <f ca="1">ROUND(-PV(INDIRECT("'数据-取费表'!h"&amp;$G$1),L48,(C39-C13*J36),0),0)</f>
        <v>-14756</v>
      </c>
      <c r="O51" s="2424" t="s">
        <v>2385</v>
      </c>
      <c r="P51" s="2422" t="s">
        <v>2386</v>
      </c>
      <c r="Q51" s="2425" t="e">
        <f ca="1">J58</f>
        <v>#VALUE!</v>
      </c>
      <c r="R51" s="2426"/>
    </row>
    <row r="52" spans="1:18" s="2058" customFormat="1" ht="18" customHeight="1" thickBot="1">
      <c r="A52" s="780" t="s">
        <v>2537</v>
      </c>
      <c r="B52" s="2517" t="s">
        <v>2460</v>
      </c>
      <c r="C52" s="798">
        <f ca="1">ROUND(IF(F52="押一",C48/12*F11,IF(F52="押二",C48/12*2*F11,IF(F52="押三",C48/12*3*F11,C53*F11))),0)</f>
        <v>0</v>
      </c>
      <c r="D52" s="2524" t="s">
        <v>2966</v>
      </c>
      <c r="E52" s="2521" t="s">
        <v>2465</v>
      </c>
      <c r="F52" s="2644"/>
      <c r="I52" s="2384" t="s">
        <v>2422</v>
      </c>
      <c r="J52" s="2398"/>
      <c r="K52" s="2384" t="s">
        <v>2421</v>
      </c>
      <c r="L52" s="2398"/>
      <c r="O52" s="2424" t="s">
        <v>2387</v>
      </c>
      <c r="P52" s="2422" t="s">
        <v>2388</v>
      </c>
      <c r="Q52" s="2425">
        <f>J52</f>
        <v>0</v>
      </c>
      <c r="R52" s="2426"/>
    </row>
    <row r="53" spans="1:18" s="2058" customFormat="1" ht="39.75" customHeight="1" thickBot="1">
      <c r="A53" s="785"/>
      <c r="B53" s="2518" t="s">
        <v>2574</v>
      </c>
      <c r="C53" s="2522"/>
      <c r="D53" s="2524"/>
      <c r="E53" s="2521"/>
      <c r="F53" s="799"/>
      <c r="I53" s="2385" t="s">
        <v>2349</v>
      </c>
      <c r="J53" s="2399">
        <f ca="1">IF(M47="住宅",J51,IF(D1="——",MIN(J51,L48),IF(D1="土地（套用方法）",MIN(J51,L48-'数据-取费表'!B20))))</f>
        <v>34.26</v>
      </c>
      <c r="K53" s="3502" t="s">
        <v>2957</v>
      </c>
      <c r="L53" s="3503"/>
      <c r="O53" s="2424" t="s">
        <v>2389</v>
      </c>
      <c r="P53" s="2422" t="s">
        <v>2390</v>
      </c>
      <c r="Q53" s="2423">
        <f ca="1">J53</f>
        <v>34.26</v>
      </c>
      <c r="R53" s="2422" t="s">
        <v>2391</v>
      </c>
    </row>
    <row r="54" spans="1:18" s="2058" customFormat="1" ht="18" customHeight="1" thickBot="1">
      <c r="A54" s="2560" t="s">
        <v>2468</v>
      </c>
      <c r="B54" s="2561" t="s">
        <v>2461</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2392</v>
      </c>
      <c r="P54" s="2422" t="s">
        <v>2409</v>
      </c>
      <c r="Q54" s="2423">
        <f ca="1">Q48+Q49</f>
        <v>35314</v>
      </c>
      <c r="R54" s="2426" t="s">
        <v>2393</v>
      </c>
    </row>
    <row r="55" spans="1:18" s="2058" customFormat="1" ht="18" customHeight="1" thickTop="1" thickBot="1">
      <c r="A55" s="796">
        <v>2</v>
      </c>
      <c r="B55" s="797" t="s">
        <v>644</v>
      </c>
      <c r="C55" s="798">
        <f ca="1">C13</f>
        <v>28900</v>
      </c>
      <c r="D55" s="794"/>
      <c r="E55" s="794"/>
      <c r="F55" s="799"/>
      <c r="I55" s="3120" t="s">
        <v>2356</v>
      </c>
      <c r="J55" s="3119" t="e">
        <f ca="1">ROUND(IF(J47="钢混",J57/J50,1-(1-2%)*(J50-J57)/J50),3)</f>
        <v>#VALUE!</v>
      </c>
      <c r="K55" s="2400" t="s">
        <v>2357</v>
      </c>
      <c r="L55" s="2401"/>
      <c r="O55" s="2427" t="s">
        <v>2412</v>
      </c>
      <c r="P55" s="1591"/>
      <c r="Q55" s="1603"/>
      <c r="R55" s="1591"/>
    </row>
    <row r="56" spans="1:18" s="2058" customFormat="1" ht="42.75" customHeight="1" thickBot="1">
      <c r="A56" s="1649"/>
      <c r="B56" s="2230" t="s">
        <v>2303</v>
      </c>
      <c r="C56" s="53">
        <f ca="1">C29</f>
        <v>28900</v>
      </c>
      <c r="D56" s="2662"/>
      <c r="E56" s="783"/>
      <c r="F56" s="808"/>
      <c r="I56" s="2402" t="s">
        <v>2358</v>
      </c>
      <c r="J56" s="3143" t="s">
        <v>1679</v>
      </c>
      <c r="K56" s="2382" t="s">
        <v>2363</v>
      </c>
      <c r="L56" s="2391" t="str">
        <f ca="1">IF(L48&lt;J51,"——",L48-J51)</f>
        <v>——</v>
      </c>
      <c r="O56" s="2418" t="s">
        <v>2376</v>
      </c>
      <c r="P56" s="2419" t="s">
        <v>2377</v>
      </c>
      <c r="Q56" s="2420" t="s">
        <v>2378</v>
      </c>
      <c r="R56" s="2419" t="s">
        <v>2379</v>
      </c>
    </row>
    <row r="57" spans="1:18" s="2058" customFormat="1" ht="28.5" customHeight="1" thickBot="1">
      <c r="A57" s="796" t="s">
        <v>1749</v>
      </c>
      <c r="B57" s="797" t="s">
        <v>651</v>
      </c>
      <c r="C57" s="798">
        <f ca="1">ROUND(C58+C63+C64+C65,0)</f>
        <v>591</v>
      </c>
      <c r="D57" s="26" t="s">
        <v>1751</v>
      </c>
      <c r="E57" s="2663"/>
      <c r="F57" s="56"/>
      <c r="I57" s="2403" t="s">
        <v>2359</v>
      </c>
      <c r="J57" s="2405" t="str">
        <f ca="1">IF(OR(M47="住宅",J51&lt;L48,J56="是"),"——",J51-L48)</f>
        <v>——</v>
      </c>
      <c r="K57" s="2382" t="s">
        <v>2364</v>
      </c>
      <c r="L57" s="2391" t="str">
        <f ca="1">IF(L48&lt;J51,"——",IF(L55="比较法",L49,IF(L55="基准地价",L50,L51)))</f>
        <v>——</v>
      </c>
      <c r="O57" s="2421" t="s">
        <v>2380</v>
      </c>
      <c r="P57" s="2422" t="s">
        <v>2410</v>
      </c>
      <c r="Q57" s="2423">
        <f ca="1">C40+J29</f>
        <v>35314</v>
      </c>
      <c r="R57" s="2422" t="s">
        <v>2381</v>
      </c>
    </row>
    <row r="58" spans="1:18" s="2058" customFormat="1" ht="28.5" customHeight="1" thickBot="1">
      <c r="A58" s="1648" t="s">
        <v>1825</v>
      </c>
      <c r="B58" s="783" t="s">
        <v>656</v>
      </c>
      <c r="C58" s="53">
        <f ca="1">ROUND(IF(项目基本情况!B11="自然人",C47*F58,C59+C60+C61),1)</f>
        <v>258.5</v>
      </c>
      <c r="D58" s="2661" t="s">
        <v>657</v>
      </c>
      <c r="E58" s="2662" t="s">
        <v>690</v>
      </c>
      <c r="F58" s="809" t="str">
        <f ca="1">IF(项目基本情况!B11="企业","",IF(INDIRECT("'数据-取费表'!c"&amp;$G$1)="住宅",5%,IF(F48*F49*F50/12/(1+'数据-取费表'!C42)&gt;20000,12%,7%)))</f>
        <v/>
      </c>
      <c r="I58" s="2403" t="s">
        <v>2360</v>
      </c>
      <c r="J58" s="3121" t="e">
        <f ca="1">IF(J55&lt;0.4,0.4,J55)</f>
        <v>#VALUE!</v>
      </c>
      <c r="K58" s="2382" t="s">
        <v>2365</v>
      </c>
      <c r="L58" s="2391" t="e">
        <f ca="1">ROUND(POWER(1+L52,L47-L48)*(POWER(1+L52,L48)-1)/(POWER(1+L52,L47)-1),4)</f>
        <v>#DIV/0!</v>
      </c>
      <c r="O58" s="2421" t="s">
        <v>2382</v>
      </c>
      <c r="P58" s="2422" t="s">
        <v>2413</v>
      </c>
      <c r="Q58" s="2423">
        <f ca="1">L60</f>
        <v>0</v>
      </c>
      <c r="R58" s="2426" t="s">
        <v>2415</v>
      </c>
    </row>
    <row r="59" spans="1:18" s="2058" customFormat="1" ht="28.5" customHeight="1" thickBot="1">
      <c r="A59" s="1647" t="s">
        <v>1832</v>
      </c>
      <c r="B59" s="783" t="s">
        <v>660</v>
      </c>
      <c r="C59" s="53">
        <f ca="1">ROUND(C47*F59/1.05,1)</f>
        <v>0</v>
      </c>
      <c r="D59" s="2662" t="s">
        <v>1757</v>
      </c>
      <c r="E59" s="783" t="s">
        <v>1748</v>
      </c>
      <c r="F59" s="808">
        <f t="shared" ref="F59:F65" si="0">F32</f>
        <v>5.6000000000000001E-2</v>
      </c>
      <c r="I59" s="2403" t="s">
        <v>2361</v>
      </c>
      <c r="J59" s="2405" t="str">
        <f ca="1">IF(OR(M47="住宅",J51&lt;L48,J56="是"),"——",ROUND(C29*J58,0))</f>
        <v>——</v>
      </c>
      <c r="K59" s="3150"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2384</v>
      </c>
      <c r="P59" s="2422" t="s">
        <v>2414</v>
      </c>
      <c r="Q59" s="2423">
        <f>IF(L55="比较法",L49,IF(L55="基准地价",L50,0))</f>
        <v>0</v>
      </c>
      <c r="R59" s="2422" t="s">
        <v>2381</v>
      </c>
    </row>
    <row r="60" spans="1:18" s="2058" customFormat="1" ht="18" customHeight="1" thickBot="1">
      <c r="A60" s="1647" t="s">
        <v>1833</v>
      </c>
      <c r="B60" s="783" t="s">
        <v>1759</v>
      </c>
      <c r="C60" s="53">
        <f ca="1">IF(D60="按租金收入计税",ROUND(C47*F60,1),IF(D60="按房产原值计税",ROUND(C56*F60*0.7,1),INDIRECT("'数据-取费表'!Aj"&amp;$G$1)))</f>
        <v>242.8</v>
      </c>
      <c r="D60" s="2662" t="str">
        <f>D33</f>
        <v>按房产原值计税</v>
      </c>
      <c r="E60" s="783" t="s">
        <v>1748</v>
      </c>
      <c r="F60" s="808">
        <f t="shared" si="0"/>
        <v>1.2E-2</v>
      </c>
      <c r="I60" s="2404" t="s">
        <v>2362</v>
      </c>
      <c r="J60" s="2406" t="str">
        <f ca="1">IF(OR(M47="住宅",J51&lt;L48,J56="是"),"0",ROUND(J59/(1+J52)^J53,0))</f>
        <v>0</v>
      </c>
      <c r="K60" s="2407" t="s">
        <v>2367</v>
      </c>
      <c r="L60" s="2406">
        <f ca="1">IF(OR(M47="住宅",L48&lt;J51),0,ROUND(L57*(L58/L59-1),0))</f>
        <v>0</v>
      </c>
      <c r="O60" s="2424" t="s">
        <v>2385</v>
      </c>
      <c r="P60" s="2422" t="s">
        <v>2394</v>
      </c>
      <c r="Q60" s="2425">
        <f>L52</f>
        <v>0</v>
      </c>
      <c r="R60" s="2426"/>
    </row>
    <row r="61" spans="1:18" s="2058" customFormat="1" ht="18" customHeight="1" thickBot="1">
      <c r="A61" s="1650" t="s">
        <v>1834</v>
      </c>
      <c r="B61" s="340" t="s">
        <v>668</v>
      </c>
      <c r="C61" s="54">
        <f ca="1">ROUND(F61*F62/10000,1)</f>
        <v>15.7</v>
      </c>
      <c r="D61" s="813" t="s">
        <v>669</v>
      </c>
      <c r="E61" s="783" t="s">
        <v>670</v>
      </c>
      <c r="F61" s="639">
        <f t="shared" si="0"/>
        <v>1</v>
      </c>
      <c r="K61" s="2085"/>
      <c r="O61" s="2424" t="s">
        <v>2387</v>
      </c>
      <c r="P61" s="2422" t="s">
        <v>2395</v>
      </c>
      <c r="Q61" s="2423" t="e">
        <f ca="1">L58</f>
        <v>#DIV/0!</v>
      </c>
      <c r="R61" s="2426" t="s">
        <v>2396</v>
      </c>
    </row>
    <row r="62" spans="1:18" s="2058" customFormat="1" ht="15.75" thickBot="1">
      <c r="A62" s="814"/>
      <c r="B62" s="792"/>
      <c r="C62" s="69"/>
      <c r="D62" s="815"/>
      <c r="E62" s="783" t="s">
        <v>674</v>
      </c>
      <c r="F62" s="784">
        <f t="shared" ca="1" si="0"/>
        <v>157370.63</v>
      </c>
      <c r="I62" s="2408" t="s">
        <v>2368</v>
      </c>
      <c r="J62" s="2409" t="s">
        <v>2369</v>
      </c>
      <c r="K62" s="2409" t="s">
        <v>2370</v>
      </c>
      <c r="L62" s="2409" t="s">
        <v>2351</v>
      </c>
      <c r="M62" s="3122" t="s">
        <v>2933</v>
      </c>
      <c r="O62" s="2424" t="s">
        <v>2389</v>
      </c>
      <c r="P62" s="2422" t="str">
        <f>K59</f>
        <v>建筑物剩余耐用年限下的土地年期修正系数Kn</v>
      </c>
      <c r="Q62" s="2423" t="e">
        <f ca="1">L59</f>
        <v>#DIV/0!</v>
      </c>
      <c r="R62" s="2426" t="s">
        <v>2398</v>
      </c>
    </row>
    <row r="63" spans="1:18" s="2058" customFormat="1" ht="15.75" thickBot="1">
      <c r="A63" s="1648" t="s">
        <v>1890</v>
      </c>
      <c r="B63" s="783" t="s">
        <v>676</v>
      </c>
      <c r="C63" s="53">
        <f ca="1">ROUND(C56*F63,1)</f>
        <v>289</v>
      </c>
      <c r="D63" s="2662" t="s">
        <v>1804</v>
      </c>
      <c r="E63" s="783" t="s">
        <v>1748</v>
      </c>
      <c r="F63" s="816">
        <f t="shared" ca="1" si="0"/>
        <v>0.01</v>
      </c>
      <c r="I63" s="2408" t="s">
        <v>2371</v>
      </c>
      <c r="J63" s="2409">
        <v>70</v>
      </c>
      <c r="K63" s="2409">
        <v>50</v>
      </c>
      <c r="L63" s="2409">
        <v>80</v>
      </c>
      <c r="M63" s="3123">
        <v>0.02</v>
      </c>
      <c r="O63" s="2421" t="s">
        <v>2392</v>
      </c>
      <c r="P63" s="2422" t="s">
        <v>2409</v>
      </c>
      <c r="Q63" s="2423">
        <f ca="1">Q57+Q58</f>
        <v>35314</v>
      </c>
      <c r="R63" s="2426" t="s">
        <v>2393</v>
      </c>
    </row>
    <row r="64" spans="1:18" s="2058" customFormat="1" ht="16.5" thickBot="1">
      <c r="A64" s="1648" t="s">
        <v>1891</v>
      </c>
      <c r="B64" s="783" t="s">
        <v>679</v>
      </c>
      <c r="C64" s="53">
        <f ca="1">ROUND(C55*F64,1)</f>
        <v>43.4</v>
      </c>
      <c r="D64" s="2662" t="s">
        <v>680</v>
      </c>
      <c r="E64" s="783" t="s">
        <v>1748</v>
      </c>
      <c r="F64" s="817">
        <f t="shared" ca="1" si="0"/>
        <v>1.5E-3</v>
      </c>
      <c r="I64" s="2408" t="s">
        <v>2372</v>
      </c>
      <c r="J64" s="2409">
        <v>50</v>
      </c>
      <c r="K64" s="2409">
        <v>35</v>
      </c>
      <c r="L64" s="2409">
        <v>60</v>
      </c>
      <c r="M64" s="3124">
        <v>0</v>
      </c>
      <c r="O64" s="2427" t="s">
        <v>2416</v>
      </c>
      <c r="P64" s="1591"/>
      <c r="Q64" s="1603"/>
      <c r="R64" s="1591"/>
    </row>
    <row r="65" spans="1:18" s="2058" customFormat="1" ht="15.75" thickBot="1">
      <c r="A65" s="1648" t="s">
        <v>1892</v>
      </c>
      <c r="B65" s="783" t="s">
        <v>666</v>
      </c>
      <c r="C65" s="53">
        <f ca="1">ROUND(C47*F65,1)</f>
        <v>0</v>
      </c>
      <c r="D65" s="2662" t="s">
        <v>683</v>
      </c>
      <c r="E65" s="783" t="s">
        <v>1748</v>
      </c>
      <c r="F65" s="793">
        <f t="shared" ca="1" si="0"/>
        <v>0.01</v>
      </c>
      <c r="I65" s="2408" t="s">
        <v>2373</v>
      </c>
      <c r="J65" s="2409">
        <v>40</v>
      </c>
      <c r="K65" s="2409">
        <v>30</v>
      </c>
      <c r="L65" s="2409">
        <v>50</v>
      </c>
      <c r="M65" s="3123">
        <v>0.02</v>
      </c>
      <c r="O65" s="2418" t="s">
        <v>2376</v>
      </c>
      <c r="P65" s="2419" t="s">
        <v>2377</v>
      </c>
      <c r="Q65" s="2420" t="s">
        <v>2378</v>
      </c>
      <c r="R65" s="2419" t="s">
        <v>2379</v>
      </c>
    </row>
    <row r="66" spans="1:18" s="2058" customFormat="1" ht="24.75" thickBot="1">
      <c r="A66" s="796" t="s">
        <v>1777</v>
      </c>
      <c r="B66" s="3034" t="s">
        <v>2823</v>
      </c>
      <c r="C66" s="798">
        <f ca="1">C47-C57</f>
        <v>-591</v>
      </c>
      <c r="D66" s="2661" t="s">
        <v>700</v>
      </c>
      <c r="E66" s="2660"/>
      <c r="F66" s="819"/>
      <c r="K66" s="2085"/>
      <c r="O66" s="2421" t="s">
        <v>2380</v>
      </c>
      <c r="P66" s="2422" t="s">
        <v>2410</v>
      </c>
      <c r="Q66" s="2423">
        <f ca="1">C40+J29</f>
        <v>35314</v>
      </c>
      <c r="R66" s="2422" t="s">
        <v>2381</v>
      </c>
    </row>
    <row r="67" spans="1:18" s="2058" customFormat="1" ht="20.25" thickBot="1">
      <c r="A67" s="780" t="s">
        <v>1781</v>
      </c>
      <c r="B67" s="2231" t="s">
        <v>2302</v>
      </c>
      <c r="C67" s="782">
        <f ca="1">ROUND(C66*(1-((1+F69)/(1+F67))^F68)/(F67-F69),0)</f>
        <v>-10226</v>
      </c>
      <c r="D67" s="813" t="s">
        <v>704</v>
      </c>
      <c r="E67" s="783" t="s">
        <v>705</v>
      </c>
      <c r="F67" s="793">
        <f ca="1">F40</f>
        <v>4.4999999999999998E-2</v>
      </c>
      <c r="K67" s="2085"/>
      <c r="O67" s="2421" t="s">
        <v>2382</v>
      </c>
      <c r="P67" s="2422" t="s">
        <v>2413</v>
      </c>
      <c r="Q67" s="2423">
        <f ca="1">L60</f>
        <v>0</v>
      </c>
      <c r="R67" s="2426" t="s">
        <v>2415</v>
      </c>
    </row>
    <row r="68" spans="1:18" ht="21.75" thickBot="1">
      <c r="A68" s="785"/>
      <c r="B68" s="786"/>
      <c r="C68" s="787"/>
      <c r="D68" s="820" t="s">
        <v>1809</v>
      </c>
      <c r="E68" s="783" t="s">
        <v>1785</v>
      </c>
      <c r="F68" s="821">
        <f ca="1">F41</f>
        <v>34.26</v>
      </c>
      <c r="O68" s="2424" t="s">
        <v>2384</v>
      </c>
      <c r="P68" s="2422" t="s">
        <v>2414</v>
      </c>
      <c r="Q68" s="2428">
        <f ca="1">L51</f>
        <v>-14756</v>
      </c>
      <c r="R68" s="2429" t="s">
        <v>2417</v>
      </c>
    </row>
    <row r="69" spans="1:18" ht="20.25" thickBot="1">
      <c r="A69" s="789"/>
      <c r="B69" s="790"/>
      <c r="C69" s="791"/>
      <c r="D69" s="815"/>
      <c r="E69" s="783" t="s">
        <v>710</v>
      </c>
      <c r="F69" s="2370"/>
      <c r="O69" s="2424" t="s">
        <v>2385</v>
      </c>
      <c r="P69" s="2430" t="s">
        <v>2399</v>
      </c>
      <c r="Q69" s="2423">
        <f ca="1">ROUND(Q70-Q71*Q72,0)</f>
        <v>-746</v>
      </c>
      <c r="R69" s="2426"/>
    </row>
    <row r="70" spans="1:18" ht="15.75" thickBot="1">
      <c r="A70" s="822" t="s">
        <v>1788</v>
      </c>
      <c r="B70" s="823" t="s">
        <v>1811</v>
      </c>
      <c r="C70" s="824">
        <f ca="1">ROUND(C67*10000/F70,0)</f>
        <v>-730</v>
      </c>
      <c r="D70" s="825" t="s">
        <v>1812</v>
      </c>
      <c r="E70" s="826" t="s">
        <v>1813</v>
      </c>
      <c r="F70" s="827">
        <f ca="1">F43</f>
        <v>140004.31</v>
      </c>
      <c r="O70" s="2424" t="s">
        <v>2400</v>
      </c>
      <c r="P70" s="2430" t="s">
        <v>2401</v>
      </c>
      <c r="Q70" s="2423">
        <f ca="1">C39</f>
        <v>1566</v>
      </c>
      <c r="R70" s="2422" t="s">
        <v>2381</v>
      </c>
    </row>
    <row r="71" spans="1:18" ht="15.75" thickBot="1">
      <c r="O71" s="2424" t="s">
        <v>2402</v>
      </c>
      <c r="P71" s="2430" t="s">
        <v>2403</v>
      </c>
      <c r="Q71" s="2423">
        <f ca="1">C13</f>
        <v>28900</v>
      </c>
      <c r="R71" s="2422" t="s">
        <v>2381</v>
      </c>
    </row>
    <row r="72" spans="1:18" ht="15.75" thickBot="1">
      <c r="O72" s="2424" t="s">
        <v>2404</v>
      </c>
      <c r="P72" s="2430" t="s">
        <v>2405</v>
      </c>
      <c r="Q72" s="2425">
        <f ca="1">J36</f>
        <v>0.08</v>
      </c>
      <c r="R72" s="2426"/>
    </row>
    <row r="73" spans="1:18" ht="15.75" thickBot="1">
      <c r="O73" s="2424" t="s">
        <v>2387</v>
      </c>
      <c r="P73" s="2422" t="s">
        <v>2394</v>
      </c>
      <c r="Q73" s="2425">
        <f>L52</f>
        <v>0</v>
      </c>
      <c r="R73" s="2426"/>
    </row>
    <row r="74" spans="1:18" ht="20.25" thickBot="1">
      <c r="O74" s="2424" t="s">
        <v>2389</v>
      </c>
      <c r="P74" s="2422" t="s">
        <v>2395</v>
      </c>
      <c r="Q74" s="2423" t="e">
        <f ca="1">L58</f>
        <v>#DIV/0!</v>
      </c>
      <c r="R74" s="2426" t="s">
        <v>2396</v>
      </c>
    </row>
    <row r="75" spans="1:18" ht="15.75" thickBot="1">
      <c r="O75" s="2424" t="s">
        <v>2418</v>
      </c>
      <c r="P75" s="2422" t="str">
        <f>K59</f>
        <v>建筑物剩余耐用年限下的土地年期修正系数Kn</v>
      </c>
      <c r="Q75" s="2423" t="e">
        <f ca="1">L59</f>
        <v>#DIV/0!</v>
      </c>
      <c r="R75" s="2426" t="s">
        <v>2398</v>
      </c>
    </row>
    <row r="76" spans="1:18" ht="15.75" thickBot="1">
      <c r="O76" s="2421" t="s">
        <v>2392</v>
      </c>
      <c r="P76" s="2422" t="s">
        <v>2409</v>
      </c>
      <c r="Q76" s="2423">
        <f ca="1">Q66+Q67</f>
        <v>35314</v>
      </c>
      <c r="R76" s="2426"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504" t="s">
        <v>2472</v>
      </c>
      <c r="B1" s="3505"/>
      <c r="C1" s="3506"/>
      <c r="D1" s="3507">
        <f>SUM(I10,I15,I20,I21,I23)</f>
        <v>0</v>
      </c>
      <c r="E1" s="3507"/>
      <c r="F1" s="3507"/>
      <c r="G1" s="3507"/>
      <c r="H1" s="3507"/>
      <c r="I1" s="3508"/>
    </row>
    <row r="2" spans="1:9">
      <c r="A2" s="3509" t="s">
        <v>2473</v>
      </c>
      <c r="B2" s="3510" t="s">
        <v>2474</v>
      </c>
      <c r="C2" s="3510"/>
      <c r="D2" s="2530" t="s">
        <v>2475</v>
      </c>
      <c r="E2" s="2530" t="s">
        <v>2476</v>
      </c>
      <c r="F2" s="2530" t="s">
        <v>2477</v>
      </c>
      <c r="G2" s="2530" t="s">
        <v>2478</v>
      </c>
      <c r="H2" s="2530" t="s">
        <v>2479</v>
      </c>
      <c r="I2" s="2531" t="s">
        <v>2480</v>
      </c>
    </row>
    <row r="3" spans="1:9">
      <c r="A3" s="3509"/>
      <c r="B3" s="3510" t="s">
        <v>2481</v>
      </c>
      <c r="C3" s="3510"/>
      <c r="D3" s="2532"/>
      <c r="E3" s="2530"/>
      <c r="F3" s="2533"/>
      <c r="G3" s="2533"/>
      <c r="H3" s="2534"/>
      <c r="I3" s="2535">
        <f>ROUND(D3*E3*F3*G3*H3/10000,0)</f>
        <v>0</v>
      </c>
    </row>
    <row r="4" spans="1:9">
      <c r="A4" s="3509"/>
      <c r="B4" s="3510" t="s">
        <v>2482</v>
      </c>
      <c r="C4" s="3510"/>
      <c r="D4" s="2532"/>
      <c r="E4" s="2530"/>
      <c r="F4" s="2533"/>
      <c r="G4" s="2533"/>
      <c r="H4" s="2534"/>
      <c r="I4" s="2535">
        <f t="shared" ref="I4:I9" si="0">ROUND(D4*E4*F4*G4*H4/10000,0)</f>
        <v>0</v>
      </c>
    </row>
    <row r="5" spans="1:9">
      <c r="A5" s="3509"/>
      <c r="B5" s="3510" t="s">
        <v>2483</v>
      </c>
      <c r="C5" s="3510"/>
      <c r="D5" s="2532"/>
      <c r="E5" s="2530"/>
      <c r="F5" s="2533"/>
      <c r="G5" s="2533"/>
      <c r="H5" s="2534"/>
      <c r="I5" s="2535">
        <f t="shared" si="0"/>
        <v>0</v>
      </c>
    </row>
    <row r="6" spans="1:9">
      <c r="A6" s="3509"/>
      <c r="B6" s="3510" t="s">
        <v>2484</v>
      </c>
      <c r="C6" s="3510"/>
      <c r="D6" s="2532"/>
      <c r="E6" s="2530"/>
      <c r="F6" s="2533"/>
      <c r="G6" s="2533"/>
      <c r="H6" s="2534"/>
      <c r="I6" s="2535">
        <f t="shared" si="0"/>
        <v>0</v>
      </c>
    </row>
    <row r="7" spans="1:9">
      <c r="A7" s="3509"/>
      <c r="B7" s="3510" t="s">
        <v>2485</v>
      </c>
      <c r="C7" s="3510"/>
      <c r="D7" s="2532"/>
      <c r="E7" s="2530"/>
      <c r="F7" s="2533"/>
      <c r="G7" s="2533"/>
      <c r="H7" s="2534"/>
      <c r="I7" s="2535">
        <f t="shared" si="0"/>
        <v>0</v>
      </c>
    </row>
    <row r="8" spans="1:9">
      <c r="A8" s="3509"/>
      <c r="B8" s="3510" t="s">
        <v>2486</v>
      </c>
      <c r="C8" s="3510"/>
      <c r="D8" s="2532"/>
      <c r="E8" s="2530"/>
      <c r="F8" s="2533"/>
      <c r="G8" s="2533"/>
      <c r="H8" s="2534"/>
      <c r="I8" s="2535">
        <f t="shared" si="0"/>
        <v>0</v>
      </c>
    </row>
    <row r="9" spans="1:9">
      <c r="A9" s="3509"/>
      <c r="B9" s="3510" t="s">
        <v>2487</v>
      </c>
      <c r="C9" s="3510"/>
      <c r="D9" s="2532"/>
      <c r="E9" s="2530"/>
      <c r="F9" s="2533"/>
      <c r="G9" s="2533"/>
      <c r="H9" s="2534"/>
      <c r="I9" s="2535">
        <f t="shared" si="0"/>
        <v>0</v>
      </c>
    </row>
    <row r="10" spans="1:9">
      <c r="A10" s="3509"/>
      <c r="B10" s="3511" t="s">
        <v>2488</v>
      </c>
      <c r="C10" s="3511"/>
      <c r="D10" s="2536">
        <v>527</v>
      </c>
      <c r="E10" s="2536" t="e">
        <f>ROUND(D1*10000/D10/H9,0)</f>
        <v>#DIV/0!</v>
      </c>
      <c r="F10" s="2537"/>
      <c r="G10" s="2537"/>
      <c r="H10" s="2538"/>
      <c r="I10" s="2539">
        <f>SUM(I3:I9)</f>
        <v>0</v>
      </c>
    </row>
    <row r="11" spans="1:9" ht="14.25">
      <c r="A11" s="3509" t="s">
        <v>2489</v>
      </c>
      <c r="B11" s="3510" t="s">
        <v>2490</v>
      </c>
      <c r="C11" s="3510"/>
      <c r="D11" s="2532" t="s">
        <v>2491</v>
      </c>
      <c r="E11" s="2532" t="s">
        <v>2492</v>
      </c>
      <c r="F11" s="2533" t="s">
        <v>2493</v>
      </c>
      <c r="G11" s="2533" t="s">
        <v>2494</v>
      </c>
      <c r="H11" s="2540" t="s">
        <v>2495</v>
      </c>
      <c r="I11" s="2531" t="s">
        <v>2496</v>
      </c>
    </row>
    <row r="12" spans="1:9">
      <c r="A12" s="3509"/>
      <c r="B12" s="3510" t="s">
        <v>2497</v>
      </c>
      <c r="C12" s="3510"/>
      <c r="D12" s="2532"/>
      <c r="E12" s="2532"/>
      <c r="F12" s="2533"/>
      <c r="G12" s="2534"/>
      <c r="H12" s="2541"/>
      <c r="I12" s="2531">
        <f>ROUND(D12*E12*F12*G12/10000,0)</f>
        <v>0</v>
      </c>
    </row>
    <row r="13" spans="1:9">
      <c r="A13" s="3509"/>
      <c r="B13" s="3510" t="s">
        <v>2498</v>
      </c>
      <c r="C13" s="3510"/>
      <c r="D13" s="2532"/>
      <c r="E13" s="2532"/>
      <c r="F13" s="2533"/>
      <c r="G13" s="2534"/>
      <c r="H13" s="2541"/>
      <c r="I13" s="2531">
        <f>ROUND(D13*E13*F13*G13/10000,0)</f>
        <v>0</v>
      </c>
    </row>
    <row r="14" spans="1:9">
      <c r="A14" s="3509"/>
      <c r="B14" s="3510" t="s">
        <v>2499</v>
      </c>
      <c r="C14" s="3510"/>
      <c r="D14" s="2532"/>
      <c r="E14" s="2532"/>
      <c r="F14" s="2533"/>
      <c r="G14" s="2534"/>
      <c r="H14" s="2541"/>
      <c r="I14" s="2531">
        <f>ROUND(D14*E14*F14*G14/10000,0)</f>
        <v>0</v>
      </c>
    </row>
    <row r="15" spans="1:9">
      <c r="A15" s="3509"/>
      <c r="B15" s="3511" t="s">
        <v>2488</v>
      </c>
      <c r="C15" s="3511"/>
      <c r="D15" s="2536"/>
      <c r="E15" s="2536">
        <f>SUM(E12:E14)</f>
        <v>0</v>
      </c>
      <c r="F15" s="2537"/>
      <c r="G15" s="2534"/>
      <c r="H15" s="2541"/>
      <c r="I15" s="2542">
        <f>SUM(I12:I14)</f>
        <v>0</v>
      </c>
    </row>
    <row r="16" spans="1:9" ht="24">
      <c r="A16" s="3509" t="s">
        <v>2500</v>
      </c>
      <c r="B16" s="3510" t="s">
        <v>2501</v>
      </c>
      <c r="C16" s="3510"/>
      <c r="D16" s="2532" t="s">
        <v>2502</v>
      </c>
      <c r="E16" s="2543" t="s">
        <v>2503</v>
      </c>
      <c r="F16" s="2533" t="s">
        <v>2504</v>
      </c>
      <c r="G16" s="2534" t="s">
        <v>2494</v>
      </c>
      <c r="H16" s="2540" t="s">
        <v>2495</v>
      </c>
      <c r="I16" s="2531" t="s">
        <v>2496</v>
      </c>
    </row>
    <row r="17" spans="1:9" ht="14.25">
      <c r="A17" s="3509"/>
      <c r="B17" s="3510" t="s">
        <v>2505</v>
      </c>
      <c r="C17" s="3510"/>
      <c r="D17" s="2532"/>
      <c r="E17" s="2532"/>
      <c r="F17" s="2533"/>
      <c r="G17" s="2534"/>
      <c r="H17" s="2544"/>
      <c r="I17" s="2545">
        <f>ROUND(D17*E17*F17*G17/10000,0)</f>
        <v>0</v>
      </c>
    </row>
    <row r="18" spans="1:9" ht="14.25">
      <c r="A18" s="3509"/>
      <c r="B18" s="3510" t="s">
        <v>2506</v>
      </c>
      <c r="C18" s="3510"/>
      <c r="D18" s="2532"/>
      <c r="E18" s="2532"/>
      <c r="F18" s="2533"/>
      <c r="G18" s="2534"/>
      <c r="H18" s="2544"/>
      <c r="I18" s="2545">
        <f>ROUND(D18*E18*F18*G18/10000,0)</f>
        <v>0</v>
      </c>
    </row>
    <row r="19" spans="1:9" ht="14.25">
      <c r="A19" s="3509"/>
      <c r="B19" s="3510" t="s">
        <v>2507</v>
      </c>
      <c r="C19" s="3510"/>
      <c r="D19" s="2532"/>
      <c r="E19" s="2532"/>
      <c r="F19" s="2533"/>
      <c r="G19" s="2534"/>
      <c r="H19" s="2544"/>
      <c r="I19" s="2545">
        <f>ROUND(D19*E19*F19*G19/10000,0)</f>
        <v>0</v>
      </c>
    </row>
    <row r="20" spans="1:9">
      <c r="A20" s="3509"/>
      <c r="B20" s="3511" t="s">
        <v>2488</v>
      </c>
      <c r="C20" s="3511"/>
      <c r="D20" s="2536">
        <f>SUM(D17:D19)</f>
        <v>0</v>
      </c>
      <c r="E20" s="2536"/>
      <c r="F20" s="2537"/>
      <c r="G20" s="2534"/>
      <c r="H20" s="2541"/>
      <c r="I20" s="2542">
        <f>SUM(I17:I19)</f>
        <v>0</v>
      </c>
    </row>
    <row r="21" spans="1:9">
      <c r="A21" s="3509" t="s">
        <v>2508</v>
      </c>
      <c r="B21" s="3513"/>
      <c r="C21" s="3513"/>
      <c r="D21" s="3513"/>
      <c r="E21" s="3513"/>
      <c r="F21" s="3513"/>
      <c r="G21" s="3513"/>
      <c r="H21" s="2546">
        <v>0.1</v>
      </c>
      <c r="I21" s="2539">
        <f>ROUND(I10*H21,0)</f>
        <v>0</v>
      </c>
    </row>
    <row r="22" spans="1:9" ht="14.25">
      <c r="A22" s="3514" t="s">
        <v>2509</v>
      </c>
      <c r="B22" s="3515"/>
      <c r="C22" s="3516"/>
      <c r="D22" s="2547" t="s">
        <v>2510</v>
      </c>
      <c r="E22" s="2547" t="s">
        <v>2511</v>
      </c>
      <c r="F22" s="2548" t="s">
        <v>2512</v>
      </c>
      <c r="G22" s="2548" t="s">
        <v>2513</v>
      </c>
      <c r="H22" s="2540" t="s">
        <v>2514</v>
      </c>
      <c r="I22" s="2531" t="s">
        <v>2515</v>
      </c>
    </row>
    <row r="23" spans="1:9" ht="14.25" thickBot="1">
      <c r="A23" s="3517"/>
      <c r="B23" s="3518"/>
      <c r="C23" s="3519"/>
      <c r="D23" s="2549"/>
      <c r="E23" s="2549"/>
      <c r="F23" s="2549"/>
      <c r="G23" s="2550"/>
      <c r="H23" s="2551"/>
      <c r="I23" s="2552">
        <f>ROUND(E23*D23*F23*(1-G23)/10000,0)</f>
        <v>0</v>
      </c>
    </row>
    <row r="26" spans="1:9">
      <c r="A26" s="2553" t="s">
        <v>2516</v>
      </c>
      <c r="B26" s="2553"/>
      <c r="C26" s="2553"/>
      <c r="D26" s="2553"/>
      <c r="E26" s="3520">
        <f>C27-C30-C31-C32</f>
        <v>0</v>
      </c>
      <c r="F26" s="3520"/>
      <c r="G26" s="3520"/>
      <c r="H26" s="3067" t="s">
        <v>2844</v>
      </c>
    </row>
    <row r="27" spans="1:9">
      <c r="A27" s="2554">
        <v>1</v>
      </c>
      <c r="B27" s="2555" t="s">
        <v>2517</v>
      </c>
      <c r="C27" s="2555"/>
      <c r="D27" s="2555"/>
      <c r="E27" s="3521"/>
      <c r="F27" s="3521"/>
      <c r="G27" s="3521"/>
    </row>
    <row r="28" spans="1:9">
      <c r="A28" s="2556" t="s">
        <v>2518</v>
      </c>
      <c r="B28" s="2555" t="s">
        <v>2519</v>
      </c>
      <c r="C28" s="2555"/>
      <c r="D28" s="2555"/>
      <c r="E28" s="3521"/>
      <c r="F28" s="3521"/>
      <c r="G28" s="3521"/>
    </row>
    <row r="29" spans="1:9">
      <c r="A29" s="2556" t="s">
        <v>2520</v>
      </c>
      <c r="B29" s="2555" t="s">
        <v>2461</v>
      </c>
      <c r="C29" s="2555"/>
      <c r="D29" s="2555"/>
      <c r="E29" s="2555" t="s">
        <v>2521</v>
      </c>
      <c r="F29" s="2555"/>
      <c r="G29" s="2555"/>
    </row>
    <row r="30" spans="1:9">
      <c r="A30" s="2554">
        <v>2</v>
      </c>
      <c r="B30" s="2555" t="s">
        <v>2522</v>
      </c>
      <c r="C30" s="2555">
        <f>C27*D30</f>
        <v>0</v>
      </c>
      <c r="D30" s="2557">
        <v>0.2</v>
      </c>
      <c r="E30" s="2555" t="s">
        <v>2523</v>
      </c>
      <c r="F30" s="2555"/>
      <c r="G30" s="2555"/>
    </row>
    <row r="31" spans="1:9">
      <c r="A31" s="2554">
        <v>3</v>
      </c>
      <c r="B31" s="2555" t="s">
        <v>2524</v>
      </c>
      <c r="C31" s="2555">
        <f>C25*D31</f>
        <v>0</v>
      </c>
      <c r="D31" s="2557">
        <v>0.15</v>
      </c>
      <c r="E31" s="2555" t="s">
        <v>2525</v>
      </c>
      <c r="F31" s="2555"/>
      <c r="G31" s="2555"/>
    </row>
    <row r="32" spans="1:9">
      <c r="A32" s="2554">
        <v>4</v>
      </c>
      <c r="B32" s="2555" t="s">
        <v>2526</v>
      </c>
      <c r="C32" s="2555">
        <f>C27*D32</f>
        <v>0</v>
      </c>
      <c r="D32" s="2557">
        <v>0.05</v>
      </c>
      <c r="E32" s="3512"/>
      <c r="F32" s="3512"/>
      <c r="G32" s="3512"/>
    </row>
    <row r="33" spans="1:7" hidden="1">
      <c r="A33" s="3522" t="s">
        <v>2527</v>
      </c>
      <c r="B33" s="3523"/>
      <c r="C33" s="3523"/>
      <c r="D33" s="3524"/>
      <c r="E33" s="3520"/>
      <c r="F33" s="3520"/>
      <c r="G33" s="3520"/>
    </row>
    <row r="34" spans="1:7" hidden="1">
      <c r="A34" s="2558">
        <v>1</v>
      </c>
      <c r="B34" s="2555" t="s">
        <v>2528</v>
      </c>
      <c r="C34" s="2555"/>
      <c r="D34" s="2555"/>
      <c r="E34" s="3521"/>
      <c r="F34" s="3521"/>
      <c r="G34" s="3521"/>
    </row>
    <row r="35" spans="1:7" hidden="1">
      <c r="A35" s="2558">
        <v>2</v>
      </c>
      <c r="B35" s="2555" t="s">
        <v>2529</v>
      </c>
      <c r="C35" s="2555"/>
      <c r="D35" s="2555"/>
      <c r="E35" s="3521"/>
      <c r="F35" s="3521"/>
      <c r="G35" s="3521"/>
    </row>
    <row r="36" spans="1:7" hidden="1">
      <c r="A36" s="2558">
        <v>3</v>
      </c>
      <c r="B36" s="2555" t="s">
        <v>2530</v>
      </c>
      <c r="C36" s="2555"/>
      <c r="D36" s="2555"/>
      <c r="E36" s="3521"/>
      <c r="F36" s="3521"/>
      <c r="G36" s="3521"/>
    </row>
    <row r="37" spans="1:7" hidden="1">
      <c r="A37" s="2558">
        <v>4</v>
      </c>
      <c r="B37" s="2555" t="s">
        <v>2531</v>
      </c>
      <c r="C37" s="2555"/>
      <c r="D37" s="2555"/>
      <c r="E37" s="3521"/>
      <c r="F37" s="3521"/>
      <c r="G37" s="3521"/>
    </row>
    <row r="38" spans="1:7" hidden="1">
      <c r="A38" s="3522" t="s">
        <v>2532</v>
      </c>
      <c r="B38" s="3523"/>
      <c r="C38" s="3523"/>
      <c r="D38" s="3524"/>
      <c r="E38" s="3520"/>
      <c r="F38" s="3520"/>
      <c r="G38" s="35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M20" sqref="M20"/>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92">
        <v>1</v>
      </c>
      <c r="B7" s="747" t="s">
        <v>609</v>
      </c>
      <c r="C7" s="748">
        <f>C8+C9</f>
        <v>0</v>
      </c>
      <c r="D7" s="748"/>
      <c r="E7" s="749"/>
      <c r="F7" s="749"/>
      <c r="G7" s="2502"/>
    </row>
    <row r="8" spans="1:25" s="2182" customFormat="1" ht="13.5" customHeight="1">
      <c r="A8" s="2492" t="s">
        <v>2441</v>
      </c>
      <c r="B8" s="2495" t="s">
        <v>2443</v>
      </c>
      <c r="C8" s="2496"/>
      <c r="D8" s="748"/>
      <c r="E8" s="749"/>
      <c r="F8" s="749"/>
      <c r="G8" s="750"/>
    </row>
    <row r="9" spans="1:25" s="2182" customFormat="1" ht="13.5" customHeight="1">
      <c r="A9" s="2492" t="s">
        <v>2442</v>
      </c>
      <c r="B9" s="2495" t="s">
        <v>2444</v>
      </c>
      <c r="C9" s="2496"/>
      <c r="D9" s="748"/>
      <c r="E9" s="749"/>
      <c r="F9" s="749"/>
      <c r="G9" s="750"/>
    </row>
    <row r="10" spans="1:25" s="2182" customFormat="1" ht="36">
      <c r="A10" s="2492">
        <v>2</v>
      </c>
      <c r="B10" s="747" t="s">
        <v>613</v>
      </c>
      <c r="C10" s="748">
        <f>C11+C14+C15</f>
        <v>0</v>
      </c>
      <c r="D10" s="759">
        <f>'数据-汇总表'!E3</f>
        <v>140004.31000000006</v>
      </c>
      <c r="E10" s="748">
        <f>'数据-取费表'!B31</f>
        <v>150</v>
      </c>
      <c r="F10" s="760"/>
      <c r="G10" s="758" t="s">
        <v>614</v>
      </c>
    </row>
    <row r="11" spans="1:25" s="2182" customFormat="1" ht="13.5" customHeight="1">
      <c r="A11" s="2492" t="s">
        <v>2441</v>
      </c>
      <c r="B11" s="751" t="s">
        <v>610</v>
      </c>
      <c r="C11" s="752">
        <f>'数据-取费表'!B29</f>
        <v>0</v>
      </c>
      <c r="D11" s="753"/>
      <c r="E11" s="752"/>
      <c r="F11" s="754"/>
      <c r="G11" s="2501" t="s">
        <v>2452</v>
      </c>
    </row>
    <row r="12" spans="1:25" s="2182" customFormat="1" ht="13.5" customHeight="1">
      <c r="A12" s="2499" t="s">
        <v>2449</v>
      </c>
      <c r="B12" s="755" t="s">
        <v>611</v>
      </c>
      <c r="C12" s="756">
        <f>ROUND(D12*E12/10000,0)</f>
        <v>0</v>
      </c>
      <c r="D12" s="757">
        <f>'数据-汇总表'!E5</f>
        <v>0</v>
      </c>
      <c r="E12" s="756">
        <f>'数据-取费表'!B27</f>
        <v>59</v>
      </c>
      <c r="F12" s="754"/>
      <c r="G12" s="758"/>
    </row>
    <row r="13" spans="1:25" s="2182" customFormat="1" ht="13.5" customHeight="1">
      <c r="A13" s="2499" t="s">
        <v>2448</v>
      </c>
      <c r="B13" s="755" t="s">
        <v>612</v>
      </c>
      <c r="C13" s="756">
        <f>ROUND(D13*E13/10000,0)</f>
        <v>826</v>
      </c>
      <c r="D13" s="757">
        <f>'数据-汇总表'!E6</f>
        <v>140004.31000000006</v>
      </c>
      <c r="E13" s="756">
        <f>'数据-取费表'!B28</f>
        <v>59</v>
      </c>
      <c r="F13" s="754"/>
      <c r="G13" s="758"/>
    </row>
    <row r="14" spans="1:25" s="2182" customFormat="1" ht="13.5" customHeight="1">
      <c r="A14" s="2492" t="s">
        <v>2442</v>
      </c>
      <c r="B14" s="2498" t="s">
        <v>2445</v>
      </c>
      <c r="C14" s="2496"/>
      <c r="D14" s="757"/>
      <c r="E14" s="756"/>
      <c r="F14" s="2497"/>
      <c r="G14" s="2500" t="s">
        <v>2450</v>
      </c>
    </row>
    <row r="15" spans="1:25" s="2182" customFormat="1" ht="13.5" customHeight="1">
      <c r="A15" s="2492" t="s">
        <v>2447</v>
      </c>
      <c r="B15" s="2498" t="s">
        <v>2446</v>
      </c>
      <c r="C15" s="2496"/>
      <c r="D15" s="757"/>
      <c r="E15" s="756"/>
      <c r="F15" s="2497"/>
      <c r="G15" s="2500" t="s">
        <v>2451</v>
      </c>
    </row>
    <row r="16" spans="1:25" s="2183" customFormat="1" ht="48">
      <c r="A16" s="2492">
        <v>3</v>
      </c>
      <c r="B16" s="747" t="s">
        <v>615</v>
      </c>
      <c r="C16" s="2496"/>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616</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617</v>
      </c>
      <c r="C18" s="748">
        <f>ROUND((C7+C10+C16)*F18,0)</f>
        <v>0</v>
      </c>
      <c r="D18" s="761"/>
      <c r="E18" s="762"/>
      <c r="F18" s="760">
        <f>'数据-取费表'!Q16</f>
        <v>0.1</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621</v>
      </c>
      <c r="C20" s="748">
        <f ca="1">ROUND(C19*F20,0)</f>
        <v>0</v>
      </c>
      <c r="D20" s="759"/>
      <c r="E20" s="748"/>
      <c r="F20" s="1348"/>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625</v>
      </c>
      <c r="C22" s="748">
        <f ca="1">ROUND(C21*F22,0)</f>
        <v>0</v>
      </c>
      <c r="D22" s="759"/>
      <c r="E22" s="748"/>
      <c r="F22" s="765">
        <f>'数据-取费表'!AP16</f>
        <v>0.69199999999999995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5" zoomScale="80" zoomScaleNormal="80" zoomScaleSheetLayoutView="80" workbookViewId="0">
      <selection activeCell="D56" sqref="D56"/>
    </sheetView>
  </sheetViews>
  <sheetFormatPr defaultRowHeight="14.25"/>
  <cols>
    <col min="1" max="1" width="10.5" style="1336" customWidth="1"/>
    <col min="2" max="2" width="15.75" style="1336" customWidth="1"/>
    <col min="3" max="3" width="20"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6" t="s">
        <v>719</v>
      </c>
      <c r="C1" s="2647" t="s">
        <v>720</v>
      </c>
      <c r="D1" s="2648" t="s">
        <v>3017</v>
      </c>
      <c r="E1" s="2649"/>
      <c r="F1" s="2830" t="s">
        <v>3088</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5">
        <f>ROUND(B3*D3/10000,0)</f>
        <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10082</v>
      </c>
      <c r="C3" s="851" t="s">
        <v>722</v>
      </c>
      <c r="D3" s="850">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521</v>
      </c>
      <c r="B4" s="512"/>
      <c r="C4" s="3418" t="s">
        <v>522</v>
      </c>
      <c r="D4" s="3419"/>
      <c r="E4" s="3453" t="s">
        <v>523</v>
      </c>
      <c r="F4" s="3454"/>
      <c r="G4" s="3418" t="s">
        <v>524</v>
      </c>
      <c r="H4" s="3419"/>
      <c r="I4" s="3418" t="s">
        <v>525</v>
      </c>
      <c r="J4" s="3419"/>
      <c r="K4" s="852" t="s">
        <v>526</v>
      </c>
      <c r="L4" s="2132"/>
      <c r="M4" s="2133"/>
      <c r="N4" s="2133"/>
      <c r="O4" s="2133"/>
      <c r="P4" s="3420" t="s">
        <v>527</v>
      </c>
      <c r="Q4" s="3421"/>
      <c r="R4" s="3426" t="s">
        <v>523</v>
      </c>
      <c r="S4" s="3427"/>
      <c r="T4" s="3426" t="s">
        <v>524</v>
      </c>
      <c r="U4" s="3427"/>
      <c r="V4" s="3413" t="s">
        <v>525</v>
      </c>
      <c r="W4" s="3413"/>
      <c r="X4" s="1566"/>
      <c r="Y4" s="3426" t="s">
        <v>527</v>
      </c>
      <c r="Z4" s="3427"/>
      <c r="AA4" s="3415" t="s">
        <v>523</v>
      </c>
      <c r="AB4" s="3415" t="s">
        <v>524</v>
      </c>
      <c r="AC4" s="3415" t="s">
        <v>525</v>
      </c>
    </row>
    <row r="5" spans="1:29" ht="15">
      <c r="A5" s="514"/>
      <c r="B5" s="515"/>
      <c r="C5" s="3434" t="s">
        <v>3128</v>
      </c>
      <c r="D5" s="3435"/>
      <c r="E5" s="3528" t="s">
        <v>3127</v>
      </c>
      <c r="F5" s="3456"/>
      <c r="G5" s="3436" t="s">
        <v>3133</v>
      </c>
      <c r="H5" s="3435"/>
      <c r="I5" s="3436" t="s">
        <v>3134</v>
      </c>
      <c r="J5" s="3435"/>
      <c r="K5" s="853"/>
      <c r="L5" s="2132"/>
      <c r="M5" s="2133"/>
      <c r="N5" s="2133"/>
      <c r="O5" s="2133"/>
      <c r="P5" s="3422"/>
      <c r="Q5" s="3423"/>
      <c r="R5" s="3428"/>
      <c r="S5" s="3429"/>
      <c r="T5" s="3428"/>
      <c r="U5" s="3429"/>
      <c r="V5" s="3413"/>
      <c r="W5" s="3413"/>
      <c r="X5" s="1566"/>
      <c r="Y5" s="3428"/>
      <c r="Z5" s="3429"/>
      <c r="AA5" s="3416"/>
      <c r="AB5" s="3416"/>
      <c r="AC5" s="3416"/>
    </row>
    <row r="6" spans="1:29" ht="15.75" thickBot="1">
      <c r="A6" s="516"/>
      <c r="B6" s="517"/>
      <c r="C6" s="3432" t="s">
        <v>3043</v>
      </c>
      <c r="D6" s="3433"/>
      <c r="E6" s="3451" t="s">
        <v>3043</v>
      </c>
      <c r="F6" s="3452"/>
      <c r="G6" s="3432" t="s">
        <v>3043</v>
      </c>
      <c r="H6" s="3433"/>
      <c r="I6" s="3432" t="s">
        <v>3043</v>
      </c>
      <c r="J6" s="3433"/>
      <c r="K6" s="853" t="s">
        <v>528</v>
      </c>
      <c r="L6" s="2132"/>
      <c r="M6" s="2133"/>
      <c r="N6" s="2133"/>
      <c r="O6" s="2133"/>
      <c r="P6" s="3424"/>
      <c r="Q6" s="3425"/>
      <c r="R6" s="3428"/>
      <c r="S6" s="3429"/>
      <c r="T6" s="3430"/>
      <c r="U6" s="3431"/>
      <c r="V6" s="3413"/>
      <c r="W6" s="3413"/>
      <c r="X6" s="1566"/>
      <c r="Y6" s="3430"/>
      <c r="Z6" s="3431"/>
      <c r="AA6" s="3417"/>
      <c r="AB6" s="3417"/>
      <c r="AC6" s="3417"/>
    </row>
    <row r="7" spans="1:29" s="1219" customFormat="1" ht="15.75" thickBot="1">
      <c r="A7" s="2935"/>
      <c r="B7" s="2942" t="s">
        <v>529</v>
      </c>
      <c r="C7" s="518">
        <f>'数据-取费表'!B2</f>
        <v>43244</v>
      </c>
      <c r="D7" s="519">
        <v>100</v>
      </c>
      <c r="E7" s="520">
        <f>C7</f>
        <v>43244</v>
      </c>
      <c r="F7" s="521">
        <f>SUMIF(58:58,YEAR(E7)&amp;"-"&amp;MONTH(E7),59:59)</f>
        <v>100</v>
      </c>
      <c r="G7" s="522">
        <f>C7</f>
        <v>43244</v>
      </c>
      <c r="H7" s="519">
        <f>SUMIF(58:58,YEAR(G7)&amp;"-"&amp;MONTH(G7),59:59)</f>
        <v>100</v>
      </c>
      <c r="I7" s="522">
        <f>C7</f>
        <v>43244</v>
      </c>
      <c r="J7" s="519">
        <f>SUMIF(58:58,YEAR(I7)&amp;"-"&amp;MONTH(I7),59:59)</f>
        <v>100</v>
      </c>
      <c r="K7" s="854"/>
      <c r="L7" s="2134"/>
      <c r="M7" s="2135"/>
      <c r="N7" s="2135"/>
      <c r="O7" s="2135"/>
      <c r="P7" s="3444" t="s">
        <v>530</v>
      </c>
      <c r="Q7" s="3446"/>
      <c r="R7" s="1567" t="s">
        <v>13</v>
      </c>
      <c r="S7" s="1568">
        <f t="shared" ref="S7:S15" si="0">F7</f>
        <v>100</v>
      </c>
      <c r="T7" s="1567" t="s">
        <v>13</v>
      </c>
      <c r="U7" s="1568">
        <f t="shared" ref="U7:U15" si="1">H7</f>
        <v>100</v>
      </c>
      <c r="V7" s="1567" t="s">
        <v>13</v>
      </c>
      <c r="W7" s="1568">
        <f t="shared" ref="W7:W15" si="2">J7</f>
        <v>100</v>
      </c>
      <c r="X7" s="1569"/>
      <c r="Y7" s="3444" t="s">
        <v>530</v>
      </c>
      <c r="Z7" s="3445"/>
      <c r="AA7" s="1570">
        <f>D7/F7</f>
        <v>1</v>
      </c>
      <c r="AB7" s="1570">
        <f>D7/H7</f>
        <v>1</v>
      </c>
      <c r="AC7" s="1570">
        <f>D7/J7</f>
        <v>1</v>
      </c>
    </row>
    <row r="8" spans="1:29" s="1219" customFormat="1" ht="15.75" thickBot="1">
      <c r="A8" s="2936"/>
      <c r="B8" s="2943" t="s">
        <v>531</v>
      </c>
      <c r="C8" s="524" t="s">
        <v>576</v>
      </c>
      <c r="D8" s="519">
        <v>100</v>
      </c>
      <c r="E8" s="855" t="s">
        <v>3041</v>
      </c>
      <c r="F8" s="521">
        <f>SUMIF(61:61,E8,62:62)-SUMIF(61:61,C8,62:62)+100</f>
        <v>100</v>
      </c>
      <c r="G8" s="524" t="s">
        <v>3041</v>
      </c>
      <c r="H8" s="519">
        <f>SUMIF(61:61,G8,62:62)-SUMIF(61:61,C8,62:62)+100</f>
        <v>100</v>
      </c>
      <c r="I8" s="855" t="s">
        <v>3041</v>
      </c>
      <c r="J8" s="519">
        <f>SUMIF(61:61,I8,62:62)-SUMIF(61:61,C8,62:62)+100</f>
        <v>100</v>
      </c>
      <c r="K8" s="854"/>
      <c r="L8" s="2134"/>
      <c r="M8" s="2135"/>
      <c r="N8" s="2135"/>
      <c r="O8" s="2135"/>
      <c r="P8" s="3444" t="s">
        <v>533</v>
      </c>
      <c r="Q8" s="3445"/>
      <c r="R8" s="1567" t="s">
        <v>13</v>
      </c>
      <c r="S8" s="1568">
        <f t="shared" si="0"/>
        <v>100</v>
      </c>
      <c r="T8" s="1567" t="s">
        <v>13</v>
      </c>
      <c r="U8" s="1568">
        <f t="shared" si="1"/>
        <v>100</v>
      </c>
      <c r="V8" s="1567" t="s">
        <v>13</v>
      </c>
      <c r="W8" s="1568">
        <f t="shared" si="2"/>
        <v>100</v>
      </c>
      <c r="X8" s="1569"/>
      <c r="Y8" s="3444" t="s">
        <v>533</v>
      </c>
      <c r="Z8" s="3445"/>
      <c r="AA8" s="1570">
        <f t="shared" ref="AA8:AA46" si="3">D8/F8</f>
        <v>1</v>
      </c>
      <c r="AB8" s="1570">
        <f t="shared" ref="AB8:AB46" si="4">D8/H8</f>
        <v>1</v>
      </c>
      <c r="AC8" s="1570">
        <f t="shared" ref="AC8:AC46" si="5">D8/J8</f>
        <v>1</v>
      </c>
    </row>
    <row r="9" spans="1:29" s="1219" customFormat="1" ht="15">
      <c r="A9" s="2937"/>
      <c r="B9" s="2944" t="s">
        <v>2757</v>
      </c>
      <c r="C9" s="3199" t="s">
        <v>3089</v>
      </c>
      <c r="D9" s="253">
        <v>100</v>
      </c>
      <c r="E9" s="857" t="s">
        <v>923</v>
      </c>
      <c r="F9" s="858">
        <f>SUMIF(63:63,E9,64:64)-SUMIF(63:63,C9,64:64)+100</f>
        <v>100</v>
      </c>
      <c r="G9" s="859" t="s">
        <v>923</v>
      </c>
      <c r="H9" s="253">
        <f>SUMIF(63:63,G9,64:64)-SUMIF(63:63,C9,64:64)+100</f>
        <v>100</v>
      </c>
      <c r="I9" s="859" t="s">
        <v>923</v>
      </c>
      <c r="J9" s="253">
        <f>SUMIF(63:63,I9,64:64)-SUMIF(63:63,C9,64:64)+100</f>
        <v>100</v>
      </c>
      <c r="K9" s="854"/>
      <c r="L9" s="2134"/>
      <c r="M9" s="2135"/>
      <c r="N9" s="2135"/>
      <c r="O9" s="2136"/>
      <c r="P9" s="3412" t="s">
        <v>535</v>
      </c>
      <c r="Q9" s="1150" t="str">
        <f t="shared" ref="Q9:Q15" si="6">B9</f>
        <v>用途</v>
      </c>
      <c r="R9" s="1567" t="s">
        <v>8</v>
      </c>
      <c r="S9" s="1568">
        <f t="shared" si="0"/>
        <v>100</v>
      </c>
      <c r="T9" s="1567" t="s">
        <v>8</v>
      </c>
      <c r="U9" s="1568">
        <f t="shared" si="1"/>
        <v>100</v>
      </c>
      <c r="V9" s="1567" t="s">
        <v>8</v>
      </c>
      <c r="W9" s="1568">
        <f t="shared" si="2"/>
        <v>100</v>
      </c>
      <c r="X9" s="1569"/>
      <c r="Y9" s="3358" t="s">
        <v>536</v>
      </c>
      <c r="Z9" s="1149" t="str">
        <f t="shared" ref="Z9:Z15" si="7">Q9</f>
        <v>用途</v>
      </c>
      <c r="AA9" s="1570">
        <f t="shared" si="3"/>
        <v>1</v>
      </c>
      <c r="AB9" s="1570">
        <f t="shared" si="4"/>
        <v>1</v>
      </c>
      <c r="AC9" s="1570">
        <f t="shared" si="5"/>
        <v>1</v>
      </c>
    </row>
    <row r="10" spans="1:29" s="1337" customFormat="1" ht="27">
      <c r="A10" s="2938"/>
      <c r="B10" s="2943" t="s">
        <v>2758</v>
      </c>
      <c r="C10" s="860" t="s">
        <v>3090</v>
      </c>
      <c r="D10" s="254">
        <v>100</v>
      </c>
      <c r="E10" s="861" t="s">
        <v>3091</v>
      </c>
      <c r="F10" s="862">
        <f>SUMIF(65:65,E10,66:66)-SUMIF(65:65,C10,66:66)+100</f>
        <v>102</v>
      </c>
      <c r="G10" s="860" t="s">
        <v>3091</v>
      </c>
      <c r="H10" s="254">
        <f>SUMIF(65:65,G10,66:66)-SUMIF(65:65,C10,66:66)+100</f>
        <v>102</v>
      </c>
      <c r="I10" s="860" t="s">
        <v>3091</v>
      </c>
      <c r="J10" s="254">
        <f>SUMIF(65:65,I10,66:66)-SUMIF(65:65,C10,66:66)+100</f>
        <v>102</v>
      </c>
      <c r="K10" s="863">
        <v>2</v>
      </c>
      <c r="L10" s="2137"/>
      <c r="M10" s="2177"/>
      <c r="N10" s="2177"/>
      <c r="O10" s="2138"/>
      <c r="P10" s="3412"/>
      <c r="Q10" s="1150" t="str">
        <f t="shared" si="6"/>
        <v>土地使用年限（年）</v>
      </c>
      <c r="R10" s="1567" t="s">
        <v>8</v>
      </c>
      <c r="S10" s="1568">
        <f t="shared" si="0"/>
        <v>102</v>
      </c>
      <c r="T10" s="1567" t="s">
        <v>8</v>
      </c>
      <c r="U10" s="1568">
        <f t="shared" si="1"/>
        <v>102</v>
      </c>
      <c r="V10" s="1567" t="s">
        <v>8</v>
      </c>
      <c r="W10" s="1568">
        <f t="shared" si="2"/>
        <v>102</v>
      </c>
      <c r="X10" s="1569"/>
      <c r="Y10" s="3358"/>
      <c r="Z10" s="1149" t="str">
        <f t="shared" si="7"/>
        <v>土地使用年限（年）</v>
      </c>
      <c r="AA10" s="1570">
        <f t="shared" si="3"/>
        <v>0.98039215686274506</v>
      </c>
      <c r="AB10" s="1570">
        <f t="shared" si="4"/>
        <v>0.98039215686274506</v>
      </c>
      <c r="AC10" s="1570">
        <f t="shared" si="5"/>
        <v>0.98039215686274506</v>
      </c>
    </row>
    <row r="11" spans="1:29" ht="15.75" thickBot="1">
      <c r="A11" s="2939"/>
      <c r="B11" s="2943" t="s">
        <v>2759</v>
      </c>
      <c r="C11" s="532">
        <v>1</v>
      </c>
      <c r="D11" s="254">
        <v>100</v>
      </c>
      <c r="E11" s="533">
        <v>1.57</v>
      </c>
      <c r="F11" s="862">
        <f>LOOKUP(E11,68:68,69:69)-LOOKUP(C11,68:68,69:69)+100</f>
        <v>100</v>
      </c>
      <c r="G11" s="532">
        <v>2.17</v>
      </c>
      <c r="H11" s="254">
        <f>LOOKUP(G11,68:68,69:69)-LOOKUP(C11,68:68,69:69)+100</f>
        <v>98</v>
      </c>
      <c r="I11" s="532">
        <v>2.5</v>
      </c>
      <c r="J11" s="254">
        <f>LOOKUP(I11,68:68,69:69)-LOOKUP(C11,68:68,69:69)+100</f>
        <v>98</v>
      </c>
      <c r="K11" s="863">
        <v>2</v>
      </c>
      <c r="L11" s="2139"/>
      <c r="M11" s="2133"/>
      <c r="N11" s="2133"/>
      <c r="O11" s="2140"/>
      <c r="P11" s="3412"/>
      <c r="Q11" s="1150" t="str">
        <f t="shared" si="6"/>
        <v>容积率</v>
      </c>
      <c r="R11" s="1567" t="s">
        <v>11</v>
      </c>
      <c r="S11" s="1568">
        <f t="shared" si="0"/>
        <v>100</v>
      </c>
      <c r="T11" s="1567" t="s">
        <v>11</v>
      </c>
      <c r="U11" s="1568">
        <f t="shared" si="1"/>
        <v>98</v>
      </c>
      <c r="V11" s="1567" t="s">
        <v>11</v>
      </c>
      <c r="W11" s="1568">
        <f t="shared" si="2"/>
        <v>98</v>
      </c>
      <c r="X11" s="1569"/>
      <c r="Y11" s="3358"/>
      <c r="Z11" s="1149" t="str">
        <f t="shared" si="7"/>
        <v>容积率</v>
      </c>
      <c r="AA11" s="1570">
        <f t="shared" si="3"/>
        <v>1</v>
      </c>
      <c r="AB11" s="1570">
        <f t="shared" si="4"/>
        <v>1.0204081632653061</v>
      </c>
      <c r="AC11" s="1570">
        <f t="shared" si="5"/>
        <v>1.0204081632653061</v>
      </c>
    </row>
    <row r="12" spans="1:29" s="1219" customFormat="1" ht="15" hidden="1">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12"/>
      <c r="Q12" s="1150">
        <f t="shared" si="6"/>
        <v>111</v>
      </c>
      <c r="R12" s="1567" t="s">
        <v>11</v>
      </c>
      <c r="S12" s="1568">
        <f t="shared" si="0"/>
        <v>100</v>
      </c>
      <c r="T12" s="1567" t="s">
        <v>11</v>
      </c>
      <c r="U12" s="1568">
        <f t="shared" si="1"/>
        <v>100</v>
      </c>
      <c r="V12" s="1567" t="s">
        <v>11</v>
      </c>
      <c r="W12" s="1568">
        <f t="shared" si="2"/>
        <v>100</v>
      </c>
      <c r="X12" s="1569"/>
      <c r="Y12" s="3358"/>
      <c r="Z12" s="1149">
        <f t="shared" si="7"/>
        <v>111</v>
      </c>
      <c r="AA12" s="1570">
        <f>D12/F12</f>
        <v>1</v>
      </c>
      <c r="AB12" s="1570">
        <f>D12/H12</f>
        <v>1</v>
      </c>
      <c r="AC12" s="1570">
        <f>D12/J12</f>
        <v>1</v>
      </c>
    </row>
    <row r="13" spans="1:29" ht="15" hidden="1">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12"/>
      <c r="Q13" s="1150">
        <f t="shared" si="6"/>
        <v>111</v>
      </c>
      <c r="R13" s="1567" t="s">
        <v>11</v>
      </c>
      <c r="S13" s="1568">
        <f t="shared" si="0"/>
        <v>100</v>
      </c>
      <c r="T13" s="1567" t="s">
        <v>11</v>
      </c>
      <c r="U13" s="1568">
        <f t="shared" si="1"/>
        <v>100</v>
      </c>
      <c r="V13" s="1567" t="s">
        <v>11</v>
      </c>
      <c r="W13" s="1568">
        <f t="shared" si="2"/>
        <v>100</v>
      </c>
      <c r="X13" s="1569"/>
      <c r="Y13" s="3358"/>
      <c r="Z13" s="1149">
        <f t="shared" si="7"/>
        <v>111</v>
      </c>
      <c r="AA13" s="1570">
        <f t="shared" si="3"/>
        <v>1</v>
      </c>
      <c r="AB13" s="1570">
        <f t="shared" si="4"/>
        <v>1</v>
      </c>
      <c r="AC13" s="1570">
        <f t="shared" si="5"/>
        <v>1</v>
      </c>
    </row>
    <row r="14" spans="1:29" ht="15.75" hidden="1"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12"/>
      <c r="Q14" s="1150">
        <f t="shared" si="6"/>
        <v>111</v>
      </c>
      <c r="R14" s="1567" t="s">
        <v>11</v>
      </c>
      <c r="S14" s="1568">
        <f t="shared" si="0"/>
        <v>100</v>
      </c>
      <c r="T14" s="1567" t="s">
        <v>11</v>
      </c>
      <c r="U14" s="1568">
        <f t="shared" si="1"/>
        <v>100</v>
      </c>
      <c r="V14" s="1567" t="s">
        <v>11</v>
      </c>
      <c r="W14" s="1568">
        <f t="shared" si="2"/>
        <v>100</v>
      </c>
      <c r="X14" s="1569"/>
      <c r="Y14" s="3358"/>
      <c r="Z14" s="1149">
        <f t="shared" si="7"/>
        <v>111</v>
      </c>
      <c r="AA14" s="1570">
        <f t="shared" si="3"/>
        <v>1</v>
      </c>
      <c r="AB14" s="1570">
        <f t="shared" si="4"/>
        <v>1</v>
      </c>
      <c r="AC14" s="1570">
        <f t="shared" si="5"/>
        <v>1</v>
      </c>
    </row>
    <row r="15" spans="1:29" ht="15">
      <c r="A15" s="2933" t="s">
        <v>2755</v>
      </c>
      <c r="B15" s="166" t="s">
        <v>295</v>
      </c>
      <c r="C15" s="866">
        <f>估价对象房地状况!C3</f>
        <v>0</v>
      </c>
      <c r="D15" s="548">
        <v>100</v>
      </c>
      <c r="E15" s="3198" t="s">
        <v>3132</v>
      </c>
      <c r="F15" s="550">
        <f>SUMIF(76:76,E16,77:77)-SUMIF(76:76,C16,77:77)+100</f>
        <v>100</v>
      </c>
      <c r="G15" s="3197" t="s">
        <v>3131</v>
      </c>
      <c r="H15" s="548">
        <f>SUMIF(76:76,G16,77:77)-SUMIF(76:76,C16,77:77)+100</f>
        <v>103</v>
      </c>
      <c r="I15" s="3198" t="s">
        <v>3135</v>
      </c>
      <c r="J15" s="548">
        <f>SUMIF(76:76,I16,77:77)-SUMIF(76:76,C16,77:77)+100</f>
        <v>103</v>
      </c>
      <c r="K15" s="867">
        <v>3</v>
      </c>
      <c r="L15" s="2141"/>
      <c r="M15" s="2133"/>
      <c r="N15" s="2133"/>
      <c r="O15" s="2140"/>
      <c r="P15" s="3447" t="s">
        <v>540</v>
      </c>
      <c r="Q15" s="1571" t="str">
        <f t="shared" si="6"/>
        <v>居住社区成熟度</v>
      </c>
      <c r="R15" s="1572" t="s">
        <v>11</v>
      </c>
      <c r="S15" s="1573">
        <f t="shared" si="0"/>
        <v>100</v>
      </c>
      <c r="T15" s="1572" t="s">
        <v>11</v>
      </c>
      <c r="U15" s="1573">
        <f t="shared" si="1"/>
        <v>103</v>
      </c>
      <c r="V15" s="1572" t="s">
        <v>11</v>
      </c>
      <c r="W15" s="1573">
        <f t="shared" si="2"/>
        <v>103</v>
      </c>
      <c r="X15" s="1566"/>
      <c r="Y15" s="3447" t="s">
        <v>540</v>
      </c>
      <c r="Z15" s="1574" t="str">
        <f t="shared" si="7"/>
        <v>居住社区成熟度</v>
      </c>
      <c r="AA15" s="1575">
        <f t="shared" si="3"/>
        <v>1</v>
      </c>
      <c r="AB15" s="1575">
        <f t="shared" si="4"/>
        <v>0.970873786407767</v>
      </c>
      <c r="AC15" s="1575">
        <f t="shared" si="5"/>
        <v>0.970873786407767</v>
      </c>
    </row>
    <row r="16" spans="1:29" ht="15">
      <c r="A16" s="531"/>
      <c r="B16" s="868"/>
      <c r="C16" s="575" t="s">
        <v>3075</v>
      </c>
      <c r="D16" s="554"/>
      <c r="E16" s="555" t="s">
        <v>3075</v>
      </c>
      <c r="F16" s="556"/>
      <c r="G16" s="557" t="s">
        <v>3081</v>
      </c>
      <c r="H16" s="558"/>
      <c r="I16" s="555" t="s">
        <v>3081</v>
      </c>
      <c r="J16" s="554"/>
      <c r="K16" s="869"/>
      <c r="L16" s="2141"/>
      <c r="M16" s="2133"/>
      <c r="N16" s="2133"/>
      <c r="O16" s="2140"/>
      <c r="P16" s="3448"/>
      <c r="Q16" s="1571"/>
      <c r="R16" s="1572"/>
      <c r="S16" s="1573"/>
      <c r="T16" s="1572"/>
      <c r="U16" s="1573"/>
      <c r="V16" s="1572"/>
      <c r="W16" s="1573"/>
      <c r="X16" s="1566"/>
      <c r="Y16" s="3448"/>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102</v>
      </c>
      <c r="I17" s="561"/>
      <c r="J17" s="564">
        <f>SUMIF(78:78,I18,79:79)-SUMIF(78:78,C18,79:79)+100</f>
        <v>102</v>
      </c>
      <c r="K17" s="867">
        <v>2</v>
      </c>
      <c r="L17" s="2141"/>
      <c r="M17" s="2133"/>
      <c r="N17" s="2133"/>
      <c r="O17" s="2140"/>
      <c r="P17" s="3448"/>
      <c r="Q17" s="1571" t="str">
        <f>B17</f>
        <v>交通便捷度</v>
      </c>
      <c r="R17" s="1572" t="s">
        <v>11</v>
      </c>
      <c r="S17" s="1573">
        <f>F17</f>
        <v>100</v>
      </c>
      <c r="T17" s="1572" t="s">
        <v>11</v>
      </c>
      <c r="U17" s="1573">
        <f>H17</f>
        <v>102</v>
      </c>
      <c r="V17" s="1572" t="s">
        <v>11</v>
      </c>
      <c r="W17" s="1573">
        <f>J17</f>
        <v>102</v>
      </c>
      <c r="X17" s="1566"/>
      <c r="Y17" s="3448"/>
      <c r="Z17" s="1574" t="str">
        <f>Q17</f>
        <v>交通便捷度</v>
      </c>
      <c r="AA17" s="1575">
        <f t="shared" si="3"/>
        <v>1</v>
      </c>
      <c r="AB17" s="1575">
        <f t="shared" si="4"/>
        <v>0.98039215686274506</v>
      </c>
      <c r="AC17" s="1575">
        <f t="shared" si="5"/>
        <v>0.98039215686274506</v>
      </c>
    </row>
    <row r="18" spans="1:29" ht="15">
      <c r="A18" s="531"/>
      <c r="B18" s="594"/>
      <c r="C18" s="872" t="s">
        <v>3075</v>
      </c>
      <c r="D18" s="558"/>
      <c r="E18" s="567" t="s">
        <v>3075</v>
      </c>
      <c r="F18" s="562"/>
      <c r="G18" s="568" t="s">
        <v>3081</v>
      </c>
      <c r="H18" s="554"/>
      <c r="I18" s="567" t="s">
        <v>3081</v>
      </c>
      <c r="J18" s="554"/>
      <c r="K18" s="869"/>
      <c r="L18" s="2141"/>
      <c r="M18" s="2133"/>
      <c r="N18" s="2133"/>
      <c r="O18" s="2140"/>
      <c r="P18" s="3448"/>
      <c r="Q18" s="1571"/>
      <c r="R18" s="1572"/>
      <c r="S18" s="1573"/>
      <c r="T18" s="1572"/>
      <c r="U18" s="1573"/>
      <c r="V18" s="1572"/>
      <c r="W18" s="1573"/>
      <c r="X18" s="1566"/>
      <c r="Y18" s="3448"/>
      <c r="Z18" s="1574"/>
      <c r="AA18" s="1575">
        <v>1</v>
      </c>
      <c r="AB18" s="1575">
        <v>1</v>
      </c>
      <c r="AC18" s="1575">
        <v>1</v>
      </c>
    </row>
    <row r="19" spans="1:29" ht="15">
      <c r="A19" s="531"/>
      <c r="B19" s="2623" t="s">
        <v>2547</v>
      </c>
      <c r="C19" s="871">
        <f>估价对象房地状况!C7</f>
        <v>0</v>
      </c>
      <c r="D19" s="564">
        <v>100</v>
      </c>
      <c r="E19" s="569"/>
      <c r="F19" s="570">
        <f>SUMIF(80:80,E20,81:81)-SUMIF(80:80,C20,81:81)+100</f>
        <v>100</v>
      </c>
      <c r="G19" s="571"/>
      <c r="H19" s="558">
        <f>SUMIF(80:80,G20,81:81)-SUMIF(80:80,C20,81:81)+100</f>
        <v>102</v>
      </c>
      <c r="I19" s="569"/>
      <c r="J19" s="558">
        <f>SUMIF(80:80,I20,81:81)-SUMIF(80:80,C20,81:81)+100</f>
        <v>102</v>
      </c>
      <c r="K19" s="867">
        <v>2</v>
      </c>
      <c r="L19" s="2141"/>
      <c r="M19" s="2133"/>
      <c r="N19" s="2133"/>
      <c r="O19" s="2140"/>
      <c r="P19" s="3448"/>
      <c r="Q19" s="1571" t="str">
        <f>B19</f>
        <v>公共配套设施</v>
      </c>
      <c r="R19" s="1572" t="s">
        <v>11</v>
      </c>
      <c r="S19" s="1573">
        <f>F19</f>
        <v>100</v>
      </c>
      <c r="T19" s="1572" t="s">
        <v>11</v>
      </c>
      <c r="U19" s="1573">
        <f>H19</f>
        <v>102</v>
      </c>
      <c r="V19" s="1572" t="s">
        <v>11</v>
      </c>
      <c r="W19" s="1573">
        <f>J19</f>
        <v>102</v>
      </c>
      <c r="X19" s="1566"/>
      <c r="Y19" s="3448"/>
      <c r="Z19" s="1574" t="str">
        <f>Q19</f>
        <v>公共配套设施</v>
      </c>
      <c r="AA19" s="1575">
        <f t="shared" si="3"/>
        <v>1</v>
      </c>
      <c r="AB19" s="1575">
        <f t="shared" si="4"/>
        <v>0.98039215686274506</v>
      </c>
      <c r="AC19" s="1575">
        <f t="shared" si="5"/>
        <v>0.98039215686274506</v>
      </c>
    </row>
    <row r="20" spans="1:29" ht="15">
      <c r="A20" s="531"/>
      <c r="B20" s="594"/>
      <c r="C20" s="575" t="s">
        <v>3075</v>
      </c>
      <c r="D20" s="554"/>
      <c r="E20" s="555" t="s">
        <v>3075</v>
      </c>
      <c r="F20" s="556"/>
      <c r="G20" s="557" t="s">
        <v>3081</v>
      </c>
      <c r="H20" s="554"/>
      <c r="I20" s="555" t="s">
        <v>3081</v>
      </c>
      <c r="J20" s="554"/>
      <c r="K20" s="869"/>
      <c r="L20" s="2141"/>
      <c r="M20" s="2133"/>
      <c r="N20" s="2133"/>
      <c r="O20" s="2140"/>
      <c r="P20" s="3448"/>
      <c r="Q20" s="1571"/>
      <c r="R20" s="1572"/>
      <c r="S20" s="1573"/>
      <c r="T20" s="1572"/>
      <c r="U20" s="1573"/>
      <c r="V20" s="1572"/>
      <c r="W20" s="1573"/>
      <c r="X20" s="1566"/>
      <c r="Y20" s="3448"/>
      <c r="Z20" s="1574"/>
      <c r="AA20" s="1575">
        <v>1</v>
      </c>
      <c r="AB20" s="1575">
        <v>1</v>
      </c>
      <c r="AC20" s="1575">
        <v>1</v>
      </c>
    </row>
    <row r="21" spans="1:29" ht="15">
      <c r="A21" s="531"/>
      <c r="B21" s="2616"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448"/>
      <c r="Q21" s="2602" t="str">
        <f>B21</f>
        <v>基础设施水平</v>
      </c>
      <c r="R21" s="1572" t="s">
        <v>11</v>
      </c>
      <c r="S21" s="1573">
        <f>F21</f>
        <v>100</v>
      </c>
      <c r="T21" s="1572" t="s">
        <v>11</v>
      </c>
      <c r="U21" s="1573">
        <f>H21</f>
        <v>100</v>
      </c>
      <c r="V21" s="1572" t="s">
        <v>11</v>
      </c>
      <c r="W21" s="1573">
        <f>J21</f>
        <v>100</v>
      </c>
      <c r="X21" s="2604"/>
      <c r="Y21" s="3448"/>
      <c r="Z21" s="2603" t="str">
        <f>Q21</f>
        <v>基础设施水平</v>
      </c>
      <c r="AA21" s="1575">
        <f t="shared" ref="AA21" si="8">D21/F21</f>
        <v>1</v>
      </c>
      <c r="AB21" s="1575">
        <f t="shared" ref="AB21" si="9">D21/H21</f>
        <v>1</v>
      </c>
      <c r="AC21" s="1575">
        <f t="shared" ref="AC21" si="10">D21/J21</f>
        <v>1</v>
      </c>
    </row>
    <row r="22" spans="1:29" ht="15">
      <c r="A22" s="531"/>
      <c r="B22" s="921"/>
      <c r="C22" s="872" t="s">
        <v>3020</v>
      </c>
      <c r="D22" s="554"/>
      <c r="E22" s="575" t="s">
        <v>3020</v>
      </c>
      <c r="F22" s="556"/>
      <c r="G22" s="575" t="s">
        <v>3020</v>
      </c>
      <c r="H22" s="554"/>
      <c r="I22" s="575" t="s">
        <v>3020</v>
      </c>
      <c r="J22" s="554"/>
      <c r="K22" s="2622"/>
      <c r="L22" s="2141"/>
      <c r="M22" s="2133"/>
      <c r="N22" s="2133"/>
      <c r="O22" s="2140"/>
      <c r="P22" s="3448"/>
      <c r="Q22" s="2602"/>
      <c r="R22" s="1572"/>
      <c r="S22" s="1573"/>
      <c r="T22" s="1572"/>
      <c r="U22" s="1573"/>
      <c r="V22" s="1572"/>
      <c r="W22" s="1573"/>
      <c r="X22" s="2604"/>
      <c r="Y22" s="3448"/>
      <c r="Z22" s="2603"/>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102</v>
      </c>
      <c r="I23" s="561"/>
      <c r="J23" s="558">
        <f>SUMIF(84:84,I24,85:85)-SUMIF(84:84,C24,85:85)+100</f>
        <v>102</v>
      </c>
      <c r="K23" s="867">
        <v>2</v>
      </c>
      <c r="L23" s="2141"/>
      <c r="M23" s="2133"/>
      <c r="N23" s="2133"/>
      <c r="O23" s="2140"/>
      <c r="P23" s="3448"/>
      <c r="Q23" s="1571" t="str">
        <f>B23</f>
        <v>自然及人文环境</v>
      </c>
      <c r="R23" s="1572" t="s">
        <v>11</v>
      </c>
      <c r="S23" s="1573">
        <f>F23</f>
        <v>100</v>
      </c>
      <c r="T23" s="1572" t="s">
        <v>11</v>
      </c>
      <c r="U23" s="1573">
        <f>H23</f>
        <v>102</v>
      </c>
      <c r="V23" s="1572" t="s">
        <v>11</v>
      </c>
      <c r="W23" s="1573">
        <f>J23</f>
        <v>102</v>
      </c>
      <c r="X23" s="1566"/>
      <c r="Y23" s="3448"/>
      <c r="Z23" s="1574" t="str">
        <f>Q23</f>
        <v>自然及人文环境</v>
      </c>
      <c r="AA23" s="1575">
        <f t="shared" si="3"/>
        <v>1</v>
      </c>
      <c r="AB23" s="1575">
        <f t="shared" si="4"/>
        <v>0.98039215686274506</v>
      </c>
      <c r="AC23" s="1575">
        <f t="shared" si="5"/>
        <v>0.98039215686274506</v>
      </c>
    </row>
    <row r="24" spans="1:29" ht="15">
      <c r="A24" s="531"/>
      <c r="B24" s="594"/>
      <c r="C24" s="575" t="s">
        <v>3075</v>
      </c>
      <c r="D24" s="554"/>
      <c r="E24" s="555" t="s">
        <v>3075</v>
      </c>
      <c r="F24" s="556"/>
      <c r="G24" s="557" t="s">
        <v>3081</v>
      </c>
      <c r="H24" s="554"/>
      <c r="I24" s="555" t="s">
        <v>3081</v>
      </c>
      <c r="J24" s="554"/>
      <c r="K24" s="869"/>
      <c r="L24" s="2141"/>
      <c r="M24" s="2133"/>
      <c r="N24" s="2133"/>
      <c r="O24" s="2140"/>
      <c r="P24" s="3448"/>
      <c r="Q24" s="1571"/>
      <c r="R24" s="1572"/>
      <c r="S24" s="1573"/>
      <c r="T24" s="1572"/>
      <c r="U24" s="1573"/>
      <c r="V24" s="1572"/>
      <c r="W24" s="1573"/>
      <c r="X24" s="1566"/>
      <c r="Y24" s="3448"/>
      <c r="Z24" s="1574"/>
      <c r="AA24" s="1575">
        <v>1</v>
      </c>
      <c r="AB24" s="1575">
        <v>1</v>
      </c>
      <c r="AC24" s="1575">
        <v>1</v>
      </c>
    </row>
    <row r="25" spans="1:29" ht="15" hidden="1">
      <c r="A25" s="531"/>
      <c r="B25" s="1894" t="s">
        <v>2257</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48"/>
      <c r="Q25" s="1571" t="str">
        <f t="shared" ref="Q25:Q46" si="11">B25</f>
        <v>楼层-1</v>
      </c>
      <c r="R25" s="1572" t="s">
        <v>11</v>
      </c>
      <c r="S25" s="1573">
        <f>F25</f>
        <v>100</v>
      </c>
      <c r="T25" s="1572" t="s">
        <v>11</v>
      </c>
      <c r="U25" s="1573">
        <f>H25</f>
        <v>100</v>
      </c>
      <c r="V25" s="1572" t="s">
        <v>11</v>
      </c>
      <c r="W25" s="1573">
        <f>J25</f>
        <v>100</v>
      </c>
      <c r="X25" s="1566"/>
      <c r="Y25" s="3448"/>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48"/>
      <c r="Q26" s="1571" t="str">
        <f t="shared" si="11"/>
        <v>朝向</v>
      </c>
      <c r="R26" s="1572" t="s">
        <v>11</v>
      </c>
      <c r="S26" s="1573">
        <f>F26</f>
        <v>100</v>
      </c>
      <c r="T26" s="1572" t="s">
        <v>11</v>
      </c>
      <c r="U26" s="1573">
        <f>H26</f>
        <v>100</v>
      </c>
      <c r="V26" s="1572" t="s">
        <v>11</v>
      </c>
      <c r="W26" s="1573">
        <f>J26</f>
        <v>100</v>
      </c>
      <c r="X26" s="1566"/>
      <c r="Y26" s="3448"/>
      <c r="Z26" s="1574" t="str">
        <f>Q26</f>
        <v>朝向</v>
      </c>
      <c r="AA26" s="1575">
        <f t="shared" si="3"/>
        <v>1</v>
      </c>
      <c r="AB26" s="1575">
        <f t="shared" si="4"/>
        <v>1</v>
      </c>
      <c r="AC26" s="1575">
        <f t="shared" si="5"/>
        <v>1</v>
      </c>
    </row>
    <row r="27" spans="1:29" s="1219" customFormat="1" ht="15.75" thickBot="1">
      <c r="A27" s="535"/>
      <c r="B27" s="536" t="s">
        <v>724</v>
      </c>
      <c r="C27" s="3200" t="s">
        <v>3129</v>
      </c>
      <c r="D27" s="874">
        <v>100</v>
      </c>
      <c r="E27" s="3195" t="s">
        <v>3130</v>
      </c>
      <c r="F27" s="875">
        <f>SUMIF(90:90,E27,91:91)-SUMIF(90:90,C27,91:91)+100</f>
        <v>100</v>
      </c>
      <c r="G27" s="3196" t="s">
        <v>3136</v>
      </c>
      <c r="H27" s="874">
        <f>SUMIF(90:90,G27,91:91)-SUMIF(90:90,C27,91:91)+100</f>
        <v>102</v>
      </c>
      <c r="I27" s="3195" t="s">
        <v>3094</v>
      </c>
      <c r="J27" s="874">
        <f>SUMIF(90:90,I27,91:91)-SUMIF(90:90,C27,91:91)+100</f>
        <v>102</v>
      </c>
      <c r="K27" s="864"/>
      <c r="L27" s="2134"/>
      <c r="M27" s="2135"/>
      <c r="N27" s="2135"/>
      <c r="O27" s="2136"/>
      <c r="P27" s="3448"/>
      <c r="Q27" s="1150" t="str">
        <f t="shared" si="11"/>
        <v>道路级别</v>
      </c>
      <c r="R27" s="1567" t="s">
        <v>11</v>
      </c>
      <c r="S27" s="1568">
        <f>F27</f>
        <v>100</v>
      </c>
      <c r="T27" s="1567" t="s">
        <v>11</v>
      </c>
      <c r="U27" s="1568">
        <f>H27</f>
        <v>102</v>
      </c>
      <c r="V27" s="1567" t="s">
        <v>11</v>
      </c>
      <c r="W27" s="1568">
        <f>J27</f>
        <v>102</v>
      </c>
      <c r="X27" s="1569"/>
      <c r="Y27" s="3448"/>
      <c r="Z27" s="1149" t="str">
        <f>Q27</f>
        <v>道路级别</v>
      </c>
      <c r="AA27" s="1575">
        <f>D27/F27</f>
        <v>1</v>
      </c>
      <c r="AB27" s="1575">
        <f>D27/H27</f>
        <v>0.98039215686274506</v>
      </c>
      <c r="AC27" s="1575">
        <f>D27/J27</f>
        <v>0.98039215686274506</v>
      </c>
    </row>
    <row r="28" spans="1:29" ht="18" hidden="1" customHeigh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48"/>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8"/>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48"/>
      <c r="Q29" s="1571">
        <f t="shared" si="11"/>
        <v>111</v>
      </c>
      <c r="R29" s="1572" t="s">
        <v>11</v>
      </c>
      <c r="S29" s="1573">
        <f t="shared" si="12"/>
        <v>100</v>
      </c>
      <c r="T29" s="1572" t="s">
        <v>11</v>
      </c>
      <c r="U29" s="1573">
        <f t="shared" si="13"/>
        <v>100</v>
      </c>
      <c r="V29" s="1572" t="s">
        <v>11</v>
      </c>
      <c r="W29" s="1573">
        <f t="shared" si="14"/>
        <v>100</v>
      </c>
      <c r="X29" s="1566"/>
      <c r="Y29" s="3448"/>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48"/>
      <c r="Q30" s="1571">
        <f t="shared" si="11"/>
        <v>111</v>
      </c>
      <c r="R30" s="1572" t="s">
        <v>11</v>
      </c>
      <c r="S30" s="1573">
        <f t="shared" si="12"/>
        <v>100</v>
      </c>
      <c r="T30" s="1572" t="s">
        <v>11</v>
      </c>
      <c r="U30" s="1573">
        <f t="shared" si="13"/>
        <v>100</v>
      </c>
      <c r="V30" s="1572" t="s">
        <v>11</v>
      </c>
      <c r="W30" s="1573">
        <f t="shared" si="14"/>
        <v>100</v>
      </c>
      <c r="X30" s="1566"/>
      <c r="Y30" s="3448"/>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48"/>
      <c r="Q31" s="1571">
        <f t="shared" si="11"/>
        <v>111</v>
      </c>
      <c r="R31" s="1572" t="s">
        <v>11</v>
      </c>
      <c r="S31" s="1573">
        <f t="shared" si="12"/>
        <v>100</v>
      </c>
      <c r="T31" s="1572" t="s">
        <v>11</v>
      </c>
      <c r="U31" s="1573">
        <f t="shared" si="13"/>
        <v>100</v>
      </c>
      <c r="V31" s="1572" t="s">
        <v>11</v>
      </c>
      <c r="W31" s="1573">
        <f t="shared" si="14"/>
        <v>100</v>
      </c>
      <c r="X31" s="1566"/>
      <c r="Y31" s="3448"/>
      <c r="Z31" s="1574">
        <f t="shared" si="15"/>
        <v>111</v>
      </c>
      <c r="AA31" s="1575">
        <f t="shared" si="3"/>
        <v>1</v>
      </c>
      <c r="AB31" s="1575">
        <f t="shared" si="4"/>
        <v>1</v>
      </c>
      <c r="AC31" s="1575">
        <f t="shared" si="5"/>
        <v>1</v>
      </c>
    </row>
    <row r="32" spans="1:29" ht="15">
      <c r="A32" s="2930" t="s">
        <v>2756</v>
      </c>
      <c r="B32" s="172" t="s">
        <v>725</v>
      </c>
      <c r="C32" s="877" t="s">
        <v>3015</v>
      </c>
      <c r="D32" s="596">
        <v>100</v>
      </c>
      <c r="E32" s="878" t="s">
        <v>3097</v>
      </c>
      <c r="F32" s="574">
        <f>SUMIF(100:100,E32,101:101)-SUMIF(100:100,C32,101:101)+100</f>
        <v>98</v>
      </c>
      <c r="G32" s="877" t="s">
        <v>3099</v>
      </c>
      <c r="H32" s="596">
        <f>SUMIF(100:100,G32,101:101)-SUMIF(100:100,C32,101:101)+100</f>
        <v>96</v>
      </c>
      <c r="I32" s="878" t="s">
        <v>3099</v>
      </c>
      <c r="J32" s="539">
        <f>SUMIF(100:100,I32,101:101)-SUMIF(100:100,C32,101:101)+100</f>
        <v>96</v>
      </c>
      <c r="K32" s="863">
        <v>2</v>
      </c>
      <c r="L32" s="2141"/>
      <c r="M32" s="2133"/>
      <c r="N32" s="2133"/>
      <c r="O32" s="2140"/>
      <c r="P32" s="3449" t="s">
        <v>550</v>
      </c>
      <c r="Q32" s="1571" t="str">
        <f t="shared" si="11"/>
        <v>建筑类型</v>
      </c>
      <c r="R32" s="1572" t="s">
        <v>11</v>
      </c>
      <c r="S32" s="1573">
        <f t="shared" si="12"/>
        <v>98</v>
      </c>
      <c r="T32" s="1572" t="s">
        <v>11</v>
      </c>
      <c r="U32" s="1573">
        <f t="shared" si="13"/>
        <v>96</v>
      </c>
      <c r="V32" s="1572" t="s">
        <v>11</v>
      </c>
      <c r="W32" s="1573">
        <f t="shared" si="14"/>
        <v>96</v>
      </c>
      <c r="X32" s="1566"/>
      <c r="Y32" s="3450" t="s">
        <v>550</v>
      </c>
      <c r="Z32" s="1574" t="str">
        <f t="shared" si="15"/>
        <v>建筑类型</v>
      </c>
      <c r="AA32" s="1575">
        <f t="shared" si="3"/>
        <v>1.0204081632653061</v>
      </c>
      <c r="AB32" s="1575">
        <f t="shared" si="4"/>
        <v>1.0416666666666667</v>
      </c>
      <c r="AC32" s="1575">
        <f t="shared" si="5"/>
        <v>1.0416666666666667</v>
      </c>
    </row>
    <row r="33" spans="1:29" s="1338" customFormat="1" ht="15">
      <c r="A33" s="602"/>
      <c r="B33" s="526" t="s">
        <v>726</v>
      </c>
      <c r="C33" s="879">
        <f>'剩余法-待开发'!C9+'剩余法-待开发'!D9</f>
        <v>140004.31</v>
      </c>
      <c r="D33" s="254">
        <v>100</v>
      </c>
      <c r="E33" s="533">
        <v>66401</v>
      </c>
      <c r="F33" s="862">
        <f>LOOKUP(E33,103:103,104:104)-LOOKUP(C33,103:103,104:104)+100</f>
        <v>98</v>
      </c>
      <c r="G33" s="532">
        <v>350000</v>
      </c>
      <c r="H33" s="254">
        <f>LOOKUP(G33,103:103,104:104)-LOOKUP(C33,103:103,104:104)+100</f>
        <v>104</v>
      </c>
      <c r="I33" s="533">
        <v>84600</v>
      </c>
      <c r="J33" s="254">
        <f>LOOKUP(I33,103:103,104:104)-LOOKUP(C33,103:103,104:104)+100</f>
        <v>98</v>
      </c>
      <c r="K33" s="864"/>
      <c r="L33" s="2139"/>
      <c r="M33" s="2170"/>
      <c r="N33" s="2170"/>
      <c r="O33" s="2142"/>
      <c r="P33" s="3450"/>
      <c r="Q33" s="1604" t="str">
        <f t="shared" si="11"/>
        <v>项目建筑规模</v>
      </c>
      <c r="R33" s="1576" t="s">
        <v>11</v>
      </c>
      <c r="S33" s="1577">
        <f t="shared" si="12"/>
        <v>98</v>
      </c>
      <c r="T33" s="1576" t="s">
        <v>11</v>
      </c>
      <c r="U33" s="1577">
        <f t="shared" si="13"/>
        <v>104</v>
      </c>
      <c r="V33" s="1576" t="s">
        <v>11</v>
      </c>
      <c r="W33" s="1577">
        <f t="shared" si="14"/>
        <v>98</v>
      </c>
      <c r="X33" s="1578"/>
      <c r="Y33" s="3450"/>
      <c r="Z33" s="1579" t="str">
        <f t="shared" si="15"/>
        <v>项目建筑规模</v>
      </c>
      <c r="AA33" s="1575">
        <f t="shared" si="3"/>
        <v>1.0204081632653061</v>
      </c>
      <c r="AB33" s="1575">
        <f t="shared" si="4"/>
        <v>0.96153846153846156</v>
      </c>
      <c r="AC33" s="1575">
        <f t="shared" si="5"/>
        <v>1.0204081632653061</v>
      </c>
    </row>
    <row r="34" spans="1:29" ht="15">
      <c r="A34" s="593"/>
      <c r="B34" s="526" t="s">
        <v>727</v>
      </c>
      <c r="C34" s="880" t="s">
        <v>3104</v>
      </c>
      <c r="D34" s="539">
        <v>100</v>
      </c>
      <c r="E34" s="881" t="s">
        <v>3101</v>
      </c>
      <c r="F34" s="574">
        <f>SUMIF(105:105,E34,106:106)-SUMIF(105:105,C34,106:106)+100</f>
        <v>106</v>
      </c>
      <c r="G34" s="880" t="s">
        <v>3101</v>
      </c>
      <c r="H34" s="539">
        <f>SUMIF(105:105,G34,106:106)-SUMIF(105:105,C34,106:106)+100</f>
        <v>106</v>
      </c>
      <c r="I34" s="881" t="s">
        <v>3101</v>
      </c>
      <c r="J34" s="539">
        <f>SUMIF(105:105,I34,106:106)-SUMIF(105:105,C34,106:106)+100</f>
        <v>106</v>
      </c>
      <c r="K34" s="863">
        <v>3</v>
      </c>
      <c r="L34" s="2141"/>
      <c r="M34" s="2133"/>
      <c r="N34" s="2133"/>
      <c r="O34" s="2140"/>
      <c r="P34" s="3450"/>
      <c r="Q34" s="1571" t="str">
        <f t="shared" si="11"/>
        <v>建筑结构</v>
      </c>
      <c r="R34" s="1572" t="s">
        <v>11</v>
      </c>
      <c r="S34" s="1573">
        <f t="shared" si="12"/>
        <v>106</v>
      </c>
      <c r="T34" s="1572" t="s">
        <v>11</v>
      </c>
      <c r="U34" s="1573">
        <f t="shared" si="13"/>
        <v>106</v>
      </c>
      <c r="V34" s="1572" t="s">
        <v>11</v>
      </c>
      <c r="W34" s="1573">
        <f t="shared" si="14"/>
        <v>106</v>
      </c>
      <c r="X34" s="1566"/>
      <c r="Y34" s="3450"/>
      <c r="Z34" s="1574" t="str">
        <f t="shared" si="15"/>
        <v>建筑结构</v>
      </c>
      <c r="AA34" s="1575">
        <f t="shared" si="3"/>
        <v>0.94339622641509435</v>
      </c>
      <c r="AB34" s="1575">
        <f t="shared" si="4"/>
        <v>0.94339622641509435</v>
      </c>
      <c r="AC34" s="1575">
        <f t="shared" si="5"/>
        <v>0.94339622641509435</v>
      </c>
    </row>
    <row r="35" spans="1:29" ht="15">
      <c r="A35" s="593"/>
      <c r="B35" s="526" t="s">
        <v>728</v>
      </c>
      <c r="C35" s="598" t="s">
        <v>3109</v>
      </c>
      <c r="D35" s="539">
        <v>100</v>
      </c>
      <c r="E35" s="873" t="s">
        <v>3107</v>
      </c>
      <c r="F35" s="574">
        <f>SUMIF(107:107,E35,108:108)-SUMIF(107:107,C35,108:108)+100</f>
        <v>103</v>
      </c>
      <c r="G35" s="598" t="s">
        <v>3107</v>
      </c>
      <c r="H35" s="539">
        <f>SUMIF(107:107,G35,108:108)-SUMIF(107:107,C35,108:108)+100</f>
        <v>103</v>
      </c>
      <c r="I35" s="873" t="s">
        <v>3107</v>
      </c>
      <c r="J35" s="539">
        <f>SUMIF(107:107,I35,108:108)-SUMIF(107:107,C35,108:108)+100</f>
        <v>103</v>
      </c>
      <c r="K35" s="863">
        <v>3</v>
      </c>
      <c r="L35" s="2141"/>
      <c r="M35" s="2133"/>
      <c r="N35" s="2133"/>
      <c r="O35" s="2140"/>
      <c r="P35" s="3450"/>
      <c r="Q35" s="1571" t="str">
        <f t="shared" si="11"/>
        <v>建筑品质</v>
      </c>
      <c r="R35" s="1572" t="s">
        <v>11</v>
      </c>
      <c r="S35" s="1573">
        <f t="shared" si="12"/>
        <v>103</v>
      </c>
      <c r="T35" s="1572" t="s">
        <v>11</v>
      </c>
      <c r="U35" s="1573">
        <f t="shared" si="13"/>
        <v>103</v>
      </c>
      <c r="V35" s="1572" t="s">
        <v>11</v>
      </c>
      <c r="W35" s="1573">
        <f t="shared" si="14"/>
        <v>103</v>
      </c>
      <c r="X35" s="1566"/>
      <c r="Y35" s="3450"/>
      <c r="Z35" s="1574" t="str">
        <f t="shared" si="15"/>
        <v>建筑品质</v>
      </c>
      <c r="AA35" s="1575">
        <f t="shared" si="3"/>
        <v>0.970873786407767</v>
      </c>
      <c r="AB35" s="1575">
        <f t="shared" si="4"/>
        <v>0.970873786407767</v>
      </c>
      <c r="AC35" s="1575">
        <f t="shared" si="5"/>
        <v>0.970873786407767</v>
      </c>
    </row>
    <row r="36" spans="1:29" ht="15">
      <c r="A36" s="593"/>
      <c r="B36" s="526" t="s">
        <v>729</v>
      </c>
      <c r="C36" s="598" t="s">
        <v>3111</v>
      </c>
      <c r="D36" s="539">
        <v>100</v>
      </c>
      <c r="E36" s="873" t="s">
        <v>3111</v>
      </c>
      <c r="F36" s="574">
        <f>SUMIF(109:109,E36,110:110)-SUMIF(109:109,C36,110:110)+100</f>
        <v>100</v>
      </c>
      <c r="G36" s="598" t="s">
        <v>3111</v>
      </c>
      <c r="H36" s="539">
        <f>SUMIF(109:109,G36,110:110)-SUMIF(109:109,C36,110:110)+100</f>
        <v>100</v>
      </c>
      <c r="I36" s="873" t="s">
        <v>3111</v>
      </c>
      <c r="J36" s="539">
        <f>SUMIF(109:109,I36,110:110)-SUMIF(109:109,C36,110:110)+100</f>
        <v>100</v>
      </c>
      <c r="K36" s="863">
        <v>3</v>
      </c>
      <c r="L36" s="2141"/>
      <c r="M36" s="2133"/>
      <c r="N36" s="2133"/>
      <c r="O36" s="2140"/>
      <c r="P36" s="3450"/>
      <c r="Q36" s="1571" t="str">
        <f t="shared" si="11"/>
        <v>公共部分装修</v>
      </c>
      <c r="R36" s="1572" t="s">
        <v>11</v>
      </c>
      <c r="S36" s="1573">
        <f t="shared" si="12"/>
        <v>100</v>
      </c>
      <c r="T36" s="1572" t="s">
        <v>11</v>
      </c>
      <c r="U36" s="1573">
        <f t="shared" si="13"/>
        <v>100</v>
      </c>
      <c r="V36" s="1572" t="s">
        <v>11</v>
      </c>
      <c r="W36" s="1573">
        <f t="shared" si="14"/>
        <v>100</v>
      </c>
      <c r="X36" s="1566"/>
      <c r="Y36" s="3450"/>
      <c r="Z36" s="1574" t="str">
        <f t="shared" si="15"/>
        <v>公共部分装修</v>
      </c>
      <c r="AA36" s="1575">
        <f t="shared" si="3"/>
        <v>1</v>
      </c>
      <c r="AB36" s="1575">
        <f t="shared" si="4"/>
        <v>1</v>
      </c>
      <c r="AC36" s="1575">
        <f t="shared" si="5"/>
        <v>1</v>
      </c>
    </row>
    <row r="37" spans="1:29" s="1219" customFormat="1" ht="15" hidden="1">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4"/>
      <c r="M37" s="2135"/>
      <c r="N37" s="2135"/>
      <c r="O37" s="2136"/>
      <c r="P37" s="3450"/>
      <c r="Q37" s="1150" t="str">
        <f t="shared" si="11"/>
        <v>成新度</v>
      </c>
      <c r="R37" s="1567" t="s">
        <v>11</v>
      </c>
      <c r="S37" s="1568">
        <f t="shared" si="12"/>
        <v>100</v>
      </c>
      <c r="T37" s="1567" t="s">
        <v>11</v>
      </c>
      <c r="U37" s="1568">
        <f t="shared" si="13"/>
        <v>100</v>
      </c>
      <c r="V37" s="1567" t="s">
        <v>11</v>
      </c>
      <c r="W37" s="1568">
        <f t="shared" si="14"/>
        <v>100</v>
      </c>
      <c r="X37" s="1569"/>
      <c r="Y37" s="3450"/>
      <c r="Z37" s="1149" t="str">
        <f t="shared" si="15"/>
        <v>成新度</v>
      </c>
      <c r="AA37" s="1570">
        <f t="shared" si="3"/>
        <v>1</v>
      </c>
      <c r="AB37" s="1570">
        <f t="shared" si="4"/>
        <v>1</v>
      </c>
      <c r="AC37" s="1570">
        <f t="shared" si="5"/>
        <v>1</v>
      </c>
    </row>
    <row r="38" spans="1:29" ht="15">
      <c r="A38" s="593"/>
      <c r="B38" s="526" t="s">
        <v>731</v>
      </c>
      <c r="C38" s="598" t="s">
        <v>3119</v>
      </c>
      <c r="D38" s="539">
        <v>100</v>
      </c>
      <c r="E38" s="873" t="s">
        <v>3119</v>
      </c>
      <c r="F38" s="574">
        <f>SUMIF(114:114,E38,115:115)-SUMIF(114:114,C38,115:115)+100</f>
        <v>100</v>
      </c>
      <c r="G38" s="598" t="s">
        <v>3121</v>
      </c>
      <c r="H38" s="539">
        <f>SUMIF(114:114,G38,115:115)-SUMIF(114:114,C38,115:115)+100</f>
        <v>102</v>
      </c>
      <c r="I38" s="873" t="s">
        <v>3121</v>
      </c>
      <c r="J38" s="539">
        <f>SUMIF(114:114,I38,115:115)-SUMIF(114:114,C38,115:115)+100</f>
        <v>102</v>
      </c>
      <c r="K38" s="863">
        <v>2</v>
      </c>
      <c r="L38" s="2141"/>
      <c r="M38" s="2133"/>
      <c r="N38" s="2133"/>
      <c r="O38" s="2140"/>
      <c r="P38" s="3450" t="s">
        <v>550</v>
      </c>
      <c r="Q38" s="1571" t="str">
        <f t="shared" si="11"/>
        <v>物业管理</v>
      </c>
      <c r="R38" s="1572" t="s">
        <v>11</v>
      </c>
      <c r="S38" s="1573">
        <f t="shared" si="12"/>
        <v>100</v>
      </c>
      <c r="T38" s="1572" t="s">
        <v>11</v>
      </c>
      <c r="U38" s="1573">
        <f t="shared" si="13"/>
        <v>102</v>
      </c>
      <c r="V38" s="1572" t="s">
        <v>11</v>
      </c>
      <c r="W38" s="1573">
        <f t="shared" si="14"/>
        <v>102</v>
      </c>
      <c r="X38" s="1566"/>
      <c r="Y38" s="3450" t="s">
        <v>550</v>
      </c>
      <c r="Z38" s="1574" t="str">
        <f t="shared" si="15"/>
        <v>物业管理</v>
      </c>
      <c r="AA38" s="1575">
        <f t="shared" si="3"/>
        <v>1</v>
      </c>
      <c r="AB38" s="1575">
        <f t="shared" si="4"/>
        <v>0.98039215686274506</v>
      </c>
      <c r="AC38" s="1575">
        <f t="shared" si="5"/>
        <v>0.98039215686274506</v>
      </c>
    </row>
    <row r="39" spans="1:29" ht="15">
      <c r="A39" s="593"/>
      <c r="B39" s="1894" t="s">
        <v>2565</v>
      </c>
      <c r="C39" s="598" t="s">
        <v>3020</v>
      </c>
      <c r="D39" s="539">
        <v>100</v>
      </c>
      <c r="E39" s="873" t="s">
        <v>3020</v>
      </c>
      <c r="F39" s="574">
        <f>SUMIF(116:116,E39,117:117)-SUMIF(116:116,C39,117:117)+100</f>
        <v>100</v>
      </c>
      <c r="G39" s="598" t="s">
        <v>3020</v>
      </c>
      <c r="H39" s="539">
        <f>SUMIF(116:116,G39,117:117)-SUMIF(116:116,C39,117:117)+100</f>
        <v>100</v>
      </c>
      <c r="I39" s="873" t="s">
        <v>3020</v>
      </c>
      <c r="J39" s="539">
        <f>SUMIF(116:116,I39,117:117)-SUMIF(116:116,C39,117:117)+100</f>
        <v>100</v>
      </c>
      <c r="K39" s="863">
        <v>1</v>
      </c>
      <c r="L39" s="2141"/>
      <c r="M39" s="2133"/>
      <c r="N39" s="2133"/>
      <c r="O39" s="2140"/>
      <c r="P39" s="3450"/>
      <c r="Q39" s="1571" t="str">
        <f t="shared" si="11"/>
        <v>市政基础设施</v>
      </c>
      <c r="R39" s="1572" t="s">
        <v>11</v>
      </c>
      <c r="S39" s="1573">
        <f t="shared" si="12"/>
        <v>100</v>
      </c>
      <c r="T39" s="1572" t="s">
        <v>11</v>
      </c>
      <c r="U39" s="1573">
        <f t="shared" si="13"/>
        <v>100</v>
      </c>
      <c r="V39" s="1572" t="s">
        <v>11</v>
      </c>
      <c r="W39" s="1573">
        <f t="shared" si="14"/>
        <v>100</v>
      </c>
      <c r="X39" s="1566"/>
      <c r="Y39" s="3450"/>
      <c r="Z39" s="1574" t="str">
        <f t="shared" si="15"/>
        <v>市政基础设施</v>
      </c>
      <c r="AA39" s="1575">
        <f t="shared" si="3"/>
        <v>1</v>
      </c>
      <c r="AB39" s="1575">
        <f t="shared" si="4"/>
        <v>1</v>
      </c>
      <c r="AC39" s="1575">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450"/>
      <c r="Q40" s="1571" t="str">
        <f t="shared" si="11"/>
        <v>房型</v>
      </c>
      <c r="R40" s="1572" t="s">
        <v>11</v>
      </c>
      <c r="S40" s="1573">
        <f t="shared" si="12"/>
        <v>100</v>
      </c>
      <c r="T40" s="1572" t="s">
        <v>11</v>
      </c>
      <c r="U40" s="1573">
        <f t="shared" si="13"/>
        <v>100</v>
      </c>
      <c r="V40" s="1572" t="s">
        <v>11</v>
      </c>
      <c r="W40" s="1573">
        <f t="shared" si="14"/>
        <v>100</v>
      </c>
      <c r="X40" s="1566"/>
      <c r="Y40" s="3450"/>
      <c r="Z40" s="1574" t="str">
        <f t="shared" si="15"/>
        <v>房型</v>
      </c>
      <c r="AA40" s="1575">
        <f t="shared" si="3"/>
        <v>1</v>
      </c>
      <c r="AB40" s="1575">
        <f t="shared" si="4"/>
        <v>1</v>
      </c>
      <c r="AC40" s="1575">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50"/>
      <c r="Q41" s="1604" t="str">
        <f t="shared" si="11"/>
        <v>单套/主力户型建筑面积</v>
      </c>
      <c r="R41" s="1576" t="s">
        <v>11</v>
      </c>
      <c r="S41" s="1577">
        <f t="shared" si="12"/>
        <v>100</v>
      </c>
      <c r="T41" s="1576" t="s">
        <v>11</v>
      </c>
      <c r="U41" s="1577">
        <f t="shared" si="13"/>
        <v>100</v>
      </c>
      <c r="V41" s="1576" t="s">
        <v>11</v>
      </c>
      <c r="W41" s="1577">
        <f t="shared" si="14"/>
        <v>100</v>
      </c>
      <c r="X41" s="1578"/>
      <c r="Y41" s="3450"/>
      <c r="Z41" s="1579" t="str">
        <f t="shared" si="15"/>
        <v>单套/主力户型建筑面积</v>
      </c>
      <c r="AA41" s="1575">
        <f t="shared" si="3"/>
        <v>1</v>
      </c>
      <c r="AB41" s="1575">
        <f t="shared" si="4"/>
        <v>1</v>
      </c>
      <c r="AC41" s="1575">
        <f t="shared" si="5"/>
        <v>1</v>
      </c>
    </row>
    <row r="42" spans="1:29" ht="15.75" thickBot="1">
      <c r="A42" s="593"/>
      <c r="B42" s="526" t="s">
        <v>734</v>
      </c>
      <c r="C42" s="598" t="s">
        <v>3117</v>
      </c>
      <c r="D42" s="539">
        <v>100</v>
      </c>
      <c r="E42" s="873" t="s">
        <v>3117</v>
      </c>
      <c r="F42" s="574">
        <f>SUMIF(122:122,E42,123:123)-SUMIF(122:122,C42,123:123)+100</f>
        <v>100</v>
      </c>
      <c r="G42" s="598" t="s">
        <v>3117</v>
      </c>
      <c r="H42" s="539">
        <f>SUMIF(122:122,G42,123:123)-SUMIF(122:122,C42,123:123)+100</f>
        <v>100</v>
      </c>
      <c r="I42" s="873" t="s">
        <v>3117</v>
      </c>
      <c r="J42" s="539">
        <f>SUMIF(122:122,I42,123:123)-SUMIF(122:122,C42,123:123)+100</f>
        <v>100</v>
      </c>
      <c r="K42" s="863">
        <v>3</v>
      </c>
      <c r="L42" s="2141"/>
      <c r="M42" s="2133"/>
      <c r="N42" s="2133"/>
      <c r="O42" s="2140"/>
      <c r="P42" s="3450"/>
      <c r="Q42" s="1571" t="str">
        <f t="shared" si="11"/>
        <v>内部装修</v>
      </c>
      <c r="R42" s="1572" t="s">
        <v>11</v>
      </c>
      <c r="S42" s="1573">
        <f t="shared" si="12"/>
        <v>100</v>
      </c>
      <c r="T42" s="1572" t="s">
        <v>11</v>
      </c>
      <c r="U42" s="1573">
        <f t="shared" si="13"/>
        <v>100</v>
      </c>
      <c r="V42" s="1572" t="s">
        <v>11</v>
      </c>
      <c r="W42" s="1573">
        <f t="shared" si="14"/>
        <v>100</v>
      </c>
      <c r="X42" s="1566"/>
      <c r="Y42" s="3450"/>
      <c r="Z42" s="1574" t="str">
        <f t="shared" si="15"/>
        <v>内部装修</v>
      </c>
      <c r="AA42" s="1575">
        <f t="shared" si="3"/>
        <v>1</v>
      </c>
      <c r="AB42" s="1575">
        <f t="shared" si="4"/>
        <v>1</v>
      </c>
      <c r="AC42" s="1575">
        <f t="shared" si="5"/>
        <v>1</v>
      </c>
    </row>
    <row r="43" spans="1:29" ht="27.75" hidden="1"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450"/>
      <c r="Q43" s="1571" t="str">
        <f t="shared" si="11"/>
        <v>内部装修维护情况</v>
      </c>
      <c r="R43" s="1572" t="s">
        <v>11</v>
      </c>
      <c r="S43" s="1573">
        <f t="shared" si="12"/>
        <v>100</v>
      </c>
      <c r="T43" s="1572" t="s">
        <v>11</v>
      </c>
      <c r="U43" s="1573">
        <f t="shared" si="13"/>
        <v>100</v>
      </c>
      <c r="V43" s="1572" t="s">
        <v>11</v>
      </c>
      <c r="W43" s="1573">
        <f t="shared" si="14"/>
        <v>100</v>
      </c>
      <c r="X43" s="1566"/>
      <c r="Y43" s="3450"/>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450"/>
      <c r="Q44" s="1150">
        <f t="shared" si="11"/>
        <v>111</v>
      </c>
      <c r="R44" s="1567" t="s">
        <v>11</v>
      </c>
      <c r="S44" s="1568">
        <f t="shared" si="12"/>
        <v>100</v>
      </c>
      <c r="T44" s="1567" t="s">
        <v>11</v>
      </c>
      <c r="U44" s="1568">
        <f t="shared" si="13"/>
        <v>100</v>
      </c>
      <c r="V44" s="1567" t="s">
        <v>11</v>
      </c>
      <c r="W44" s="1568">
        <f t="shared" si="14"/>
        <v>100</v>
      </c>
      <c r="X44" s="1569"/>
      <c r="Y44" s="3450"/>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50"/>
      <c r="Q45" s="1571">
        <f t="shared" si="11"/>
        <v>111</v>
      </c>
      <c r="R45" s="1572" t="s">
        <v>11</v>
      </c>
      <c r="S45" s="1573">
        <f t="shared" si="12"/>
        <v>100</v>
      </c>
      <c r="T45" s="1572" t="s">
        <v>11</v>
      </c>
      <c r="U45" s="1573">
        <f t="shared" si="13"/>
        <v>100</v>
      </c>
      <c r="V45" s="1572" t="s">
        <v>11</v>
      </c>
      <c r="W45" s="1573">
        <f t="shared" si="14"/>
        <v>100</v>
      </c>
      <c r="X45" s="1566"/>
      <c r="Y45" s="3450"/>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527"/>
      <c r="Q46" s="1571">
        <f t="shared" si="11"/>
        <v>111</v>
      </c>
      <c r="R46" s="1572" t="s">
        <v>10</v>
      </c>
      <c r="S46" s="1573">
        <f t="shared" si="12"/>
        <v>100</v>
      </c>
      <c r="T46" s="1572" t="s">
        <v>10</v>
      </c>
      <c r="U46" s="1573">
        <f t="shared" si="13"/>
        <v>100</v>
      </c>
      <c r="V46" s="1572" t="s">
        <v>10</v>
      </c>
      <c r="W46" s="1573">
        <f t="shared" si="14"/>
        <v>100</v>
      </c>
      <c r="X46" s="1566"/>
      <c r="Y46" s="3527"/>
      <c r="Z46" s="1574">
        <f t="shared" si="15"/>
        <v>111</v>
      </c>
      <c r="AA46" s="1575">
        <f t="shared" si="3"/>
        <v>1</v>
      </c>
      <c r="AB46" s="1575">
        <f t="shared" si="4"/>
        <v>1</v>
      </c>
      <c r="AC46" s="1575">
        <f t="shared" si="5"/>
        <v>1</v>
      </c>
    </row>
    <row r="47" spans="1:29" ht="15">
      <c r="A47" s="606" t="s">
        <v>736</v>
      </c>
      <c r="B47" s="886"/>
      <c r="C47" s="2650" t="s">
        <v>9</v>
      </c>
      <c r="D47" s="2651"/>
      <c r="E47" s="2652">
        <v>11000</v>
      </c>
      <c r="F47" s="2653"/>
      <c r="G47" s="2654">
        <v>12000</v>
      </c>
      <c r="H47" s="2655"/>
      <c r="I47" s="2652">
        <v>12000</v>
      </c>
      <c r="J47" s="2655"/>
      <c r="K47" s="1605"/>
      <c r="L47" s="2143"/>
      <c r="M47" s="2144"/>
      <c r="N47" s="2133"/>
      <c r="O47" s="2144"/>
      <c r="P47" s="3412" t="str">
        <f>A47</f>
        <v>成交单价（元/平方米）</v>
      </c>
      <c r="Q47" s="3412"/>
      <c r="R47" s="3526">
        <f>E47</f>
        <v>11000</v>
      </c>
      <c r="S47" s="3526"/>
      <c r="T47" s="3526">
        <f>G47</f>
        <v>12000</v>
      </c>
      <c r="U47" s="3526"/>
      <c r="V47" s="3526">
        <f>I47</f>
        <v>12000</v>
      </c>
      <c r="W47" s="3526"/>
      <c r="X47" s="1558"/>
      <c r="Y47" s="1580"/>
      <c r="Z47" s="1558"/>
      <c r="AA47" s="1558"/>
      <c r="AB47" s="1558"/>
      <c r="AC47" s="1558"/>
    </row>
    <row r="48" spans="1:29" ht="15.75" thickBot="1">
      <c r="A48" s="614" t="s">
        <v>2761</v>
      </c>
      <c r="B48" s="887"/>
      <c r="C48" s="2656">
        <f>R49</f>
        <v>10082</v>
      </c>
      <c r="D48" s="2657"/>
      <c r="E48" s="2658">
        <f>R48</f>
        <v>10285</v>
      </c>
      <c r="F48" s="2658"/>
      <c r="G48" s="2656">
        <f>T48</f>
        <v>9684</v>
      </c>
      <c r="H48" s="2657"/>
      <c r="I48" s="2658">
        <f>V48</f>
        <v>10277</v>
      </c>
      <c r="J48" s="2657"/>
      <c r="K48" s="1606"/>
      <c r="L48" s="2143"/>
      <c r="M48" s="2144"/>
      <c r="N48" s="2144"/>
      <c r="O48" s="2144"/>
      <c r="P48" s="3412" t="str">
        <f>A48</f>
        <v>比较价格（元/平方米）</v>
      </c>
      <c r="Q48" s="3412"/>
      <c r="R48" s="3526">
        <f>IF(F1="售价",ROUND(PRODUCT(R47,AA7:AA46),0),ROUND(PRODUCT(R47,AA7:AA46),1))</f>
        <v>10285</v>
      </c>
      <c r="S48" s="3526"/>
      <c r="T48" s="3526">
        <f>IF(F1="售价",ROUND(PRODUCT(T47,AB7:AB46),0),ROUND(PRODUCT(T47,AB7:AB46),1))</f>
        <v>9684</v>
      </c>
      <c r="U48" s="3526"/>
      <c r="V48" s="3526">
        <f>IF(F1="售价",ROUND(PRODUCT(V47,AC7:AC46),0),ROUND(PRODUCT(V47,AC7:AC46),1))</f>
        <v>10277</v>
      </c>
      <c r="W48" s="3526"/>
      <c r="X48" s="1558"/>
      <c r="Y48" s="1558"/>
      <c r="Z48" s="1558"/>
      <c r="AA48" s="1558"/>
      <c r="AB48" s="1558"/>
      <c r="AC48" s="1558"/>
    </row>
    <row r="49" spans="1:29" ht="15.75" thickBot="1">
      <c r="A49" s="620" t="s">
        <v>3137</v>
      </c>
      <c r="B49" s="621"/>
      <c r="C49" s="2659">
        <f>R49</f>
        <v>10082</v>
      </c>
      <c r="D49" s="2659"/>
      <c r="E49" s="2659"/>
      <c r="F49" s="2659"/>
      <c r="G49" s="2659"/>
      <c r="H49" s="2659"/>
      <c r="I49" s="2659"/>
      <c r="J49" s="2659"/>
      <c r="K49" s="1607"/>
      <c r="L49" s="2143"/>
      <c r="M49" s="2144"/>
      <c r="N49" s="2144"/>
      <c r="O49" s="2144"/>
      <c r="P49" s="3409" t="str">
        <f>A49</f>
        <v>估价对象住宅用房的比较价格（楼面单价，元/平方米）</v>
      </c>
      <c r="Q49" s="3410"/>
      <c r="R49" s="3525">
        <f>IF(F1="售价",ROUND(AVERAGE(R48:V48),0),ROUND(AVERAGE(R48:V48),1))</f>
        <v>10082</v>
      </c>
      <c r="S49" s="3525"/>
      <c r="T49" s="3525"/>
      <c r="U49" s="3525"/>
      <c r="V49" s="3525"/>
      <c r="W49" s="352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6.9518716577540163E-2</v>
      </c>
      <c r="F52" s="626" t="str">
        <f>IF(OR(E52&gt;=0.3,E52&lt;=-0.3),"超过30%","")</f>
        <v/>
      </c>
      <c r="G52" s="625">
        <f>IF(G47&lt;G48,G48/G47-1,G47/G48-1)</f>
        <v>0.23915737298636919</v>
      </c>
      <c r="H52" s="626" t="str">
        <f>IF(OR(G52&gt;=0.3,G52&lt;=-0.3),"超过30%","")</f>
        <v/>
      </c>
      <c r="I52" s="625">
        <f>IF(I47&lt;I48,I48/I47-1,I47/I48-1)</f>
        <v>0.16765593071908147</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6.2061131763734068E-2</v>
      </c>
      <c r="F53" s="626" t="str">
        <f>IF(OR(E53&gt;=0.2,E53&lt;=-0.2),"超过20%","")</f>
        <v/>
      </c>
      <c r="G53" s="625">
        <f>IF(G48&lt;I48,I48/G48-1,G48/I48-1)</f>
        <v>6.1235026848409646E-2</v>
      </c>
      <c r="H53" s="626" t="str">
        <f>IF(OR(G53&gt;=0.2,G53&lt;=-0.2),"超过20%","")</f>
        <v/>
      </c>
      <c r="I53" s="625">
        <f>IF(I48&lt;E48,E48/I48-1,I48/E48-1)</f>
        <v>7.7843728714599436E-4</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559</v>
      </c>
      <c r="D54" s="627"/>
      <c r="E54" s="625">
        <f>IF(E47&lt;G47,G47/E47-1,E47/G47-1)</f>
        <v>9.0909090909090828E-2</v>
      </c>
      <c r="F54" s="626" t="str">
        <f>IF(OR(E54&gt;=0.3,E54&lt;=-0.3),"超过30%","")</f>
        <v/>
      </c>
      <c r="G54" s="625">
        <f>IF(G47&lt;I47,I47/G47-1,G47/I47-1)</f>
        <v>0</v>
      </c>
      <c r="H54" s="626" t="str">
        <f>IF(OR(G54&gt;=0.3,G54&lt;=-0.3),"超过30%","")</f>
        <v/>
      </c>
      <c r="I54" s="625">
        <f>IF(I47&lt;E47,E47/I47-1,I47/E47-1)</f>
        <v>9.0909090909090828E-2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v>100</v>
      </c>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2559</v>
      </c>
      <c r="C82" s="2621" t="s">
        <v>2560</v>
      </c>
      <c r="D82" s="2621" t="s">
        <v>2561</v>
      </c>
      <c r="E82" s="2621" t="s">
        <v>2562</v>
      </c>
      <c r="F82" s="2621" t="s">
        <v>2563</v>
      </c>
      <c r="G82" s="2621" t="s">
        <v>2564</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8"/>
      <c r="B86" s="1895" t="s">
        <v>2258</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8"/>
      <c r="B88" s="672" t="s">
        <v>746</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道路级别</v>
      </c>
      <c r="C90" s="3193" t="s">
        <v>3092</v>
      </c>
      <c r="D90" s="3193" t="s">
        <v>3093</v>
      </c>
      <c r="E90" s="3193" t="s">
        <v>3094</v>
      </c>
      <c r="F90" s="3193" t="s">
        <v>3095</v>
      </c>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100</v>
      </c>
      <c r="D91" s="691">
        <v>98</v>
      </c>
      <c r="E91" s="691">
        <v>96</v>
      </c>
      <c r="F91" s="691">
        <v>94</v>
      </c>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747</v>
      </c>
      <c r="C100" s="3192" t="s">
        <v>3096</v>
      </c>
      <c r="D100" s="3192" t="s">
        <v>3098</v>
      </c>
      <c r="E100" s="3192" t="s">
        <v>3100</v>
      </c>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v>
      </c>
      <c r="E103" s="729">
        <v>100000</v>
      </c>
      <c r="F103" s="729">
        <v>150000</v>
      </c>
      <c r="G103" s="729">
        <v>200000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93" t="s">
        <v>3102</v>
      </c>
      <c r="D105" s="3193" t="s">
        <v>3103</v>
      </c>
      <c r="E105" s="3194" t="s">
        <v>3105</v>
      </c>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97</v>
      </c>
      <c r="E106" s="678">
        <f t="shared" si="24"/>
        <v>94</v>
      </c>
      <c r="F106" s="678">
        <f t="shared" si="24"/>
        <v>91</v>
      </c>
      <c r="G106" s="678">
        <f t="shared" si="24"/>
        <v>88</v>
      </c>
      <c r="H106" s="678">
        <f t="shared" si="24"/>
        <v>85</v>
      </c>
      <c r="I106" s="678">
        <f t="shared" si="24"/>
        <v>82</v>
      </c>
      <c r="J106" s="678">
        <f t="shared" si="24"/>
        <v>79</v>
      </c>
      <c r="K106" s="678">
        <f t="shared" si="24"/>
        <v>76</v>
      </c>
      <c r="L106" s="678">
        <f t="shared" si="24"/>
        <v>73</v>
      </c>
      <c r="M106" s="678">
        <f t="shared" si="24"/>
        <v>70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94" t="s">
        <v>3106</v>
      </c>
      <c r="D107" s="3194" t="s">
        <v>3108</v>
      </c>
      <c r="E107" s="3194" t="s">
        <v>3110</v>
      </c>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93" t="s">
        <v>3112</v>
      </c>
      <c r="D109" s="3193" t="s">
        <v>3114</v>
      </c>
      <c r="E109" s="3193" t="s">
        <v>3116</v>
      </c>
      <c r="F109" s="3194" t="s">
        <v>3118</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97</v>
      </c>
      <c r="E110" s="678">
        <f t="shared" si="26"/>
        <v>94</v>
      </c>
      <c r="F110" s="678">
        <f t="shared" si="26"/>
        <v>91</v>
      </c>
      <c r="G110" s="678">
        <f t="shared" si="26"/>
        <v>88</v>
      </c>
      <c r="H110" s="678">
        <f t="shared" si="26"/>
        <v>85</v>
      </c>
      <c r="I110" s="678">
        <f t="shared" si="26"/>
        <v>82</v>
      </c>
      <c r="J110" s="678">
        <f t="shared" si="26"/>
        <v>79</v>
      </c>
      <c r="K110" s="678">
        <f t="shared" si="26"/>
        <v>76</v>
      </c>
      <c r="L110" s="678">
        <f t="shared" si="26"/>
        <v>73</v>
      </c>
      <c r="M110" s="678">
        <f t="shared" si="26"/>
        <v>70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93" t="s">
        <v>3122</v>
      </c>
      <c r="D114" s="3193" t="s">
        <v>3120</v>
      </c>
      <c r="E114" s="3194"/>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93" t="s">
        <v>3123</v>
      </c>
      <c r="D116" s="3193" t="s">
        <v>3124</v>
      </c>
      <c r="E116" s="3193" t="s">
        <v>3125</v>
      </c>
      <c r="F116" s="3193" t="s">
        <v>3126</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hidden="1" thickTop="1">
      <c r="A118" s="734"/>
      <c r="B118" s="672" t="s">
        <v>754</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hidden="1"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7"/>
      <c r="B120" s="672" t="s">
        <v>733</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t="s">
        <v>3111</v>
      </c>
      <c r="D122" s="687" t="s">
        <v>3113</v>
      </c>
      <c r="E122" s="687" t="s">
        <v>3115</v>
      </c>
      <c r="F122" s="717" t="s">
        <v>3117</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7"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9"/>
      <c r="E1" s="505"/>
      <c r="F1" s="2830"/>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521</v>
      </c>
      <c r="B4" s="512"/>
      <c r="C4" s="3418" t="s">
        <v>522</v>
      </c>
      <c r="D4" s="3419"/>
      <c r="E4" s="3453" t="s">
        <v>523</v>
      </c>
      <c r="F4" s="3454"/>
      <c r="G4" s="3418" t="s">
        <v>524</v>
      </c>
      <c r="H4" s="3419"/>
      <c r="I4" s="3418" t="s">
        <v>525</v>
      </c>
      <c r="J4" s="3419"/>
      <c r="K4" s="513" t="s">
        <v>526</v>
      </c>
      <c r="L4" s="2132"/>
      <c r="M4" s="2133"/>
      <c r="N4" s="2133"/>
      <c r="O4" s="2133"/>
      <c r="P4" s="3420" t="s">
        <v>527</v>
      </c>
      <c r="Q4" s="3421"/>
      <c r="R4" s="3426" t="s">
        <v>523</v>
      </c>
      <c r="S4" s="3427"/>
      <c r="T4" s="3426" t="s">
        <v>524</v>
      </c>
      <c r="U4" s="3427"/>
      <c r="V4" s="3413" t="s">
        <v>525</v>
      </c>
      <c r="W4" s="3413"/>
      <c r="X4" s="1566"/>
      <c r="Y4" s="3426" t="s">
        <v>527</v>
      </c>
      <c r="Z4" s="3427"/>
      <c r="AA4" s="3415" t="s">
        <v>523</v>
      </c>
      <c r="AB4" s="3413" t="s">
        <v>524</v>
      </c>
      <c r="AC4" s="3415" t="s">
        <v>525</v>
      </c>
    </row>
    <row r="5" spans="1:29" ht="15">
      <c r="A5" s="514"/>
      <c r="B5" s="515"/>
      <c r="C5" s="3531" t="s">
        <v>2919</v>
      </c>
      <c r="D5" s="3532"/>
      <c r="E5" s="3535" t="s">
        <v>2920</v>
      </c>
      <c r="F5" s="3536"/>
      <c r="G5" s="3531" t="s">
        <v>2921</v>
      </c>
      <c r="H5" s="3532"/>
      <c r="I5" s="3531" t="s">
        <v>2922</v>
      </c>
      <c r="J5" s="3532"/>
      <c r="K5" s="513"/>
      <c r="L5" s="2132"/>
      <c r="M5" s="2133"/>
      <c r="N5" s="2133"/>
      <c r="O5" s="2133"/>
      <c r="P5" s="3422"/>
      <c r="Q5" s="3423"/>
      <c r="R5" s="3428"/>
      <c r="S5" s="3429"/>
      <c r="T5" s="3428"/>
      <c r="U5" s="3429"/>
      <c r="V5" s="3413"/>
      <c r="W5" s="3413"/>
      <c r="X5" s="1566"/>
      <c r="Y5" s="3428"/>
      <c r="Z5" s="3429"/>
      <c r="AA5" s="3416"/>
      <c r="AB5" s="3413"/>
      <c r="AC5" s="3416"/>
    </row>
    <row r="6" spans="1:29" ht="15.75" thickBot="1">
      <c r="A6" s="516"/>
      <c r="B6" s="517"/>
      <c r="C6" s="3529" t="s">
        <v>2923</v>
      </c>
      <c r="D6" s="3530"/>
      <c r="E6" s="3533" t="s">
        <v>2923</v>
      </c>
      <c r="F6" s="3534"/>
      <c r="G6" s="3529" t="s">
        <v>2923</v>
      </c>
      <c r="H6" s="3530"/>
      <c r="I6" s="3529" t="s">
        <v>2923</v>
      </c>
      <c r="J6" s="3530"/>
      <c r="K6" s="513" t="s">
        <v>528</v>
      </c>
      <c r="L6" s="2132"/>
      <c r="M6" s="2133"/>
      <c r="N6" s="2133"/>
      <c r="O6" s="2133"/>
      <c r="P6" s="3424"/>
      <c r="Q6" s="3425"/>
      <c r="R6" s="3428"/>
      <c r="S6" s="3429"/>
      <c r="T6" s="3430"/>
      <c r="U6" s="3431"/>
      <c r="V6" s="3413"/>
      <c r="W6" s="3413"/>
      <c r="X6" s="1566"/>
      <c r="Y6" s="3430"/>
      <c r="Z6" s="3431"/>
      <c r="AA6" s="3417"/>
      <c r="AB6" s="3413"/>
      <c r="AC6" s="3417"/>
    </row>
    <row r="7" spans="1:29" s="1219" customFormat="1" ht="15.75" thickBot="1">
      <c r="A7" s="2935"/>
      <c r="B7" s="2942" t="s">
        <v>529</v>
      </c>
      <c r="C7" s="518">
        <f>'数据-取费表'!B2</f>
        <v>43244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44" t="s">
        <v>530</v>
      </c>
      <c r="Q7" s="3446"/>
      <c r="R7" s="1567" t="s">
        <v>8</v>
      </c>
      <c r="S7" s="1568">
        <f t="shared" ref="S7:S15" si="0">F7</f>
        <v>0</v>
      </c>
      <c r="T7" s="1567" t="s">
        <v>8</v>
      </c>
      <c r="U7" s="1568">
        <f t="shared" ref="U7:U15" si="1">H7</f>
        <v>0</v>
      </c>
      <c r="V7" s="1567" t="s">
        <v>8</v>
      </c>
      <c r="W7" s="1568">
        <f t="shared" ref="W7:W15" si="2">J7</f>
        <v>0</v>
      </c>
      <c r="X7" s="1569"/>
      <c r="Y7" s="3444" t="s">
        <v>530</v>
      </c>
      <c r="Z7" s="3445"/>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44" t="s">
        <v>533</v>
      </c>
      <c r="Q8" s="3445"/>
      <c r="R8" s="1567" t="s">
        <v>8</v>
      </c>
      <c r="S8" s="1568">
        <f t="shared" si="0"/>
        <v>0</v>
      </c>
      <c r="T8" s="1567" t="s">
        <v>8</v>
      </c>
      <c r="U8" s="1568">
        <f t="shared" si="1"/>
        <v>0</v>
      </c>
      <c r="V8" s="1567" t="s">
        <v>8</v>
      </c>
      <c r="W8" s="1568">
        <f t="shared" si="2"/>
        <v>0</v>
      </c>
      <c r="X8" s="1569"/>
      <c r="Y8" s="3444" t="s">
        <v>533</v>
      </c>
      <c r="Z8" s="3445"/>
      <c r="AA8" s="1570" t="e">
        <f t="shared" ref="AA8:AA46" si="3">D8/F8</f>
        <v>#DIV/0!</v>
      </c>
      <c r="AB8" s="1570" t="e">
        <f t="shared" ref="AB8:AB46" si="4">D8/H8</f>
        <v>#DIV/0!</v>
      </c>
      <c r="AC8" s="1570" t="e">
        <f t="shared" ref="AC8:AC46" si="5">D8/J8</f>
        <v>#DIV/0!</v>
      </c>
    </row>
    <row r="9" spans="1:29" s="1219" customFormat="1" ht="15">
      <c r="A9" s="2937"/>
      <c r="B9" s="2944"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12" t="s">
        <v>535</v>
      </c>
      <c r="Q9" s="1150" t="str">
        <f t="shared" ref="Q9:Q15" si="6">B9</f>
        <v>用途</v>
      </c>
      <c r="R9" s="1567" t="s">
        <v>8</v>
      </c>
      <c r="S9" s="1568">
        <f t="shared" si="0"/>
        <v>100</v>
      </c>
      <c r="T9" s="1567" t="s">
        <v>8</v>
      </c>
      <c r="U9" s="1568">
        <f t="shared" si="1"/>
        <v>100</v>
      </c>
      <c r="V9" s="1567" t="s">
        <v>8</v>
      </c>
      <c r="W9" s="1568">
        <f t="shared" si="2"/>
        <v>100</v>
      </c>
      <c r="X9" s="1569"/>
      <c r="Y9" s="3358" t="s">
        <v>536</v>
      </c>
      <c r="Z9" s="1149" t="str">
        <f t="shared" ref="Z9:Z15" si="7">Q9</f>
        <v>用途</v>
      </c>
      <c r="AA9" s="1570">
        <f t="shared" si="3"/>
        <v>1</v>
      </c>
      <c r="AB9" s="1570">
        <f t="shared" si="4"/>
        <v>1</v>
      </c>
      <c r="AC9" s="1570">
        <f t="shared" si="5"/>
        <v>1</v>
      </c>
    </row>
    <row r="10" spans="1:29" s="1337" customFormat="1" ht="27">
      <c r="A10" s="2938"/>
      <c r="B10" s="2943"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12"/>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39"/>
      <c r="B11" s="2943"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12"/>
      <c r="Q11" s="1150" t="str">
        <f t="shared" si="6"/>
        <v>容积率</v>
      </c>
      <c r="R11" s="1567" t="s">
        <v>8</v>
      </c>
      <c r="S11" s="1568" t="e">
        <f t="shared" si="0"/>
        <v>#N/A</v>
      </c>
      <c r="T11" s="1567" t="s">
        <v>8</v>
      </c>
      <c r="U11" s="1568" t="e">
        <f t="shared" si="1"/>
        <v>#N/A</v>
      </c>
      <c r="V11" s="1567" t="s">
        <v>8</v>
      </c>
      <c r="W11" s="1568" t="e">
        <f t="shared" si="2"/>
        <v>#N/A</v>
      </c>
      <c r="X11" s="1569"/>
      <c r="Y11" s="335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412"/>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412"/>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12"/>
      <c r="Q14" s="1150">
        <f t="shared" si="6"/>
        <v>111</v>
      </c>
      <c r="R14" s="1567" t="s">
        <v>8</v>
      </c>
      <c r="S14" s="1568">
        <f t="shared" si="0"/>
        <v>100</v>
      </c>
      <c r="T14" s="1567" t="s">
        <v>8</v>
      </c>
      <c r="U14" s="1568">
        <f t="shared" si="1"/>
        <v>100</v>
      </c>
      <c r="V14" s="1567" t="s">
        <v>8</v>
      </c>
      <c r="W14" s="1568">
        <f t="shared" si="2"/>
        <v>100</v>
      </c>
      <c r="X14" s="1569"/>
      <c r="Y14" s="3358"/>
      <c r="Z14" s="1149">
        <f t="shared" si="7"/>
        <v>111</v>
      </c>
      <c r="AA14" s="1570">
        <f t="shared" si="3"/>
        <v>1</v>
      </c>
      <c r="AB14" s="1570">
        <f t="shared" si="4"/>
        <v>1</v>
      </c>
      <c r="AC14" s="1570">
        <f t="shared" si="5"/>
        <v>1</v>
      </c>
    </row>
    <row r="15" spans="1:29" ht="15">
      <c r="A15" s="2933" t="s">
        <v>2755</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47" t="s">
        <v>540</v>
      </c>
      <c r="Q15" s="1571" t="str">
        <f t="shared" si="6"/>
        <v>商业繁华度</v>
      </c>
      <c r="R15" s="1572" t="s">
        <v>8</v>
      </c>
      <c r="S15" s="1573">
        <f t="shared" si="0"/>
        <v>100</v>
      </c>
      <c r="T15" s="1572" t="s">
        <v>8</v>
      </c>
      <c r="U15" s="1573">
        <f t="shared" si="1"/>
        <v>100</v>
      </c>
      <c r="V15" s="1572" t="s">
        <v>8</v>
      </c>
      <c r="W15" s="1573">
        <f t="shared" si="2"/>
        <v>100</v>
      </c>
      <c r="X15" s="1566"/>
      <c r="Y15" s="3447"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48"/>
      <c r="Q16" s="1571"/>
      <c r="R16" s="1572"/>
      <c r="S16" s="1573"/>
      <c r="T16" s="1572"/>
      <c r="U16" s="1573"/>
      <c r="V16" s="1572"/>
      <c r="W16" s="1573"/>
      <c r="X16" s="1566"/>
      <c r="Y16" s="3448"/>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48"/>
      <c r="Q17" s="1571" t="str">
        <f>B17</f>
        <v>交通便捷度</v>
      </c>
      <c r="R17" s="1572" t="s">
        <v>8</v>
      </c>
      <c r="S17" s="1573">
        <f>F17</f>
        <v>100</v>
      </c>
      <c r="T17" s="1572" t="s">
        <v>8</v>
      </c>
      <c r="U17" s="1573">
        <f>H17</f>
        <v>100</v>
      </c>
      <c r="V17" s="1572" t="s">
        <v>8</v>
      </c>
      <c r="W17" s="1573">
        <f>J17</f>
        <v>100</v>
      </c>
      <c r="X17" s="1566"/>
      <c r="Y17" s="344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48"/>
      <c r="Q18" s="1571"/>
      <c r="R18" s="1572"/>
      <c r="S18" s="1573"/>
      <c r="T18" s="1572"/>
      <c r="U18" s="1573"/>
      <c r="V18" s="1572"/>
      <c r="W18" s="1573"/>
      <c r="X18" s="1566"/>
      <c r="Y18" s="3448"/>
      <c r="Z18" s="1574"/>
      <c r="AA18" s="1575">
        <v>1</v>
      </c>
      <c r="AB18" s="1575">
        <v>1</v>
      </c>
      <c r="AC18" s="1575">
        <v>1</v>
      </c>
    </row>
    <row r="19" spans="1:29" ht="15">
      <c r="A19" s="531"/>
      <c r="B19" s="2623"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48"/>
      <c r="Q19" s="1571" t="str">
        <f>B19</f>
        <v>公共配套设施</v>
      </c>
      <c r="R19" s="1572" t="s">
        <v>8</v>
      </c>
      <c r="S19" s="1573">
        <f>F19</f>
        <v>100</v>
      </c>
      <c r="T19" s="1572" t="s">
        <v>8</v>
      </c>
      <c r="U19" s="1573">
        <f>H19</f>
        <v>100</v>
      </c>
      <c r="V19" s="1572" t="s">
        <v>8</v>
      </c>
      <c r="W19" s="1573">
        <f>J19</f>
        <v>100</v>
      </c>
      <c r="X19" s="1566"/>
      <c r="Y19" s="3448"/>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448"/>
      <c r="Q20" s="1571"/>
      <c r="R20" s="1572"/>
      <c r="S20" s="1573"/>
      <c r="T20" s="1572"/>
      <c r="U20" s="1573"/>
      <c r="V20" s="1572"/>
      <c r="W20" s="1573"/>
      <c r="X20" s="1566"/>
      <c r="Y20" s="3448"/>
      <c r="Z20" s="1574"/>
      <c r="AA20" s="1575">
        <v>1</v>
      </c>
      <c r="AB20" s="1575">
        <v>1</v>
      </c>
      <c r="AC20" s="1575">
        <v>1</v>
      </c>
    </row>
    <row r="21" spans="1:29" ht="15">
      <c r="A21" s="531"/>
      <c r="B21" s="2616"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48"/>
      <c r="Q21" s="2602" t="str">
        <f>B21</f>
        <v>基础设施水平</v>
      </c>
      <c r="R21" s="1572" t="s">
        <v>8</v>
      </c>
      <c r="S21" s="1573">
        <f>F21</f>
        <v>100</v>
      </c>
      <c r="T21" s="1572" t="s">
        <v>8</v>
      </c>
      <c r="U21" s="1573">
        <f>H21</f>
        <v>100</v>
      </c>
      <c r="V21" s="1572" t="s">
        <v>8</v>
      </c>
      <c r="W21" s="1573">
        <f>J21</f>
        <v>100</v>
      </c>
      <c r="X21" s="2604"/>
      <c r="Y21" s="3448"/>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5"/>
      <c r="L22" s="2141"/>
      <c r="M22" s="2133"/>
      <c r="N22" s="2133"/>
      <c r="O22" s="2140"/>
      <c r="P22" s="3448"/>
      <c r="Q22" s="2602"/>
      <c r="R22" s="1572"/>
      <c r="S22" s="1573"/>
      <c r="T22" s="1572"/>
      <c r="U22" s="1573"/>
      <c r="V22" s="1572"/>
      <c r="W22" s="1573"/>
      <c r="X22" s="2604"/>
      <c r="Y22" s="3448"/>
      <c r="Z22" s="2603"/>
      <c r="AA22" s="1575">
        <v>1</v>
      </c>
      <c r="AB22" s="1575">
        <v>1</v>
      </c>
      <c r="AC22" s="1575">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48"/>
      <c r="Q23" s="1571" t="str">
        <f>B23</f>
        <v>自然及人文环境</v>
      </c>
      <c r="R23" s="1572" t="s">
        <v>8</v>
      </c>
      <c r="S23" s="1573">
        <f>F23</f>
        <v>100</v>
      </c>
      <c r="T23" s="1572" t="s">
        <v>8</v>
      </c>
      <c r="U23" s="1573">
        <f>H23</f>
        <v>100</v>
      </c>
      <c r="V23" s="1572" t="s">
        <v>8</v>
      </c>
      <c r="W23" s="1573">
        <f>J23</f>
        <v>100</v>
      </c>
      <c r="X23" s="1566"/>
      <c r="Y23" s="3448"/>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448"/>
      <c r="Q24" s="1571"/>
      <c r="R24" s="1572"/>
      <c r="S24" s="1573"/>
      <c r="T24" s="1572"/>
      <c r="U24" s="1573"/>
      <c r="V24" s="1572"/>
      <c r="W24" s="1573"/>
      <c r="X24" s="1566"/>
      <c r="Y24" s="3448"/>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48"/>
      <c r="Q25" s="1571" t="str">
        <f t="shared" ref="Q25:Q46" si="11">B25</f>
        <v>临街状况</v>
      </c>
      <c r="R25" s="1572" t="s">
        <v>8</v>
      </c>
      <c r="S25" s="1573">
        <f>F25</f>
        <v>100</v>
      </c>
      <c r="T25" s="1572" t="s">
        <v>8</v>
      </c>
      <c r="U25" s="1573">
        <f>H25</f>
        <v>100</v>
      </c>
      <c r="V25" s="1572" t="s">
        <v>8</v>
      </c>
      <c r="W25" s="1573">
        <f>J25</f>
        <v>100</v>
      </c>
      <c r="X25" s="1566"/>
      <c r="Y25" s="3448"/>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48"/>
      <c r="Q26" s="1571" t="str">
        <f t="shared" si="11"/>
        <v>平面位置/可视性</v>
      </c>
      <c r="R26" s="1572" t="s">
        <v>8</v>
      </c>
      <c r="S26" s="1573">
        <f>F26</f>
        <v>100</v>
      </c>
      <c r="T26" s="1572" t="s">
        <v>8</v>
      </c>
      <c r="U26" s="1573">
        <f>H26</f>
        <v>100</v>
      </c>
      <c r="V26" s="1572" t="s">
        <v>8</v>
      </c>
      <c r="W26" s="1573">
        <f>J26</f>
        <v>100</v>
      </c>
      <c r="X26" s="1566"/>
      <c r="Y26" s="3448"/>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48"/>
      <c r="Q27" s="1150" t="str">
        <f t="shared" si="11"/>
        <v>人流量</v>
      </c>
      <c r="R27" s="1567" t="s">
        <v>8</v>
      </c>
      <c r="S27" s="1568">
        <f>F27</f>
        <v>100</v>
      </c>
      <c r="T27" s="1567" t="s">
        <v>8</v>
      </c>
      <c r="U27" s="1568">
        <f>H27</f>
        <v>100</v>
      </c>
      <c r="V27" s="1567" t="s">
        <v>8</v>
      </c>
      <c r="W27" s="1568">
        <f>J27</f>
        <v>100</v>
      </c>
      <c r="X27" s="1569"/>
      <c r="Y27" s="3448"/>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4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8"/>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48"/>
      <c r="Q29" s="1571">
        <f t="shared" si="11"/>
        <v>111</v>
      </c>
      <c r="R29" s="1572" t="s">
        <v>8</v>
      </c>
      <c r="S29" s="1573">
        <f t="shared" si="12"/>
        <v>100</v>
      </c>
      <c r="T29" s="1572" t="s">
        <v>8</v>
      </c>
      <c r="U29" s="1573">
        <f t="shared" si="13"/>
        <v>100</v>
      </c>
      <c r="V29" s="1572" t="s">
        <v>8</v>
      </c>
      <c r="W29" s="1573">
        <f t="shared" si="14"/>
        <v>100</v>
      </c>
      <c r="X29" s="1566"/>
      <c r="Y29" s="3448"/>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48"/>
      <c r="Q30" s="1571">
        <f t="shared" si="11"/>
        <v>111</v>
      </c>
      <c r="R30" s="1572" t="s">
        <v>8</v>
      </c>
      <c r="S30" s="1573">
        <f t="shared" si="12"/>
        <v>100</v>
      </c>
      <c r="T30" s="1572" t="s">
        <v>8</v>
      </c>
      <c r="U30" s="1573">
        <f t="shared" si="13"/>
        <v>100</v>
      </c>
      <c r="V30" s="1572" t="s">
        <v>8</v>
      </c>
      <c r="W30" s="1573">
        <f t="shared" si="14"/>
        <v>100</v>
      </c>
      <c r="X30" s="1566"/>
      <c r="Y30" s="3448"/>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48"/>
      <c r="Q31" s="1571">
        <f t="shared" si="11"/>
        <v>111</v>
      </c>
      <c r="R31" s="1572" t="s">
        <v>8</v>
      </c>
      <c r="S31" s="1573">
        <f t="shared" si="12"/>
        <v>100</v>
      </c>
      <c r="T31" s="1572" t="s">
        <v>8</v>
      </c>
      <c r="U31" s="1573">
        <f t="shared" si="13"/>
        <v>100</v>
      </c>
      <c r="V31" s="1572" t="s">
        <v>8</v>
      </c>
      <c r="W31" s="1573">
        <f t="shared" si="14"/>
        <v>100</v>
      </c>
      <c r="X31" s="1566"/>
      <c r="Y31" s="3448"/>
      <c r="Z31" s="1574">
        <f t="shared" si="15"/>
        <v>111</v>
      </c>
      <c r="AA31" s="1575">
        <f t="shared" si="3"/>
        <v>1</v>
      </c>
      <c r="AB31" s="1575">
        <f t="shared" si="4"/>
        <v>1</v>
      </c>
      <c r="AC31" s="1575">
        <f t="shared" si="5"/>
        <v>1</v>
      </c>
    </row>
    <row r="32" spans="1:29" ht="15">
      <c r="A32" s="2930"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49" t="s">
        <v>550</v>
      </c>
      <c r="Q32" s="1571" t="str">
        <f t="shared" si="11"/>
        <v>商业类型</v>
      </c>
      <c r="R32" s="1572" t="s">
        <v>8</v>
      </c>
      <c r="S32" s="1573">
        <f t="shared" si="12"/>
        <v>100</v>
      </c>
      <c r="T32" s="1572" t="s">
        <v>8</v>
      </c>
      <c r="U32" s="1573">
        <f t="shared" si="13"/>
        <v>100</v>
      </c>
      <c r="V32" s="1572" t="s">
        <v>8</v>
      </c>
      <c r="W32" s="1573">
        <f t="shared" si="14"/>
        <v>100</v>
      </c>
      <c r="X32" s="1566"/>
      <c r="Y32" s="3450"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50"/>
      <c r="Q33" s="1604" t="str">
        <f t="shared" si="11"/>
        <v>项目建筑规模</v>
      </c>
      <c r="R33" s="1576" t="s">
        <v>8</v>
      </c>
      <c r="S33" s="1577" t="e">
        <f t="shared" si="12"/>
        <v>#N/A</v>
      </c>
      <c r="T33" s="1576" t="s">
        <v>8</v>
      </c>
      <c r="U33" s="1577" t="e">
        <f t="shared" si="13"/>
        <v>#N/A</v>
      </c>
      <c r="V33" s="1576" t="s">
        <v>8</v>
      </c>
      <c r="W33" s="1577" t="e">
        <f t="shared" si="14"/>
        <v>#N/A</v>
      </c>
      <c r="X33" s="1578"/>
      <c r="Y33" s="3450"/>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50"/>
      <c r="Q34" s="1571" t="str">
        <f t="shared" si="11"/>
        <v>建筑结构</v>
      </c>
      <c r="R34" s="1572" t="s">
        <v>8</v>
      </c>
      <c r="S34" s="1573">
        <f t="shared" si="12"/>
        <v>100</v>
      </c>
      <c r="T34" s="1572" t="s">
        <v>8</v>
      </c>
      <c r="U34" s="1573">
        <f t="shared" si="13"/>
        <v>100</v>
      </c>
      <c r="V34" s="1572" t="s">
        <v>8</v>
      </c>
      <c r="W34" s="1573">
        <f t="shared" si="14"/>
        <v>100</v>
      </c>
      <c r="X34" s="1566"/>
      <c r="Y34" s="3450"/>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50"/>
      <c r="Q35" s="1571" t="str">
        <f t="shared" si="11"/>
        <v>公共部分装修</v>
      </c>
      <c r="R35" s="1572" t="s">
        <v>8</v>
      </c>
      <c r="S35" s="1573">
        <f t="shared" si="12"/>
        <v>100</v>
      </c>
      <c r="T35" s="1572" t="s">
        <v>8</v>
      </c>
      <c r="U35" s="1573">
        <f t="shared" si="13"/>
        <v>100</v>
      </c>
      <c r="V35" s="1572" t="s">
        <v>8</v>
      </c>
      <c r="W35" s="1573">
        <f t="shared" si="14"/>
        <v>100</v>
      </c>
      <c r="X35" s="1566"/>
      <c r="Y35" s="3450"/>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50"/>
      <c r="Q36" s="1571" t="str">
        <f t="shared" si="11"/>
        <v>成新度</v>
      </c>
      <c r="R36" s="1572" t="s">
        <v>8</v>
      </c>
      <c r="S36" s="1573" t="e">
        <f t="shared" si="12"/>
        <v>#N/A</v>
      </c>
      <c r="T36" s="1572" t="s">
        <v>8</v>
      </c>
      <c r="U36" s="1573" t="e">
        <f t="shared" si="13"/>
        <v>#N/A</v>
      </c>
      <c r="V36" s="1572" t="s">
        <v>8</v>
      </c>
      <c r="W36" s="1573" t="e">
        <f t="shared" si="14"/>
        <v>#N/A</v>
      </c>
      <c r="X36" s="1566"/>
      <c r="Y36" s="3450"/>
      <c r="Z36" s="1574" t="str">
        <f t="shared" si="15"/>
        <v>成新度</v>
      </c>
      <c r="AA36" s="1575" t="e">
        <f t="shared" si="3"/>
        <v>#N/A</v>
      </c>
      <c r="AB36" s="1575" t="e">
        <f t="shared" si="4"/>
        <v>#N/A</v>
      </c>
      <c r="AC36" s="1575" t="e">
        <f t="shared" si="5"/>
        <v>#N/A</v>
      </c>
    </row>
    <row r="37" spans="1:29" s="1219"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50"/>
      <c r="Q37" s="1150" t="str">
        <f t="shared" si="11"/>
        <v>市政基础设施</v>
      </c>
      <c r="R37" s="1567" t="s">
        <v>8</v>
      </c>
      <c r="S37" s="1568">
        <f t="shared" si="12"/>
        <v>100</v>
      </c>
      <c r="T37" s="1567" t="s">
        <v>8</v>
      </c>
      <c r="U37" s="1568">
        <f t="shared" si="13"/>
        <v>100</v>
      </c>
      <c r="V37" s="1567" t="s">
        <v>8</v>
      </c>
      <c r="W37" s="1568">
        <f t="shared" si="14"/>
        <v>100</v>
      </c>
      <c r="X37" s="1569"/>
      <c r="Y37" s="3450"/>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50" t="s">
        <v>766</v>
      </c>
      <c r="Q38" s="1571" t="str">
        <f t="shared" si="11"/>
        <v>业态</v>
      </c>
      <c r="R38" s="1572" t="s">
        <v>8</v>
      </c>
      <c r="S38" s="1573">
        <f t="shared" si="12"/>
        <v>100</v>
      </c>
      <c r="T38" s="1572" t="s">
        <v>8</v>
      </c>
      <c r="U38" s="1573">
        <f t="shared" si="13"/>
        <v>100</v>
      </c>
      <c r="V38" s="1572" t="s">
        <v>8</v>
      </c>
      <c r="W38" s="1573">
        <f t="shared" si="14"/>
        <v>100</v>
      </c>
      <c r="X38" s="1566"/>
      <c r="Y38" s="3450"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50"/>
      <c r="Q39" s="1571" t="str">
        <f t="shared" si="11"/>
        <v>层高</v>
      </c>
      <c r="R39" s="1572" t="s">
        <v>8</v>
      </c>
      <c r="S39" s="1573">
        <f t="shared" si="12"/>
        <v>100</v>
      </c>
      <c r="T39" s="1572" t="s">
        <v>8</v>
      </c>
      <c r="U39" s="1573">
        <f t="shared" si="13"/>
        <v>100</v>
      </c>
      <c r="V39" s="1572" t="s">
        <v>8</v>
      </c>
      <c r="W39" s="1573">
        <f t="shared" si="14"/>
        <v>100</v>
      </c>
      <c r="X39" s="1566"/>
      <c r="Y39" s="3450"/>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50"/>
      <c r="Q40" s="1571" t="str">
        <f t="shared" si="11"/>
        <v>单套建筑面积</v>
      </c>
      <c r="R40" s="1572" t="s">
        <v>8</v>
      </c>
      <c r="S40" s="1573">
        <f t="shared" si="12"/>
        <v>100</v>
      </c>
      <c r="T40" s="1572" t="s">
        <v>8</v>
      </c>
      <c r="U40" s="1573">
        <f t="shared" si="13"/>
        <v>100</v>
      </c>
      <c r="V40" s="1572" t="s">
        <v>8</v>
      </c>
      <c r="W40" s="1573">
        <f t="shared" si="14"/>
        <v>100</v>
      </c>
      <c r="X40" s="1566"/>
      <c r="Y40" s="3450"/>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50"/>
      <c r="Q41" s="1604" t="str">
        <f t="shared" si="11"/>
        <v>进深比</v>
      </c>
      <c r="R41" s="1576" t="s">
        <v>8</v>
      </c>
      <c r="S41" s="1577">
        <f t="shared" si="12"/>
        <v>100</v>
      </c>
      <c r="T41" s="1576" t="s">
        <v>8</v>
      </c>
      <c r="U41" s="1577">
        <f t="shared" si="13"/>
        <v>100</v>
      </c>
      <c r="V41" s="1576" t="s">
        <v>8</v>
      </c>
      <c r="W41" s="1577">
        <f t="shared" si="14"/>
        <v>100</v>
      </c>
      <c r="X41" s="1578"/>
      <c r="Y41" s="3450"/>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50"/>
      <c r="Q42" s="1571" t="str">
        <f t="shared" si="11"/>
        <v>内部装修</v>
      </c>
      <c r="R42" s="1572" t="s">
        <v>8</v>
      </c>
      <c r="S42" s="1573">
        <f t="shared" si="12"/>
        <v>100</v>
      </c>
      <c r="T42" s="1572" t="s">
        <v>8</v>
      </c>
      <c r="U42" s="1573">
        <f t="shared" si="13"/>
        <v>100</v>
      </c>
      <c r="V42" s="1572" t="s">
        <v>8</v>
      </c>
      <c r="W42" s="1573">
        <f t="shared" si="14"/>
        <v>100</v>
      </c>
      <c r="X42" s="1566"/>
      <c r="Y42" s="3450"/>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50"/>
      <c r="Q43" s="1571" t="str">
        <f t="shared" si="11"/>
        <v>内部装修维护情况</v>
      </c>
      <c r="R43" s="1572" t="s">
        <v>8</v>
      </c>
      <c r="S43" s="1573">
        <f t="shared" si="12"/>
        <v>100</v>
      </c>
      <c r="T43" s="1572" t="s">
        <v>8</v>
      </c>
      <c r="U43" s="1573">
        <f t="shared" si="13"/>
        <v>100</v>
      </c>
      <c r="V43" s="1572" t="s">
        <v>8</v>
      </c>
      <c r="W43" s="1573">
        <f t="shared" si="14"/>
        <v>100</v>
      </c>
      <c r="X43" s="1566"/>
      <c r="Y43" s="3450"/>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50"/>
      <c r="Q44" s="1150">
        <f t="shared" si="11"/>
        <v>111</v>
      </c>
      <c r="R44" s="1567" t="s">
        <v>8</v>
      </c>
      <c r="S44" s="1568">
        <f t="shared" si="12"/>
        <v>100</v>
      </c>
      <c r="T44" s="1567" t="s">
        <v>8</v>
      </c>
      <c r="U44" s="1568">
        <f t="shared" si="13"/>
        <v>100</v>
      </c>
      <c r="V44" s="1567" t="s">
        <v>8</v>
      </c>
      <c r="W44" s="1568">
        <f t="shared" si="14"/>
        <v>100</v>
      </c>
      <c r="X44" s="1569"/>
      <c r="Y44" s="3450"/>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50"/>
      <c r="Q45" s="1571">
        <f t="shared" si="11"/>
        <v>111</v>
      </c>
      <c r="R45" s="1572" t="s">
        <v>8</v>
      </c>
      <c r="S45" s="1573">
        <f t="shared" si="12"/>
        <v>100</v>
      </c>
      <c r="T45" s="1572" t="s">
        <v>8</v>
      </c>
      <c r="U45" s="1573">
        <f t="shared" si="13"/>
        <v>100</v>
      </c>
      <c r="V45" s="1572" t="s">
        <v>8</v>
      </c>
      <c r="W45" s="1573">
        <f t="shared" si="14"/>
        <v>100</v>
      </c>
      <c r="X45" s="1566"/>
      <c r="Y45" s="3450"/>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27"/>
      <c r="Q46" s="1571">
        <f t="shared" si="11"/>
        <v>111</v>
      </c>
      <c r="R46" s="1572" t="s">
        <v>8</v>
      </c>
      <c r="S46" s="1573">
        <f t="shared" si="12"/>
        <v>100</v>
      </c>
      <c r="T46" s="1572" t="s">
        <v>8</v>
      </c>
      <c r="U46" s="1573">
        <f t="shared" si="13"/>
        <v>100</v>
      </c>
      <c r="V46" s="1572" t="s">
        <v>8</v>
      </c>
      <c r="W46" s="1573">
        <f t="shared" si="14"/>
        <v>100</v>
      </c>
      <c r="X46" s="1566"/>
      <c r="Y46" s="3527"/>
      <c r="Z46" s="1574">
        <f t="shared" si="15"/>
        <v>111</v>
      </c>
      <c r="AA46" s="1575">
        <f t="shared" si="3"/>
        <v>1</v>
      </c>
      <c r="AB46" s="1575">
        <f t="shared" si="4"/>
        <v>1</v>
      </c>
      <c r="AC46" s="1575">
        <f t="shared" si="5"/>
        <v>1</v>
      </c>
    </row>
    <row r="47" spans="1:29" ht="15">
      <c r="A47" s="606" t="s">
        <v>736</v>
      </c>
      <c r="B47" s="886"/>
      <c r="C47" s="2650" t="s">
        <v>1</v>
      </c>
      <c r="D47" s="2651"/>
      <c r="E47" s="2652"/>
      <c r="F47" s="2653"/>
      <c r="G47" s="2654"/>
      <c r="H47" s="2655"/>
      <c r="I47" s="2652"/>
      <c r="J47" s="2655"/>
      <c r="K47" s="1610"/>
      <c r="L47" s="2143"/>
      <c r="M47" s="2144"/>
      <c r="N47" s="2133"/>
      <c r="O47" s="2144"/>
      <c r="P47" s="3412" t="str">
        <f>A47</f>
        <v>成交单价（元/平方米）</v>
      </c>
      <c r="Q47" s="3412"/>
      <c r="R47" s="3526">
        <f>E47</f>
        <v>0</v>
      </c>
      <c r="S47" s="3526"/>
      <c r="T47" s="3526">
        <f>G47</f>
        <v>0</v>
      </c>
      <c r="U47" s="3526"/>
      <c r="V47" s="3526">
        <f>I47</f>
        <v>0</v>
      </c>
      <c r="W47" s="3526"/>
      <c r="X47" s="1558"/>
      <c r="Y47" s="1580"/>
      <c r="Z47" s="1558"/>
      <c r="AA47" s="1558"/>
      <c r="AB47" s="1558"/>
      <c r="AC47" s="1558"/>
    </row>
    <row r="48" spans="1:29" ht="15.75" thickBot="1">
      <c r="A48" s="614" t="s">
        <v>2761</v>
      </c>
      <c r="B48" s="887"/>
      <c r="C48" s="2656" t="e">
        <f>R49</f>
        <v>#DIV/0!</v>
      </c>
      <c r="D48" s="2657"/>
      <c r="E48" s="2658" t="e">
        <f>R48</f>
        <v>#DIV/0!</v>
      </c>
      <c r="F48" s="2658"/>
      <c r="G48" s="2656" t="e">
        <f>T48</f>
        <v>#DIV/0!</v>
      </c>
      <c r="H48" s="2657"/>
      <c r="I48" s="2658" t="e">
        <f>V48</f>
        <v>#DIV/0!</v>
      </c>
      <c r="J48" s="2657"/>
      <c r="K48" s="1611"/>
      <c r="L48" s="2143"/>
      <c r="M48" s="2144"/>
      <c r="N48" s="2133"/>
      <c r="O48" s="2144"/>
      <c r="P48" s="3412" t="str">
        <f>A48</f>
        <v>比较价格（元/平方米）</v>
      </c>
      <c r="Q48" s="3412"/>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58"/>
      <c r="Y48" s="1558"/>
      <c r="Z48" s="1558"/>
      <c r="AA48" s="1558"/>
      <c r="AB48" s="1558"/>
      <c r="AC48" s="1558"/>
    </row>
    <row r="49" spans="1:29" ht="15.75" thickBot="1">
      <c r="A49" s="620" t="s">
        <v>2924</v>
      </c>
      <c r="B49" s="621"/>
      <c r="C49" s="2659" t="e">
        <f>R49</f>
        <v>#DIV/0!</v>
      </c>
      <c r="D49" s="2659"/>
      <c r="E49" s="2659"/>
      <c r="F49" s="2659"/>
      <c r="G49" s="2659"/>
      <c r="H49" s="2659"/>
      <c r="I49" s="2659"/>
      <c r="J49" s="2659"/>
      <c r="K49" s="1612"/>
      <c r="L49" s="2143"/>
      <c r="M49" s="2144"/>
      <c r="N49" s="2133"/>
      <c r="O49" s="2144"/>
      <c r="P49" s="3409" t="str">
        <f>A49</f>
        <v>估价对象XX用房的比较价格（楼面单价，元/平方米）</v>
      </c>
      <c r="Q49" s="3410"/>
      <c r="R49" s="3525" t="e">
        <f>IF(F1="售价",ROUND(AVERAGE(R48:V48),0),ROUND(AVERAGE(R48:V48),1))</f>
        <v>#DIV/0!</v>
      </c>
      <c r="S49" s="3525"/>
      <c r="T49" s="3525"/>
      <c r="U49" s="3525"/>
      <c r="V49" s="3525"/>
      <c r="W49" s="352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529</v>
      </c>
      <c r="B58" s="645"/>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2559</v>
      </c>
      <c r="C82" s="2621" t="s">
        <v>2560</v>
      </c>
      <c r="D82" s="2621" t="s">
        <v>2561</v>
      </c>
      <c r="E82" s="2621" t="s">
        <v>2562</v>
      </c>
      <c r="F82" s="2621" t="s">
        <v>2563</v>
      </c>
      <c r="G82" s="2621" t="s">
        <v>2564</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771</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0"/>
      <c r="G1" s="1600" t="s">
        <v>721</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521</v>
      </c>
      <c r="B4" s="512"/>
      <c r="C4" s="3418" t="s">
        <v>522</v>
      </c>
      <c r="D4" s="3419"/>
      <c r="E4" s="3453" t="s">
        <v>523</v>
      </c>
      <c r="F4" s="3454"/>
      <c r="G4" s="3418" t="s">
        <v>524</v>
      </c>
      <c r="H4" s="3419"/>
      <c r="I4" s="3418" t="s">
        <v>525</v>
      </c>
      <c r="J4" s="3419"/>
      <c r="K4" s="513" t="s">
        <v>526</v>
      </c>
      <c r="L4" s="2132"/>
      <c r="M4" s="2133"/>
      <c r="N4" s="2133"/>
      <c r="O4" s="2133"/>
      <c r="P4" s="3538" t="s">
        <v>527</v>
      </c>
      <c r="Q4" s="3421"/>
      <c r="R4" s="3426" t="s">
        <v>523</v>
      </c>
      <c r="S4" s="3427"/>
      <c r="T4" s="3426" t="s">
        <v>524</v>
      </c>
      <c r="U4" s="3427"/>
      <c r="V4" s="3413" t="s">
        <v>525</v>
      </c>
      <c r="W4" s="3413"/>
      <c r="X4" s="1566"/>
      <c r="Y4" s="3426" t="s">
        <v>527</v>
      </c>
      <c r="Z4" s="3427"/>
      <c r="AA4" s="3415" t="s">
        <v>523</v>
      </c>
      <c r="AB4" s="3415" t="s">
        <v>524</v>
      </c>
      <c r="AC4" s="3415" t="s">
        <v>525</v>
      </c>
    </row>
    <row r="5" spans="1:29" ht="15">
      <c r="A5" s="514"/>
      <c r="B5" s="515"/>
      <c r="C5" s="3531" t="s">
        <v>2919</v>
      </c>
      <c r="D5" s="3532"/>
      <c r="E5" s="3535" t="s">
        <v>2920</v>
      </c>
      <c r="F5" s="3536"/>
      <c r="G5" s="3531" t="s">
        <v>2921</v>
      </c>
      <c r="H5" s="3532"/>
      <c r="I5" s="3531" t="s">
        <v>2922</v>
      </c>
      <c r="J5" s="3532"/>
      <c r="K5" s="513"/>
      <c r="L5" s="2132"/>
      <c r="M5" s="2133"/>
      <c r="N5" s="2133"/>
      <c r="O5" s="2133"/>
      <c r="P5" s="3539"/>
      <c r="Q5" s="3423"/>
      <c r="R5" s="3428"/>
      <c r="S5" s="3429"/>
      <c r="T5" s="3428"/>
      <c r="U5" s="3429"/>
      <c r="V5" s="3413"/>
      <c r="W5" s="3413"/>
      <c r="X5" s="1566"/>
      <c r="Y5" s="3428"/>
      <c r="Z5" s="3429"/>
      <c r="AA5" s="3416"/>
      <c r="AB5" s="3416"/>
      <c r="AC5" s="3416"/>
    </row>
    <row r="6" spans="1:29" ht="15.75" thickBot="1">
      <c r="A6" s="516"/>
      <c r="B6" s="517"/>
      <c r="C6" s="3529" t="s">
        <v>2923</v>
      </c>
      <c r="D6" s="3530"/>
      <c r="E6" s="3533" t="s">
        <v>2923</v>
      </c>
      <c r="F6" s="3534"/>
      <c r="G6" s="3529" t="s">
        <v>2923</v>
      </c>
      <c r="H6" s="3530"/>
      <c r="I6" s="3529" t="s">
        <v>2923</v>
      </c>
      <c r="J6" s="3530"/>
      <c r="K6" s="513" t="s">
        <v>528</v>
      </c>
      <c r="L6" s="2132"/>
      <c r="M6" s="2133"/>
      <c r="N6" s="2133"/>
      <c r="O6" s="2133"/>
      <c r="P6" s="3540"/>
      <c r="Q6" s="3425"/>
      <c r="R6" s="3428"/>
      <c r="S6" s="3429"/>
      <c r="T6" s="3430"/>
      <c r="U6" s="3431"/>
      <c r="V6" s="3413"/>
      <c r="W6" s="3413"/>
      <c r="X6" s="1566"/>
      <c r="Y6" s="3430"/>
      <c r="Z6" s="3431"/>
      <c r="AA6" s="3417"/>
      <c r="AB6" s="3417"/>
      <c r="AC6" s="3417"/>
    </row>
    <row r="7" spans="1:29" s="1219" customFormat="1" ht="15.75" thickBot="1">
      <c r="A7" s="2935"/>
      <c r="B7" s="2942" t="s">
        <v>529</v>
      </c>
      <c r="C7" s="518">
        <f>'数据-取费表'!B2</f>
        <v>43244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46" t="s">
        <v>530</v>
      </c>
      <c r="Q7" s="3446"/>
      <c r="R7" s="1567" t="s">
        <v>8</v>
      </c>
      <c r="S7" s="1568">
        <f t="shared" ref="S7:S15" si="0">F7</f>
        <v>0</v>
      </c>
      <c r="T7" s="1567" t="s">
        <v>8</v>
      </c>
      <c r="U7" s="1568">
        <f t="shared" ref="U7:U15" si="1">H7</f>
        <v>0</v>
      </c>
      <c r="V7" s="1567" t="s">
        <v>8</v>
      </c>
      <c r="W7" s="1568">
        <f t="shared" ref="W7:W15" si="2">J7</f>
        <v>0</v>
      </c>
      <c r="X7" s="1569"/>
      <c r="Y7" s="3444" t="s">
        <v>530</v>
      </c>
      <c r="Z7" s="3445"/>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46" t="s">
        <v>533</v>
      </c>
      <c r="Q8" s="3445"/>
      <c r="R8" s="1567" t="s">
        <v>8</v>
      </c>
      <c r="S8" s="1568">
        <f t="shared" si="0"/>
        <v>0</v>
      </c>
      <c r="T8" s="1567" t="s">
        <v>8</v>
      </c>
      <c r="U8" s="1568">
        <f t="shared" si="1"/>
        <v>0</v>
      </c>
      <c r="V8" s="1567" t="s">
        <v>8</v>
      </c>
      <c r="W8" s="1568">
        <f t="shared" si="2"/>
        <v>0</v>
      </c>
      <c r="X8" s="1569"/>
      <c r="Y8" s="3444" t="s">
        <v>533</v>
      </c>
      <c r="Z8" s="3445"/>
      <c r="AA8" s="1570" t="e">
        <f t="shared" ref="AA8:AA47" si="3">D8/F8</f>
        <v>#DIV/0!</v>
      </c>
      <c r="AB8" s="1570" t="e">
        <f t="shared" ref="AB8:AB47" si="4">D8/H8</f>
        <v>#DIV/0!</v>
      </c>
      <c r="AC8" s="1570" t="e">
        <f t="shared" ref="AC8:AC47" si="5">D8/J8</f>
        <v>#DIV/0!</v>
      </c>
    </row>
    <row r="9" spans="1:29" s="1219" customFormat="1" ht="15">
      <c r="A9" s="2937"/>
      <c r="B9" s="2944"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12" t="s">
        <v>535</v>
      </c>
      <c r="Q9" s="1150" t="str">
        <f t="shared" ref="Q9:Q15" si="6">B9</f>
        <v>用途</v>
      </c>
      <c r="R9" s="1567" t="s">
        <v>8</v>
      </c>
      <c r="S9" s="1568">
        <f t="shared" si="0"/>
        <v>100</v>
      </c>
      <c r="T9" s="1567" t="s">
        <v>8</v>
      </c>
      <c r="U9" s="1568">
        <f t="shared" si="1"/>
        <v>100</v>
      </c>
      <c r="V9" s="1567" t="s">
        <v>8</v>
      </c>
      <c r="W9" s="1568">
        <f t="shared" si="2"/>
        <v>100</v>
      </c>
      <c r="X9" s="1569"/>
      <c r="Y9" s="3358" t="s">
        <v>536</v>
      </c>
      <c r="Z9" s="1149" t="str">
        <f t="shared" ref="Z9:Z15" si="7">Q9</f>
        <v>用途</v>
      </c>
      <c r="AA9" s="1570">
        <f t="shared" si="3"/>
        <v>1</v>
      </c>
      <c r="AB9" s="1570">
        <f t="shared" si="4"/>
        <v>1</v>
      </c>
      <c r="AC9" s="1570">
        <f t="shared" si="5"/>
        <v>1</v>
      </c>
    </row>
    <row r="10" spans="1:29" s="1337" customFormat="1" ht="27">
      <c r="A10" s="2938"/>
      <c r="B10" s="2943"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12"/>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39"/>
      <c r="B11" s="2943"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12"/>
      <c r="Q11" s="1150" t="str">
        <f t="shared" si="6"/>
        <v>容积率</v>
      </c>
      <c r="R11" s="1567" t="s">
        <v>8</v>
      </c>
      <c r="S11" s="1568" t="e">
        <f t="shared" si="0"/>
        <v>#N/A</v>
      </c>
      <c r="T11" s="1567" t="s">
        <v>8</v>
      </c>
      <c r="U11" s="1568" t="e">
        <f t="shared" si="1"/>
        <v>#N/A</v>
      </c>
      <c r="V11" s="1567" t="s">
        <v>8</v>
      </c>
      <c r="W11" s="1568" t="e">
        <f t="shared" si="2"/>
        <v>#N/A</v>
      </c>
      <c r="X11" s="1569"/>
      <c r="Y11" s="335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412"/>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412"/>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412"/>
      <c r="Q14" s="1150">
        <f t="shared" si="6"/>
        <v>111</v>
      </c>
      <c r="R14" s="1567" t="s">
        <v>8</v>
      </c>
      <c r="S14" s="1568">
        <f t="shared" si="0"/>
        <v>100</v>
      </c>
      <c r="T14" s="1567" t="s">
        <v>8</v>
      </c>
      <c r="U14" s="1568">
        <f t="shared" si="1"/>
        <v>100</v>
      </c>
      <c r="V14" s="1567" t="s">
        <v>8</v>
      </c>
      <c r="W14" s="1568">
        <f t="shared" si="2"/>
        <v>100</v>
      </c>
      <c r="X14" s="1569"/>
      <c r="Y14" s="3358"/>
      <c r="Z14" s="1149">
        <f t="shared" si="7"/>
        <v>111</v>
      </c>
      <c r="AA14" s="1570">
        <f t="shared" si="3"/>
        <v>1</v>
      </c>
      <c r="AB14" s="1570">
        <f t="shared" si="4"/>
        <v>1</v>
      </c>
      <c r="AC14" s="1570">
        <f t="shared" si="5"/>
        <v>1</v>
      </c>
    </row>
    <row r="15" spans="1:29" ht="15">
      <c r="A15" s="2933" t="s">
        <v>2755</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47" t="s">
        <v>540</v>
      </c>
      <c r="Q15" s="1571" t="str">
        <f t="shared" si="6"/>
        <v>办公集聚程度</v>
      </c>
      <c r="R15" s="1572" t="s">
        <v>8</v>
      </c>
      <c r="S15" s="1573">
        <f t="shared" si="0"/>
        <v>100</v>
      </c>
      <c r="T15" s="1572" t="s">
        <v>8</v>
      </c>
      <c r="U15" s="1573">
        <f t="shared" si="1"/>
        <v>100</v>
      </c>
      <c r="V15" s="1572" t="s">
        <v>8</v>
      </c>
      <c r="W15" s="1573">
        <f t="shared" si="2"/>
        <v>100</v>
      </c>
      <c r="X15" s="1566"/>
      <c r="Y15" s="3447"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448"/>
      <c r="Q16" s="1571"/>
      <c r="R16" s="1572"/>
      <c r="S16" s="1573"/>
      <c r="T16" s="1572"/>
      <c r="U16" s="1573"/>
      <c r="V16" s="1572"/>
      <c r="W16" s="1573"/>
      <c r="X16" s="1566"/>
      <c r="Y16" s="3448"/>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48"/>
      <c r="Q17" s="1571" t="str">
        <f>B17</f>
        <v>交通便捷度</v>
      </c>
      <c r="R17" s="1572" t="s">
        <v>8</v>
      </c>
      <c r="S17" s="1573">
        <f>F17</f>
        <v>100</v>
      </c>
      <c r="T17" s="1572" t="s">
        <v>8</v>
      </c>
      <c r="U17" s="1573">
        <f>H17</f>
        <v>100</v>
      </c>
      <c r="V17" s="1572" t="s">
        <v>8</v>
      </c>
      <c r="W17" s="1573">
        <f>J17</f>
        <v>100</v>
      </c>
      <c r="X17" s="1566"/>
      <c r="Y17" s="3448"/>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448"/>
      <c r="Q18" s="1571"/>
      <c r="R18" s="1572"/>
      <c r="S18" s="1573"/>
      <c r="T18" s="1572"/>
      <c r="U18" s="1573"/>
      <c r="V18" s="1572"/>
      <c r="W18" s="1573"/>
      <c r="X18" s="1566"/>
      <c r="Y18" s="3448"/>
      <c r="Z18" s="1574"/>
      <c r="AA18" s="1575">
        <v>1</v>
      </c>
      <c r="AB18" s="1575">
        <v>1</v>
      </c>
      <c r="AC18" s="1575">
        <v>1</v>
      </c>
    </row>
    <row r="19" spans="1:29" ht="15">
      <c r="A19" s="531"/>
      <c r="B19" s="2626" t="s">
        <v>2547</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48"/>
      <c r="Q19" s="1571" t="str">
        <f>B19</f>
        <v>公共配套设施</v>
      </c>
      <c r="R19" s="1572" t="s">
        <v>8</v>
      </c>
      <c r="S19" s="1573">
        <f>F19</f>
        <v>100</v>
      </c>
      <c r="T19" s="1572" t="s">
        <v>8</v>
      </c>
      <c r="U19" s="1573">
        <f>H19</f>
        <v>100</v>
      </c>
      <c r="V19" s="1572" t="s">
        <v>8</v>
      </c>
      <c r="W19" s="1573">
        <f>J19</f>
        <v>100</v>
      </c>
      <c r="X19" s="1566"/>
      <c r="Y19" s="3448"/>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448"/>
      <c r="Q20" s="1571"/>
      <c r="R20" s="1572"/>
      <c r="S20" s="1573"/>
      <c r="T20" s="1572"/>
      <c r="U20" s="1573"/>
      <c r="V20" s="1572"/>
      <c r="W20" s="1573"/>
      <c r="X20" s="1566"/>
      <c r="Y20" s="3448"/>
      <c r="Z20" s="1574"/>
      <c r="AA20" s="1575">
        <v>1</v>
      </c>
      <c r="AB20" s="1575">
        <v>1</v>
      </c>
      <c r="AC20" s="1575">
        <v>1</v>
      </c>
    </row>
    <row r="21" spans="1:29" ht="15">
      <c r="A21" s="531"/>
      <c r="B21" s="2614" t="s">
        <v>2559</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48"/>
      <c r="Q21" s="2602" t="str">
        <f>B21</f>
        <v>基础设施水平</v>
      </c>
      <c r="R21" s="1572" t="s">
        <v>8</v>
      </c>
      <c r="S21" s="1573">
        <f>F21</f>
        <v>100</v>
      </c>
      <c r="T21" s="1572" t="s">
        <v>8</v>
      </c>
      <c r="U21" s="1573">
        <f>H21</f>
        <v>100</v>
      </c>
      <c r="V21" s="1572" t="s">
        <v>8</v>
      </c>
      <c r="W21" s="1573">
        <f>J21</f>
        <v>100</v>
      </c>
      <c r="X21" s="2604"/>
      <c r="Y21" s="3448"/>
      <c r="Z21" s="260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5"/>
      <c r="L22" s="2141"/>
      <c r="M22" s="2133"/>
      <c r="N22" s="2133"/>
      <c r="O22" s="2133"/>
      <c r="P22" s="3448"/>
      <c r="Q22" s="2602"/>
      <c r="R22" s="1572"/>
      <c r="S22" s="1573"/>
      <c r="T22" s="1572"/>
      <c r="U22" s="1573"/>
      <c r="V22" s="1572"/>
      <c r="W22" s="1573"/>
      <c r="X22" s="2604"/>
      <c r="Y22" s="3448"/>
      <c r="Z22" s="2603"/>
      <c r="AA22" s="1575">
        <v>1</v>
      </c>
      <c r="AB22" s="1575">
        <v>1</v>
      </c>
      <c r="AC22" s="1575">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48"/>
      <c r="Q23" s="1571" t="str">
        <f>B23</f>
        <v>环境质量</v>
      </c>
      <c r="R23" s="1572" t="s">
        <v>8</v>
      </c>
      <c r="S23" s="1573">
        <f>F23</f>
        <v>100</v>
      </c>
      <c r="T23" s="1572" t="s">
        <v>8</v>
      </c>
      <c r="U23" s="1573">
        <f>H23</f>
        <v>100</v>
      </c>
      <c r="V23" s="1572" t="s">
        <v>8</v>
      </c>
      <c r="W23" s="1573">
        <f>J23</f>
        <v>100</v>
      </c>
      <c r="X23" s="1566"/>
      <c r="Y23" s="3448"/>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448"/>
      <c r="Q24" s="1571"/>
      <c r="R24" s="1572"/>
      <c r="S24" s="1573"/>
      <c r="T24" s="1572"/>
      <c r="U24" s="1573"/>
      <c r="V24" s="1572"/>
      <c r="W24" s="1573"/>
      <c r="X24" s="1566"/>
      <c r="Y24" s="3448"/>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48"/>
      <c r="Q25" s="1571" t="str">
        <f>B25</f>
        <v>毗邻道路的类型与等级</v>
      </c>
      <c r="R25" s="1572" t="s">
        <v>8</v>
      </c>
      <c r="S25" s="1573">
        <f>F25</f>
        <v>100</v>
      </c>
      <c r="T25" s="1572" t="s">
        <v>8</v>
      </c>
      <c r="U25" s="1573">
        <f>H25</f>
        <v>100</v>
      </c>
      <c r="V25" s="1572" t="s">
        <v>8</v>
      </c>
      <c r="W25" s="1573">
        <f>J25</f>
        <v>100</v>
      </c>
      <c r="X25" s="1566"/>
      <c r="Y25" s="3448"/>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448"/>
      <c r="Q26" s="1571"/>
      <c r="R26" s="1572"/>
      <c r="S26" s="1573"/>
      <c r="T26" s="1572"/>
      <c r="U26" s="1573"/>
      <c r="V26" s="1572"/>
      <c r="W26" s="1573"/>
      <c r="X26" s="1566"/>
      <c r="Y26" s="3448"/>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48"/>
      <c r="Q27" s="1571" t="str">
        <f t="shared" ref="Q27:Q47" si="11">B27</f>
        <v>楼层</v>
      </c>
      <c r="R27" s="1572" t="s">
        <v>8</v>
      </c>
      <c r="S27" s="1573">
        <f>F27</f>
        <v>100</v>
      </c>
      <c r="T27" s="1572" t="s">
        <v>8</v>
      </c>
      <c r="U27" s="1573">
        <f>H27</f>
        <v>100</v>
      </c>
      <c r="V27" s="1572" t="s">
        <v>8</v>
      </c>
      <c r="W27" s="1573">
        <f>J27</f>
        <v>100</v>
      </c>
      <c r="X27" s="1566"/>
      <c r="Y27" s="3448"/>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48"/>
      <c r="Q28" s="1150" t="str">
        <f t="shared" si="11"/>
        <v>朝向</v>
      </c>
      <c r="R28" s="1567" t="s">
        <v>8</v>
      </c>
      <c r="S28" s="1568">
        <f>F28</f>
        <v>100</v>
      </c>
      <c r="T28" s="1567" t="s">
        <v>8</v>
      </c>
      <c r="U28" s="1568">
        <f>H28</f>
        <v>100</v>
      </c>
      <c r="V28" s="1567" t="s">
        <v>8</v>
      </c>
      <c r="W28" s="1568">
        <f>J28</f>
        <v>100</v>
      </c>
      <c r="X28" s="1569"/>
      <c r="Y28" s="3448"/>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48"/>
      <c r="Q29" s="1571">
        <f t="shared" si="11"/>
        <v>111</v>
      </c>
      <c r="R29" s="1572" t="s">
        <v>8</v>
      </c>
      <c r="S29" s="1573">
        <f t="shared" ref="S29:S47" si="12">F29</f>
        <v>100</v>
      </c>
      <c r="T29" s="1572" t="s">
        <v>8</v>
      </c>
      <c r="U29" s="1573">
        <f t="shared" ref="U29:U47" si="13">H29</f>
        <v>100</v>
      </c>
      <c r="V29" s="1572" t="s">
        <v>8</v>
      </c>
      <c r="W29" s="1573">
        <f t="shared" ref="W29:W47" si="14">J29</f>
        <v>100</v>
      </c>
      <c r="X29" s="1566"/>
      <c r="Y29" s="3448"/>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48"/>
      <c r="Q30" s="1571">
        <f t="shared" si="11"/>
        <v>111</v>
      </c>
      <c r="R30" s="1572" t="s">
        <v>8</v>
      </c>
      <c r="S30" s="1573">
        <f t="shared" si="12"/>
        <v>100</v>
      </c>
      <c r="T30" s="1572" t="s">
        <v>8</v>
      </c>
      <c r="U30" s="1573">
        <f t="shared" si="13"/>
        <v>100</v>
      </c>
      <c r="V30" s="1572" t="s">
        <v>8</v>
      </c>
      <c r="W30" s="1573">
        <f t="shared" si="14"/>
        <v>100</v>
      </c>
      <c r="X30" s="1566"/>
      <c r="Y30" s="3448"/>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48"/>
      <c r="Q31" s="1571">
        <f t="shared" si="11"/>
        <v>111</v>
      </c>
      <c r="R31" s="1572" t="s">
        <v>8</v>
      </c>
      <c r="S31" s="1573">
        <f t="shared" si="12"/>
        <v>100</v>
      </c>
      <c r="T31" s="1572" t="s">
        <v>8</v>
      </c>
      <c r="U31" s="1573">
        <f t="shared" si="13"/>
        <v>100</v>
      </c>
      <c r="V31" s="1572" t="s">
        <v>8</v>
      </c>
      <c r="W31" s="1573">
        <f t="shared" si="14"/>
        <v>100</v>
      </c>
      <c r="X31" s="1566"/>
      <c r="Y31" s="3448"/>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48"/>
      <c r="Q32" s="1571">
        <f t="shared" si="11"/>
        <v>111</v>
      </c>
      <c r="R32" s="1572" t="s">
        <v>8</v>
      </c>
      <c r="S32" s="1573">
        <f t="shared" si="12"/>
        <v>100</v>
      </c>
      <c r="T32" s="1572" t="s">
        <v>8</v>
      </c>
      <c r="U32" s="1573">
        <f t="shared" si="13"/>
        <v>100</v>
      </c>
      <c r="V32" s="1572" t="s">
        <v>8</v>
      </c>
      <c r="W32" s="1573">
        <f t="shared" si="14"/>
        <v>100</v>
      </c>
      <c r="X32" s="1566"/>
      <c r="Y32" s="3448"/>
      <c r="Z32" s="1574">
        <f t="shared" si="15"/>
        <v>111</v>
      </c>
      <c r="AA32" s="1575">
        <f t="shared" si="3"/>
        <v>1</v>
      </c>
      <c r="AB32" s="1575">
        <f t="shared" si="4"/>
        <v>1</v>
      </c>
      <c r="AC32" s="1575">
        <f t="shared" si="5"/>
        <v>1</v>
      </c>
    </row>
    <row r="33" spans="1:29" ht="15">
      <c r="A33" s="2930"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49" t="s">
        <v>550</v>
      </c>
      <c r="Q33" s="1571" t="str">
        <f t="shared" si="11"/>
        <v>建筑类型</v>
      </c>
      <c r="R33" s="1572" t="s">
        <v>8</v>
      </c>
      <c r="S33" s="1573">
        <f t="shared" si="12"/>
        <v>100</v>
      </c>
      <c r="T33" s="1572" t="s">
        <v>8</v>
      </c>
      <c r="U33" s="1573">
        <f t="shared" si="13"/>
        <v>100</v>
      </c>
      <c r="V33" s="1572" t="s">
        <v>8</v>
      </c>
      <c r="W33" s="1573">
        <f t="shared" si="14"/>
        <v>100</v>
      </c>
      <c r="X33" s="1566"/>
      <c r="Y33" s="3450"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50"/>
      <c r="Q34" s="1604" t="str">
        <f t="shared" si="11"/>
        <v>项目建筑规模</v>
      </c>
      <c r="R34" s="1576" t="s">
        <v>8</v>
      </c>
      <c r="S34" s="1577" t="e">
        <f t="shared" si="12"/>
        <v>#N/A</v>
      </c>
      <c r="T34" s="1576" t="s">
        <v>8</v>
      </c>
      <c r="U34" s="1577" t="e">
        <f t="shared" si="13"/>
        <v>#N/A</v>
      </c>
      <c r="V34" s="1576" t="s">
        <v>8</v>
      </c>
      <c r="W34" s="1577" t="e">
        <f t="shared" si="14"/>
        <v>#N/A</v>
      </c>
      <c r="X34" s="1578"/>
      <c r="Y34" s="3450"/>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50"/>
      <c r="Q35" s="1571" t="str">
        <f t="shared" si="11"/>
        <v>建筑结构</v>
      </c>
      <c r="R35" s="1572" t="s">
        <v>8</v>
      </c>
      <c r="S35" s="1573">
        <f t="shared" si="12"/>
        <v>100</v>
      </c>
      <c r="T35" s="1572" t="s">
        <v>8</v>
      </c>
      <c r="U35" s="1573">
        <f t="shared" si="13"/>
        <v>100</v>
      </c>
      <c r="V35" s="1572" t="s">
        <v>8</v>
      </c>
      <c r="W35" s="1573">
        <f t="shared" si="14"/>
        <v>100</v>
      </c>
      <c r="X35" s="1566"/>
      <c r="Y35" s="3450"/>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50"/>
      <c r="Q36" s="1571" t="str">
        <f t="shared" si="11"/>
        <v>公共部分装修</v>
      </c>
      <c r="R36" s="1572" t="s">
        <v>8</v>
      </c>
      <c r="S36" s="1573">
        <f t="shared" si="12"/>
        <v>100</v>
      </c>
      <c r="T36" s="1572" t="s">
        <v>8</v>
      </c>
      <c r="U36" s="1573">
        <f t="shared" si="13"/>
        <v>100</v>
      </c>
      <c r="V36" s="1572" t="s">
        <v>8</v>
      </c>
      <c r="W36" s="1573">
        <f t="shared" si="14"/>
        <v>100</v>
      </c>
      <c r="X36" s="1566"/>
      <c r="Y36" s="3450"/>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50"/>
      <c r="Q37" s="1571" t="str">
        <f t="shared" si="11"/>
        <v>成新度</v>
      </c>
      <c r="R37" s="1572" t="s">
        <v>8</v>
      </c>
      <c r="S37" s="1573" t="e">
        <f t="shared" si="12"/>
        <v>#N/A</v>
      </c>
      <c r="T37" s="1572" t="s">
        <v>8</v>
      </c>
      <c r="U37" s="1573" t="e">
        <f t="shared" si="13"/>
        <v>#N/A</v>
      </c>
      <c r="V37" s="1572" t="s">
        <v>8</v>
      </c>
      <c r="W37" s="1573" t="e">
        <f t="shared" si="14"/>
        <v>#N/A</v>
      </c>
      <c r="X37" s="1566"/>
      <c r="Y37" s="3450"/>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50"/>
      <c r="Q38" s="1150" t="str">
        <f t="shared" si="11"/>
        <v>写字楼等级</v>
      </c>
      <c r="R38" s="1567" t="s">
        <v>8</v>
      </c>
      <c r="S38" s="1568">
        <f t="shared" si="12"/>
        <v>100</v>
      </c>
      <c r="T38" s="1567" t="s">
        <v>8</v>
      </c>
      <c r="U38" s="1568">
        <f t="shared" si="13"/>
        <v>100</v>
      </c>
      <c r="V38" s="1567" t="s">
        <v>8</v>
      </c>
      <c r="W38" s="1568">
        <f t="shared" si="14"/>
        <v>100</v>
      </c>
      <c r="X38" s="1569"/>
      <c r="Y38" s="3450"/>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50" t="s">
        <v>550</v>
      </c>
      <c r="Q39" s="1571" t="str">
        <f t="shared" si="11"/>
        <v>物业管理</v>
      </c>
      <c r="R39" s="1572" t="s">
        <v>8</v>
      </c>
      <c r="S39" s="1573">
        <f t="shared" si="12"/>
        <v>100</v>
      </c>
      <c r="T39" s="1572" t="s">
        <v>8</v>
      </c>
      <c r="U39" s="1573">
        <f t="shared" si="13"/>
        <v>100</v>
      </c>
      <c r="V39" s="1572" t="s">
        <v>8</v>
      </c>
      <c r="W39" s="1573">
        <f t="shared" si="14"/>
        <v>100</v>
      </c>
      <c r="X39" s="1566"/>
      <c r="Y39" s="3450" t="s">
        <v>550</v>
      </c>
      <c r="Z39" s="1574" t="str">
        <f t="shared" si="15"/>
        <v>物业管理</v>
      </c>
      <c r="AA39" s="1575">
        <f t="shared" si="3"/>
        <v>1</v>
      </c>
      <c r="AB39" s="1575">
        <f t="shared" si="4"/>
        <v>1</v>
      </c>
      <c r="AC39" s="1575">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50"/>
      <c r="Q40" s="1571" t="str">
        <f t="shared" si="11"/>
        <v>市政基础设施</v>
      </c>
      <c r="R40" s="1572" t="s">
        <v>8</v>
      </c>
      <c r="S40" s="1573">
        <f t="shared" si="12"/>
        <v>100</v>
      </c>
      <c r="T40" s="1572" t="s">
        <v>8</v>
      </c>
      <c r="U40" s="1573">
        <f t="shared" si="13"/>
        <v>100</v>
      </c>
      <c r="V40" s="1572" t="s">
        <v>8</v>
      </c>
      <c r="W40" s="1573">
        <f t="shared" si="14"/>
        <v>100</v>
      </c>
      <c r="X40" s="1566"/>
      <c r="Y40" s="3450"/>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50"/>
      <c r="Q41" s="1571" t="str">
        <f t="shared" si="11"/>
        <v>层高</v>
      </c>
      <c r="R41" s="1572" t="s">
        <v>8</v>
      </c>
      <c r="S41" s="1573">
        <f t="shared" si="12"/>
        <v>100</v>
      </c>
      <c r="T41" s="1572" t="s">
        <v>8</v>
      </c>
      <c r="U41" s="1573">
        <f t="shared" si="13"/>
        <v>100</v>
      </c>
      <c r="V41" s="1572" t="s">
        <v>8</v>
      </c>
      <c r="W41" s="1573">
        <f t="shared" si="14"/>
        <v>100</v>
      </c>
      <c r="X41" s="1566"/>
      <c r="Y41" s="3450"/>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50"/>
      <c r="Q42" s="1604" t="str">
        <f t="shared" si="11"/>
        <v>单套建筑面积</v>
      </c>
      <c r="R42" s="1576" t="s">
        <v>8</v>
      </c>
      <c r="S42" s="1577">
        <f t="shared" si="12"/>
        <v>100</v>
      </c>
      <c r="T42" s="1576" t="s">
        <v>8</v>
      </c>
      <c r="U42" s="1577">
        <f t="shared" si="13"/>
        <v>100</v>
      </c>
      <c r="V42" s="1576" t="s">
        <v>8</v>
      </c>
      <c r="W42" s="1577">
        <f t="shared" si="14"/>
        <v>100</v>
      </c>
      <c r="X42" s="1578"/>
      <c r="Y42" s="3450"/>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50"/>
      <c r="Q43" s="1571" t="str">
        <f t="shared" si="11"/>
        <v>内部装修</v>
      </c>
      <c r="R43" s="1572" t="s">
        <v>8</v>
      </c>
      <c r="S43" s="1573">
        <f t="shared" si="12"/>
        <v>100</v>
      </c>
      <c r="T43" s="1572" t="s">
        <v>8</v>
      </c>
      <c r="U43" s="1573">
        <f t="shared" si="13"/>
        <v>100</v>
      </c>
      <c r="V43" s="1572" t="s">
        <v>8</v>
      </c>
      <c r="W43" s="1573">
        <f t="shared" si="14"/>
        <v>100</v>
      </c>
      <c r="X43" s="1566"/>
      <c r="Y43" s="3450"/>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50"/>
      <c r="Q44" s="1571" t="str">
        <f t="shared" si="11"/>
        <v>内部装修维护情况</v>
      </c>
      <c r="R44" s="1572" t="s">
        <v>8</v>
      </c>
      <c r="S44" s="1573">
        <f t="shared" si="12"/>
        <v>100</v>
      </c>
      <c r="T44" s="1572" t="s">
        <v>8</v>
      </c>
      <c r="U44" s="1573">
        <f t="shared" si="13"/>
        <v>100</v>
      </c>
      <c r="V44" s="1572" t="s">
        <v>8</v>
      </c>
      <c r="W44" s="1573">
        <f t="shared" si="14"/>
        <v>100</v>
      </c>
      <c r="X44" s="1566"/>
      <c r="Y44" s="3450"/>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50"/>
      <c r="Q45" s="1150">
        <f t="shared" si="11"/>
        <v>111</v>
      </c>
      <c r="R45" s="1567" t="s">
        <v>8</v>
      </c>
      <c r="S45" s="1568">
        <f t="shared" si="12"/>
        <v>100</v>
      </c>
      <c r="T45" s="1567" t="s">
        <v>8</v>
      </c>
      <c r="U45" s="1568">
        <f t="shared" si="13"/>
        <v>100</v>
      </c>
      <c r="V45" s="1567" t="s">
        <v>8</v>
      </c>
      <c r="W45" s="1568">
        <f t="shared" si="14"/>
        <v>100</v>
      </c>
      <c r="X45" s="1569"/>
      <c r="Y45" s="3450"/>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50"/>
      <c r="Q46" s="1571">
        <f t="shared" si="11"/>
        <v>111</v>
      </c>
      <c r="R46" s="1572" t="s">
        <v>8</v>
      </c>
      <c r="S46" s="1573">
        <f t="shared" si="12"/>
        <v>100</v>
      </c>
      <c r="T46" s="1572" t="s">
        <v>8</v>
      </c>
      <c r="U46" s="1573">
        <f t="shared" si="13"/>
        <v>100</v>
      </c>
      <c r="V46" s="1572" t="s">
        <v>8</v>
      </c>
      <c r="W46" s="1573">
        <f t="shared" si="14"/>
        <v>100</v>
      </c>
      <c r="X46" s="1566"/>
      <c r="Y46" s="3450"/>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527"/>
      <c r="Q47" s="1571">
        <f t="shared" si="11"/>
        <v>111</v>
      </c>
      <c r="R47" s="1572" t="s">
        <v>8</v>
      </c>
      <c r="S47" s="1573">
        <f t="shared" si="12"/>
        <v>100</v>
      </c>
      <c r="T47" s="1572" t="s">
        <v>8</v>
      </c>
      <c r="U47" s="1573">
        <f t="shared" si="13"/>
        <v>100</v>
      </c>
      <c r="V47" s="1572" t="s">
        <v>8</v>
      </c>
      <c r="W47" s="1573">
        <f t="shared" si="14"/>
        <v>100</v>
      </c>
      <c r="X47" s="1566"/>
      <c r="Y47" s="3527"/>
      <c r="Z47" s="1574">
        <f t="shared" si="15"/>
        <v>111</v>
      </c>
      <c r="AA47" s="1575">
        <f t="shared" si="3"/>
        <v>1</v>
      </c>
      <c r="AB47" s="1575">
        <f t="shared" si="4"/>
        <v>1</v>
      </c>
      <c r="AC47" s="1575">
        <f t="shared" si="5"/>
        <v>1</v>
      </c>
    </row>
    <row r="48" spans="1:29" ht="15">
      <c r="A48" s="606" t="s">
        <v>736</v>
      </c>
      <c r="B48" s="886"/>
      <c r="C48" s="2650" t="s">
        <v>1</v>
      </c>
      <c r="D48" s="2651"/>
      <c r="E48" s="2652"/>
      <c r="F48" s="2653"/>
      <c r="G48" s="2654"/>
      <c r="H48" s="2655"/>
      <c r="I48" s="2652"/>
      <c r="J48" s="2655"/>
      <c r="K48" s="1610"/>
      <c r="L48" s="2143"/>
      <c r="M48" s="2133"/>
      <c r="N48" s="2133"/>
      <c r="O48" s="2133"/>
      <c r="P48" s="3410" t="str">
        <f>A48</f>
        <v>成交单价（元/平方米）</v>
      </c>
      <c r="Q48" s="3412"/>
      <c r="R48" s="3526">
        <f>E48</f>
        <v>0</v>
      </c>
      <c r="S48" s="3526"/>
      <c r="T48" s="3526">
        <f>G48</f>
        <v>0</v>
      </c>
      <c r="U48" s="3526"/>
      <c r="V48" s="3526">
        <f>I48</f>
        <v>0</v>
      </c>
      <c r="W48" s="3526"/>
      <c r="X48" s="1558"/>
      <c r="Y48" s="1580"/>
      <c r="Z48" s="1558"/>
      <c r="AA48" s="1558"/>
      <c r="AB48" s="1558"/>
      <c r="AC48" s="1558"/>
    </row>
    <row r="49" spans="1:29" ht="15.75" thickBot="1">
      <c r="A49" s="614" t="s">
        <v>2761</v>
      </c>
      <c r="B49" s="887"/>
      <c r="C49" s="2656" t="e">
        <f>R50</f>
        <v>#DIV/0!</v>
      </c>
      <c r="D49" s="2657"/>
      <c r="E49" s="2658" t="e">
        <f>R49</f>
        <v>#DIV/0!</v>
      </c>
      <c r="F49" s="2658"/>
      <c r="G49" s="2656" t="e">
        <f>T49</f>
        <v>#DIV/0!</v>
      </c>
      <c r="H49" s="2657"/>
      <c r="I49" s="2658" t="e">
        <f>V49</f>
        <v>#DIV/0!</v>
      </c>
      <c r="J49" s="2657"/>
      <c r="K49" s="1611"/>
      <c r="L49" s="2143"/>
      <c r="M49" s="2133"/>
      <c r="N49" s="2133"/>
      <c r="O49" s="2133"/>
      <c r="P49" s="3410" t="str">
        <f>A49</f>
        <v>比较价格（元/平方米）</v>
      </c>
      <c r="Q49" s="3412"/>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1558"/>
      <c r="Y49" s="1558"/>
      <c r="Z49" s="1558"/>
      <c r="AA49" s="1558"/>
      <c r="AB49" s="1558"/>
      <c r="AC49" s="1558"/>
    </row>
    <row r="50" spans="1:29" ht="15.75" thickBot="1">
      <c r="A50" s="620" t="s">
        <v>2924</v>
      </c>
      <c r="B50" s="621"/>
      <c r="C50" s="2659" t="e">
        <f>R50</f>
        <v>#DIV/0!</v>
      </c>
      <c r="D50" s="2659"/>
      <c r="E50" s="2659"/>
      <c r="F50" s="2659"/>
      <c r="G50" s="2659"/>
      <c r="H50" s="2659"/>
      <c r="I50" s="2659"/>
      <c r="J50" s="2659"/>
      <c r="K50" s="1612"/>
      <c r="L50" s="2143"/>
      <c r="M50" s="2133"/>
      <c r="N50" s="2133"/>
      <c r="O50" s="2133"/>
      <c r="P50" s="3537" t="str">
        <f>A50</f>
        <v>估价对象XX用房的比较价格（楼面单价，元/平方米）</v>
      </c>
      <c r="Q50" s="3410"/>
      <c r="R50" s="3525" t="e">
        <f>IF(F1="售价",ROUND(AVERAGE(R49:V49),0),ROUND(AVERAGE(R49:V49),1))</f>
        <v>#DIV/0!</v>
      </c>
      <c r="S50" s="3525"/>
      <c r="T50" s="3525"/>
      <c r="U50" s="3525"/>
      <c r="V50" s="3525"/>
      <c r="W50" s="3525"/>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529</v>
      </c>
      <c r="B59" s="645"/>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2559</v>
      </c>
      <c r="C83" s="2621" t="s">
        <v>2560</v>
      </c>
      <c r="D83" s="2621" t="s">
        <v>2561</v>
      </c>
      <c r="E83" s="2621" t="s">
        <v>2562</v>
      </c>
      <c r="F83" s="2621" t="s">
        <v>2563</v>
      </c>
      <c r="G83" s="2621" t="s">
        <v>2564</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785</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787</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0"/>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521</v>
      </c>
      <c r="B4" s="512"/>
      <c r="C4" s="3418" t="s">
        <v>522</v>
      </c>
      <c r="D4" s="3419"/>
      <c r="E4" s="3453" t="s">
        <v>523</v>
      </c>
      <c r="F4" s="3454"/>
      <c r="G4" s="3418" t="s">
        <v>524</v>
      </c>
      <c r="H4" s="3419"/>
      <c r="I4" s="3418" t="s">
        <v>525</v>
      </c>
      <c r="J4" s="3419"/>
      <c r="K4" s="513" t="s">
        <v>526</v>
      </c>
      <c r="L4" s="2132"/>
      <c r="M4" s="2133"/>
      <c r="N4" s="2133"/>
      <c r="O4" s="2133"/>
      <c r="P4" s="3420" t="s">
        <v>527</v>
      </c>
      <c r="Q4" s="3421"/>
      <c r="R4" s="3426" t="s">
        <v>523</v>
      </c>
      <c r="S4" s="3427"/>
      <c r="T4" s="3426" t="s">
        <v>524</v>
      </c>
      <c r="U4" s="3427"/>
      <c r="V4" s="3413" t="s">
        <v>525</v>
      </c>
      <c r="W4" s="3413"/>
      <c r="X4" s="1566"/>
      <c r="Y4" s="3426" t="s">
        <v>527</v>
      </c>
      <c r="Z4" s="3427"/>
      <c r="AA4" s="3415" t="s">
        <v>523</v>
      </c>
      <c r="AB4" s="3416" t="s">
        <v>524</v>
      </c>
      <c r="AC4" s="3415" t="s">
        <v>525</v>
      </c>
    </row>
    <row r="5" spans="1:29" ht="15">
      <c r="A5" s="514"/>
      <c r="B5" s="515"/>
      <c r="C5" s="3531" t="s">
        <v>2919</v>
      </c>
      <c r="D5" s="3532"/>
      <c r="E5" s="3535" t="s">
        <v>2920</v>
      </c>
      <c r="F5" s="3536"/>
      <c r="G5" s="3531" t="s">
        <v>2921</v>
      </c>
      <c r="H5" s="3532"/>
      <c r="I5" s="3531" t="s">
        <v>2922</v>
      </c>
      <c r="J5" s="3532"/>
      <c r="K5" s="513"/>
      <c r="L5" s="2132"/>
      <c r="M5" s="2133"/>
      <c r="N5" s="2133"/>
      <c r="O5" s="2133"/>
      <c r="P5" s="3422"/>
      <c r="Q5" s="3423"/>
      <c r="R5" s="3428"/>
      <c r="S5" s="3429"/>
      <c r="T5" s="3428"/>
      <c r="U5" s="3429"/>
      <c r="V5" s="3413"/>
      <c r="W5" s="3413"/>
      <c r="X5" s="1566"/>
      <c r="Y5" s="3428"/>
      <c r="Z5" s="3429"/>
      <c r="AA5" s="3416"/>
      <c r="AB5" s="3416"/>
      <c r="AC5" s="3416"/>
    </row>
    <row r="6" spans="1:29" ht="15.75" thickBot="1">
      <c r="A6" s="516"/>
      <c r="B6" s="517"/>
      <c r="C6" s="3529" t="s">
        <v>2923</v>
      </c>
      <c r="D6" s="3530"/>
      <c r="E6" s="3533" t="s">
        <v>2923</v>
      </c>
      <c r="F6" s="3534"/>
      <c r="G6" s="3529" t="s">
        <v>2923</v>
      </c>
      <c r="H6" s="3530"/>
      <c r="I6" s="3529" t="s">
        <v>2923</v>
      </c>
      <c r="J6" s="3530"/>
      <c r="K6" s="513" t="s">
        <v>528</v>
      </c>
      <c r="L6" s="2132"/>
      <c r="M6" s="2133"/>
      <c r="N6" s="2133"/>
      <c r="O6" s="2133"/>
      <c r="P6" s="3424"/>
      <c r="Q6" s="3425"/>
      <c r="R6" s="3428"/>
      <c r="S6" s="3429"/>
      <c r="T6" s="3430"/>
      <c r="U6" s="3431"/>
      <c r="V6" s="3413"/>
      <c r="W6" s="3413"/>
      <c r="X6" s="1566"/>
      <c r="Y6" s="3430"/>
      <c r="Z6" s="3431"/>
      <c r="AA6" s="3417"/>
      <c r="AB6" s="3417"/>
      <c r="AC6" s="3417"/>
    </row>
    <row r="7" spans="1:29" s="1219" customFormat="1" ht="15.75" thickBot="1">
      <c r="A7" s="2935"/>
      <c r="B7" s="2942" t="s">
        <v>529</v>
      </c>
      <c r="C7" s="518">
        <f>'数据-取费表'!B2</f>
        <v>43244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44" t="s">
        <v>530</v>
      </c>
      <c r="Q7" s="3446"/>
      <c r="R7" s="1567" t="s">
        <v>8</v>
      </c>
      <c r="S7" s="1568">
        <f t="shared" ref="S7:S15" si="0">F7</f>
        <v>0</v>
      </c>
      <c r="T7" s="1567" t="s">
        <v>8</v>
      </c>
      <c r="U7" s="1568">
        <f t="shared" ref="U7:U15" si="1">H7</f>
        <v>0</v>
      </c>
      <c r="V7" s="1567" t="s">
        <v>8</v>
      </c>
      <c r="W7" s="1568">
        <f t="shared" ref="W7:W15" si="2">J7</f>
        <v>0</v>
      </c>
      <c r="X7" s="1569"/>
      <c r="Y7" s="3444" t="s">
        <v>530</v>
      </c>
      <c r="Z7" s="3445"/>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44" t="s">
        <v>533</v>
      </c>
      <c r="Q8" s="3445"/>
      <c r="R8" s="1567" t="s">
        <v>8</v>
      </c>
      <c r="S8" s="1568">
        <f t="shared" si="0"/>
        <v>0</v>
      </c>
      <c r="T8" s="1567" t="s">
        <v>8</v>
      </c>
      <c r="U8" s="1568">
        <f t="shared" si="1"/>
        <v>0</v>
      </c>
      <c r="V8" s="1567" t="s">
        <v>8</v>
      </c>
      <c r="W8" s="1568">
        <f t="shared" si="2"/>
        <v>0</v>
      </c>
      <c r="X8" s="1569"/>
      <c r="Y8" s="3444" t="s">
        <v>533</v>
      </c>
      <c r="Z8" s="3445"/>
      <c r="AA8" s="1570" t="e">
        <f t="shared" ref="AA8:AA40" si="3">D8/F8</f>
        <v>#DIV/0!</v>
      </c>
      <c r="AB8" s="1570" t="e">
        <f t="shared" ref="AB8:AB40" si="4">D8/H8</f>
        <v>#DIV/0!</v>
      </c>
      <c r="AC8" s="1570" t="e">
        <f t="shared" ref="AC8:AC40" si="5">D8/J8</f>
        <v>#DIV/0!</v>
      </c>
    </row>
    <row r="9" spans="1:29" s="1219" customFormat="1" ht="15">
      <c r="A9" s="2937"/>
      <c r="B9" s="2944"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12" t="s">
        <v>535</v>
      </c>
      <c r="Q9" s="1150" t="str">
        <f t="shared" ref="Q9:Q15" si="6">B9</f>
        <v>用途</v>
      </c>
      <c r="R9" s="1567" t="s">
        <v>8</v>
      </c>
      <c r="S9" s="1568">
        <f t="shared" si="0"/>
        <v>100</v>
      </c>
      <c r="T9" s="1567" t="s">
        <v>8</v>
      </c>
      <c r="U9" s="1568">
        <f t="shared" si="1"/>
        <v>100</v>
      </c>
      <c r="V9" s="1567" t="s">
        <v>8</v>
      </c>
      <c r="W9" s="1568">
        <f t="shared" si="2"/>
        <v>100</v>
      </c>
      <c r="X9" s="1569"/>
      <c r="Y9" s="3358" t="s">
        <v>536</v>
      </c>
      <c r="Z9" s="1149" t="str">
        <f t="shared" ref="Z9:Z15" si="7">Q9</f>
        <v>用途</v>
      </c>
      <c r="AA9" s="1570">
        <f t="shared" si="3"/>
        <v>1</v>
      </c>
      <c r="AB9" s="1570">
        <f t="shared" si="4"/>
        <v>1</v>
      </c>
      <c r="AC9" s="1570">
        <f t="shared" si="5"/>
        <v>1</v>
      </c>
    </row>
    <row r="10" spans="1:29" s="1337" customFormat="1" ht="27">
      <c r="A10" s="2938"/>
      <c r="B10" s="2943"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12"/>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39"/>
      <c r="B11" s="2943"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12"/>
      <c r="Q11" s="1150" t="str">
        <f t="shared" si="6"/>
        <v>容积率</v>
      </c>
      <c r="R11" s="1567" t="s">
        <v>8</v>
      </c>
      <c r="S11" s="1568" t="e">
        <f t="shared" si="0"/>
        <v>#N/A</v>
      </c>
      <c r="T11" s="1567" t="s">
        <v>8</v>
      </c>
      <c r="U11" s="1568" t="e">
        <f t="shared" si="1"/>
        <v>#N/A</v>
      </c>
      <c r="V11" s="1567" t="s">
        <v>8</v>
      </c>
      <c r="W11" s="1568" t="e">
        <f t="shared" si="2"/>
        <v>#N/A</v>
      </c>
      <c r="X11" s="1569"/>
      <c r="Y11" s="335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412"/>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412"/>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12"/>
      <c r="Q14" s="1150">
        <f t="shared" si="6"/>
        <v>111</v>
      </c>
      <c r="R14" s="1567" t="s">
        <v>8</v>
      </c>
      <c r="S14" s="1568">
        <f t="shared" si="0"/>
        <v>100</v>
      </c>
      <c r="T14" s="1567" t="s">
        <v>8</v>
      </c>
      <c r="U14" s="1568">
        <f t="shared" si="1"/>
        <v>100</v>
      </c>
      <c r="V14" s="1567" t="s">
        <v>8</v>
      </c>
      <c r="W14" s="1568">
        <f t="shared" si="2"/>
        <v>100</v>
      </c>
      <c r="X14" s="1569"/>
      <c r="Y14" s="3358"/>
      <c r="Z14" s="1149">
        <f t="shared" si="7"/>
        <v>111</v>
      </c>
      <c r="AA14" s="1570">
        <f t="shared" si="3"/>
        <v>1</v>
      </c>
      <c r="AB14" s="1570">
        <f t="shared" si="4"/>
        <v>1</v>
      </c>
      <c r="AC14" s="1570">
        <f t="shared" si="5"/>
        <v>1</v>
      </c>
    </row>
    <row r="15" spans="1:29" ht="28.5">
      <c r="A15" s="2933" t="s">
        <v>2755</v>
      </c>
      <c r="B15" s="166" t="s">
        <v>789</v>
      </c>
      <c r="C15" s="920" t="str">
        <f>估价对象房地状况!G3</f>
        <v>工业园内，聚集程度较好</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47" t="s">
        <v>540</v>
      </c>
      <c r="Q15" s="1571" t="str">
        <f t="shared" si="6"/>
        <v>产业集聚程度</v>
      </c>
      <c r="R15" s="1572" t="s">
        <v>8</v>
      </c>
      <c r="S15" s="1573">
        <f t="shared" si="0"/>
        <v>100</v>
      </c>
      <c r="T15" s="1572" t="s">
        <v>8</v>
      </c>
      <c r="U15" s="1573">
        <f t="shared" si="1"/>
        <v>100</v>
      </c>
      <c r="V15" s="1572" t="s">
        <v>8</v>
      </c>
      <c r="W15" s="1573">
        <f t="shared" si="2"/>
        <v>100</v>
      </c>
      <c r="X15" s="1566"/>
      <c r="Y15" s="3447"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48"/>
      <c r="Q16" s="1571"/>
      <c r="R16" s="1572"/>
      <c r="S16" s="1573"/>
      <c r="T16" s="1572"/>
      <c r="U16" s="1573"/>
      <c r="V16" s="1572"/>
      <c r="W16" s="1573"/>
      <c r="X16" s="1566"/>
      <c r="Y16" s="3448"/>
      <c r="Z16" s="1574"/>
      <c r="AA16" s="1575">
        <v>1</v>
      </c>
      <c r="AB16" s="1575">
        <v>1</v>
      </c>
      <c r="AC16" s="1575">
        <v>1</v>
      </c>
    </row>
    <row r="17" spans="1:29" ht="85.5">
      <c r="A17" s="531"/>
      <c r="B17" s="870" t="s">
        <v>296</v>
      </c>
      <c r="C17" s="871" t="str">
        <f>估价对象房地状况!G4</f>
        <v>周边路网密集程度一般，有一定数量公交车通过，停车较方便，总体考虑一般</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48"/>
      <c r="Q17" s="1571" t="str">
        <f>B17</f>
        <v>交通便捷度</v>
      </c>
      <c r="R17" s="1572" t="s">
        <v>8</v>
      </c>
      <c r="S17" s="1573">
        <f>F17</f>
        <v>100</v>
      </c>
      <c r="T17" s="1572" t="s">
        <v>8</v>
      </c>
      <c r="U17" s="1573">
        <f>H17</f>
        <v>100</v>
      </c>
      <c r="V17" s="1572" t="s">
        <v>8</v>
      </c>
      <c r="W17" s="1573">
        <f>J17</f>
        <v>100</v>
      </c>
      <c r="X17" s="1566"/>
      <c r="Y17" s="344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48"/>
      <c r="Q18" s="1571"/>
      <c r="R18" s="1572"/>
      <c r="S18" s="1573"/>
      <c r="T18" s="1572"/>
      <c r="U18" s="1573"/>
      <c r="V18" s="1572"/>
      <c r="W18" s="1573"/>
      <c r="X18" s="1566"/>
      <c r="Y18" s="3448"/>
      <c r="Z18" s="1574"/>
      <c r="AA18" s="1575">
        <v>1</v>
      </c>
      <c r="AB18" s="1575">
        <v>1</v>
      </c>
      <c r="AC18" s="1575">
        <v>1</v>
      </c>
    </row>
    <row r="19" spans="1:29" ht="42.75">
      <c r="A19" s="531"/>
      <c r="B19" s="2626" t="s">
        <v>2547</v>
      </c>
      <c r="C19" s="871" t="str">
        <f>估价对象房地状况!G5</f>
        <v>工业园区内，各配套设施齐备度一般，综合一般</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48"/>
      <c r="Q19" s="1571" t="str">
        <f>B19</f>
        <v>公共配套设施</v>
      </c>
      <c r="R19" s="1572" t="s">
        <v>8</v>
      </c>
      <c r="S19" s="1573">
        <f>F19</f>
        <v>100</v>
      </c>
      <c r="T19" s="1572" t="s">
        <v>8</v>
      </c>
      <c r="U19" s="1573">
        <f>H19</f>
        <v>100</v>
      </c>
      <c r="V19" s="1572" t="s">
        <v>8</v>
      </c>
      <c r="W19" s="1573">
        <f>J19</f>
        <v>100</v>
      </c>
      <c r="X19" s="1566"/>
      <c r="Y19" s="3448"/>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448"/>
      <c r="Q20" s="1571"/>
      <c r="R20" s="1572"/>
      <c r="S20" s="1573"/>
      <c r="T20" s="1572"/>
      <c r="U20" s="1573"/>
      <c r="V20" s="1572"/>
      <c r="W20" s="1573"/>
      <c r="X20" s="1566"/>
      <c r="Y20" s="3448"/>
      <c r="Z20" s="1574"/>
      <c r="AA20" s="1575">
        <v>1</v>
      </c>
      <c r="AB20" s="1575">
        <v>1</v>
      </c>
      <c r="AC20" s="1575">
        <v>1</v>
      </c>
    </row>
    <row r="21" spans="1:29" ht="15">
      <c r="A21" s="531"/>
      <c r="B21" s="2614" t="s">
        <v>2559</v>
      </c>
      <c r="C21" s="871" t="str">
        <f>估价对象房地状况!G6</f>
        <v>六通</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48"/>
      <c r="Q21" s="2602" t="str">
        <f>B21</f>
        <v>基础设施水平</v>
      </c>
      <c r="R21" s="1572" t="s">
        <v>8</v>
      </c>
      <c r="S21" s="1573">
        <f>F21</f>
        <v>100</v>
      </c>
      <c r="T21" s="1572" t="s">
        <v>8</v>
      </c>
      <c r="U21" s="1573">
        <f>H21</f>
        <v>100</v>
      </c>
      <c r="V21" s="1572" t="s">
        <v>8</v>
      </c>
      <c r="W21" s="1573">
        <f>J21</f>
        <v>100</v>
      </c>
      <c r="X21" s="2604"/>
      <c r="Y21" s="3448"/>
      <c r="Z21" s="260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5"/>
      <c r="L22" s="2141"/>
      <c r="M22" s="2133"/>
      <c r="N22" s="2133"/>
      <c r="O22" s="2140"/>
      <c r="P22" s="3448"/>
      <c r="Q22" s="2602"/>
      <c r="R22" s="1572"/>
      <c r="S22" s="1573"/>
      <c r="T22" s="1572"/>
      <c r="U22" s="1573"/>
      <c r="V22" s="1572"/>
      <c r="W22" s="1573"/>
      <c r="X22" s="2604"/>
      <c r="Y22" s="3448"/>
      <c r="Z22" s="2603"/>
      <c r="AA22" s="1575">
        <v>1</v>
      </c>
      <c r="AB22" s="1575">
        <v>1</v>
      </c>
      <c r="AC22" s="1575">
        <v>1</v>
      </c>
    </row>
    <row r="23" spans="1:29" ht="42.75">
      <c r="A23" s="531"/>
      <c r="B23" s="870" t="s">
        <v>778</v>
      </c>
      <c r="C23" s="871" t="str">
        <f>估价对象房地状况!G7</f>
        <v>无大型污染，自然环境一般，综合一般</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48"/>
      <c r="Q23" s="1571" t="str">
        <f>B23</f>
        <v>环境质量</v>
      </c>
      <c r="R23" s="1572" t="s">
        <v>8</v>
      </c>
      <c r="S23" s="1573">
        <f>F23</f>
        <v>100</v>
      </c>
      <c r="T23" s="1572" t="s">
        <v>8</v>
      </c>
      <c r="U23" s="1573">
        <f>H23</f>
        <v>100</v>
      </c>
      <c r="V23" s="1572" t="s">
        <v>8</v>
      </c>
      <c r="W23" s="1573">
        <f>J23</f>
        <v>100</v>
      </c>
      <c r="X23" s="1566"/>
      <c r="Y23" s="3448"/>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448"/>
      <c r="Q24" s="1571"/>
      <c r="R24" s="1572"/>
      <c r="S24" s="1573"/>
      <c r="T24" s="1572"/>
      <c r="U24" s="1573"/>
      <c r="V24" s="1572"/>
      <c r="W24" s="1573"/>
      <c r="X24" s="1566"/>
      <c r="Y24" s="3448"/>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48"/>
      <c r="Q25" s="1571">
        <f>B25</f>
        <v>111</v>
      </c>
      <c r="R25" s="1572" t="s">
        <v>8</v>
      </c>
      <c r="S25" s="1573">
        <f>F25</f>
        <v>100</v>
      </c>
      <c r="T25" s="1572" t="s">
        <v>8</v>
      </c>
      <c r="U25" s="1573">
        <f>H25</f>
        <v>100</v>
      </c>
      <c r="V25" s="1572" t="s">
        <v>8</v>
      </c>
      <c r="W25" s="1573">
        <f>J25</f>
        <v>100</v>
      </c>
      <c r="X25" s="1566"/>
      <c r="Y25" s="3448"/>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48"/>
      <c r="Q26" s="1571">
        <f t="shared" ref="Q26:Q40" si="11">B26</f>
        <v>111</v>
      </c>
      <c r="R26" s="1572" t="s">
        <v>8</v>
      </c>
      <c r="S26" s="1573">
        <f>F26</f>
        <v>100</v>
      </c>
      <c r="T26" s="1572" t="s">
        <v>8</v>
      </c>
      <c r="U26" s="1573">
        <f>H26</f>
        <v>100</v>
      </c>
      <c r="V26" s="1572" t="s">
        <v>8</v>
      </c>
      <c r="W26" s="1573">
        <f>J26</f>
        <v>100</v>
      </c>
      <c r="X26" s="1566"/>
      <c r="Y26" s="3448"/>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48"/>
      <c r="Q27" s="1150">
        <f t="shared" si="11"/>
        <v>111</v>
      </c>
      <c r="R27" s="1567" t="s">
        <v>8</v>
      </c>
      <c r="S27" s="1568">
        <f>F27</f>
        <v>100</v>
      </c>
      <c r="T27" s="1567" t="s">
        <v>8</v>
      </c>
      <c r="U27" s="1568">
        <f>H27</f>
        <v>100</v>
      </c>
      <c r="V27" s="1567" t="s">
        <v>8</v>
      </c>
      <c r="W27" s="1568">
        <f>J27</f>
        <v>100</v>
      </c>
      <c r="X27" s="1569"/>
      <c r="Y27" s="3448"/>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48"/>
      <c r="Q28" s="1571">
        <f t="shared" si="11"/>
        <v>111</v>
      </c>
      <c r="R28" s="1572" t="s">
        <v>8</v>
      </c>
      <c r="S28" s="1573">
        <f t="shared" ref="S28:S40" si="12">F28</f>
        <v>100</v>
      </c>
      <c r="T28" s="1572" t="s">
        <v>8</v>
      </c>
      <c r="U28" s="1573">
        <f t="shared" ref="U28:U40" si="13">H28</f>
        <v>100</v>
      </c>
      <c r="V28" s="1572" t="s">
        <v>8</v>
      </c>
      <c r="W28" s="1573">
        <f t="shared" ref="W28:W40" si="14">J28</f>
        <v>100</v>
      </c>
      <c r="X28" s="1566"/>
      <c r="Y28" s="3448"/>
      <c r="Z28" s="1574">
        <f t="shared" ref="Z28:Z40" si="15">Q28</f>
        <v>111</v>
      </c>
      <c r="AA28" s="1575">
        <f t="shared" si="3"/>
        <v>1</v>
      </c>
      <c r="AB28" s="1575">
        <f t="shared" si="4"/>
        <v>1</v>
      </c>
      <c r="AC28" s="1575">
        <f t="shared" si="5"/>
        <v>1</v>
      </c>
    </row>
    <row r="29" spans="1:29" ht="15">
      <c r="A29" s="2930"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49" t="s">
        <v>550</v>
      </c>
      <c r="Q29" s="1571" t="str">
        <f t="shared" si="11"/>
        <v>建筑类型</v>
      </c>
      <c r="R29" s="1572" t="s">
        <v>8</v>
      </c>
      <c r="S29" s="1573">
        <f t="shared" si="12"/>
        <v>100</v>
      </c>
      <c r="T29" s="1572" t="s">
        <v>8</v>
      </c>
      <c r="U29" s="1573">
        <f t="shared" si="13"/>
        <v>100</v>
      </c>
      <c r="V29" s="1572" t="s">
        <v>8</v>
      </c>
      <c r="W29" s="1573">
        <f t="shared" si="14"/>
        <v>100</v>
      </c>
      <c r="X29" s="1566"/>
      <c r="Y29" s="3450"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50"/>
      <c r="Q30" s="1604" t="str">
        <f t="shared" si="11"/>
        <v>项目建筑规模</v>
      </c>
      <c r="R30" s="1576" t="s">
        <v>8</v>
      </c>
      <c r="S30" s="1577" t="e">
        <f t="shared" si="12"/>
        <v>#N/A</v>
      </c>
      <c r="T30" s="1576" t="s">
        <v>8</v>
      </c>
      <c r="U30" s="1577" t="e">
        <f t="shared" si="13"/>
        <v>#N/A</v>
      </c>
      <c r="V30" s="1576" t="s">
        <v>8</v>
      </c>
      <c r="W30" s="1577" t="e">
        <f t="shared" si="14"/>
        <v>#N/A</v>
      </c>
      <c r="X30" s="1578"/>
      <c r="Y30" s="3450"/>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50"/>
      <c r="Q31" s="1571" t="str">
        <f t="shared" si="11"/>
        <v>建筑结构</v>
      </c>
      <c r="R31" s="1572" t="s">
        <v>8</v>
      </c>
      <c r="S31" s="1573">
        <f t="shared" si="12"/>
        <v>100</v>
      </c>
      <c r="T31" s="1572" t="s">
        <v>8</v>
      </c>
      <c r="U31" s="1573">
        <f t="shared" si="13"/>
        <v>100</v>
      </c>
      <c r="V31" s="1572" t="s">
        <v>8</v>
      </c>
      <c r="W31" s="1573">
        <f t="shared" si="14"/>
        <v>100</v>
      </c>
      <c r="X31" s="1566"/>
      <c r="Y31" s="3450"/>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50"/>
      <c r="Q32" s="1571" t="str">
        <f t="shared" si="11"/>
        <v>公共部分装修</v>
      </c>
      <c r="R32" s="1572" t="s">
        <v>8</v>
      </c>
      <c r="S32" s="1573">
        <f t="shared" si="12"/>
        <v>100</v>
      </c>
      <c r="T32" s="1572" t="s">
        <v>8</v>
      </c>
      <c r="U32" s="1573">
        <f t="shared" si="13"/>
        <v>100</v>
      </c>
      <c r="V32" s="1572" t="s">
        <v>8</v>
      </c>
      <c r="W32" s="1573">
        <f t="shared" si="14"/>
        <v>100</v>
      </c>
      <c r="X32" s="1566"/>
      <c r="Y32" s="3450"/>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50"/>
      <c r="Q33" s="1571" t="str">
        <f t="shared" si="11"/>
        <v>成新度</v>
      </c>
      <c r="R33" s="1572" t="s">
        <v>8</v>
      </c>
      <c r="S33" s="1573" t="e">
        <f t="shared" si="12"/>
        <v>#N/A</v>
      </c>
      <c r="T33" s="1572" t="s">
        <v>8</v>
      </c>
      <c r="U33" s="1573" t="e">
        <f t="shared" si="13"/>
        <v>#N/A</v>
      </c>
      <c r="V33" s="1572" t="s">
        <v>8</v>
      </c>
      <c r="W33" s="1573" t="e">
        <f t="shared" si="14"/>
        <v>#N/A</v>
      </c>
      <c r="X33" s="1566"/>
      <c r="Y33" s="3450"/>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50"/>
      <c r="Q34" s="1150" t="str">
        <f t="shared" si="11"/>
        <v>物业管理</v>
      </c>
      <c r="R34" s="1567" t="s">
        <v>8</v>
      </c>
      <c r="S34" s="1568">
        <f t="shared" si="12"/>
        <v>100</v>
      </c>
      <c r="T34" s="1567" t="s">
        <v>8</v>
      </c>
      <c r="U34" s="1568">
        <f t="shared" si="13"/>
        <v>100</v>
      </c>
      <c r="V34" s="1567" t="s">
        <v>8</v>
      </c>
      <c r="W34" s="1568">
        <f t="shared" si="14"/>
        <v>100</v>
      </c>
      <c r="X34" s="1569"/>
      <c r="Y34" s="3450"/>
      <c r="Z34" s="1149" t="str">
        <f t="shared" si="15"/>
        <v>物业管理</v>
      </c>
      <c r="AA34" s="1570">
        <f t="shared" si="3"/>
        <v>1</v>
      </c>
      <c r="AB34" s="1570">
        <f t="shared" si="4"/>
        <v>1</v>
      </c>
      <c r="AC34" s="1570">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50" t="s">
        <v>550</v>
      </c>
      <c r="Q35" s="1571" t="str">
        <f t="shared" si="11"/>
        <v>市政基础设施</v>
      </c>
      <c r="R35" s="1572" t="s">
        <v>8</v>
      </c>
      <c r="S35" s="1573">
        <f t="shared" si="12"/>
        <v>100</v>
      </c>
      <c r="T35" s="1572" t="s">
        <v>8</v>
      </c>
      <c r="U35" s="1573">
        <f t="shared" si="13"/>
        <v>100</v>
      </c>
      <c r="V35" s="1572" t="s">
        <v>8</v>
      </c>
      <c r="W35" s="1573">
        <f t="shared" si="14"/>
        <v>100</v>
      </c>
      <c r="X35" s="1566"/>
      <c r="Y35" s="3450"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50"/>
      <c r="Q36" s="1571" t="str">
        <f t="shared" si="11"/>
        <v>内部装修</v>
      </c>
      <c r="R36" s="1572" t="s">
        <v>8</v>
      </c>
      <c r="S36" s="1573">
        <f t="shared" si="12"/>
        <v>100</v>
      </c>
      <c r="T36" s="1572" t="s">
        <v>8</v>
      </c>
      <c r="U36" s="1573">
        <f t="shared" si="13"/>
        <v>100</v>
      </c>
      <c r="V36" s="1572" t="s">
        <v>8</v>
      </c>
      <c r="W36" s="1573">
        <f t="shared" si="14"/>
        <v>100</v>
      </c>
      <c r="X36" s="1566"/>
      <c r="Y36" s="3450"/>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50"/>
      <c r="Q37" s="1571" t="str">
        <f t="shared" si="11"/>
        <v>内部装修状况</v>
      </c>
      <c r="R37" s="1572" t="s">
        <v>8</v>
      </c>
      <c r="S37" s="1573">
        <f t="shared" si="12"/>
        <v>100</v>
      </c>
      <c r="T37" s="1572" t="s">
        <v>8</v>
      </c>
      <c r="U37" s="1573">
        <f t="shared" si="13"/>
        <v>100</v>
      </c>
      <c r="V37" s="1572" t="s">
        <v>8</v>
      </c>
      <c r="W37" s="1573">
        <f t="shared" si="14"/>
        <v>100</v>
      </c>
      <c r="X37" s="1566"/>
      <c r="Y37" s="3450"/>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50"/>
      <c r="Q38" s="1604">
        <f t="shared" si="11"/>
        <v>111</v>
      </c>
      <c r="R38" s="1576" t="s">
        <v>8</v>
      </c>
      <c r="S38" s="1577">
        <f t="shared" si="12"/>
        <v>100</v>
      </c>
      <c r="T38" s="1576" t="s">
        <v>8</v>
      </c>
      <c r="U38" s="1577">
        <f t="shared" si="13"/>
        <v>100</v>
      </c>
      <c r="V38" s="1576" t="s">
        <v>8</v>
      </c>
      <c r="W38" s="1577">
        <f t="shared" si="14"/>
        <v>100</v>
      </c>
      <c r="X38" s="1578"/>
      <c r="Y38" s="3450"/>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50"/>
      <c r="Q39" s="1571">
        <f t="shared" si="11"/>
        <v>111</v>
      </c>
      <c r="R39" s="1572" t="s">
        <v>8</v>
      </c>
      <c r="S39" s="1573">
        <f t="shared" si="12"/>
        <v>100</v>
      </c>
      <c r="T39" s="1572" t="s">
        <v>8</v>
      </c>
      <c r="U39" s="1573">
        <f t="shared" si="13"/>
        <v>100</v>
      </c>
      <c r="V39" s="1572" t="s">
        <v>8</v>
      </c>
      <c r="W39" s="1573">
        <f t="shared" si="14"/>
        <v>100</v>
      </c>
      <c r="X39" s="1566"/>
      <c r="Y39" s="3450"/>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27"/>
      <c r="Q40" s="1571">
        <f t="shared" si="11"/>
        <v>111</v>
      </c>
      <c r="R40" s="1572" t="s">
        <v>8</v>
      </c>
      <c r="S40" s="1573">
        <f t="shared" si="12"/>
        <v>100</v>
      </c>
      <c r="T40" s="1572" t="s">
        <v>8</v>
      </c>
      <c r="U40" s="1573">
        <f t="shared" si="13"/>
        <v>100</v>
      </c>
      <c r="V40" s="1572" t="s">
        <v>8</v>
      </c>
      <c r="W40" s="1573">
        <f t="shared" si="14"/>
        <v>100</v>
      </c>
      <c r="X40" s="1566"/>
      <c r="Y40" s="3527"/>
      <c r="Z40" s="1574">
        <f t="shared" si="15"/>
        <v>111</v>
      </c>
      <c r="AA40" s="1575">
        <f t="shared" si="3"/>
        <v>1</v>
      </c>
      <c r="AB40" s="1575">
        <f t="shared" si="4"/>
        <v>1</v>
      </c>
      <c r="AC40" s="1575">
        <f t="shared" si="5"/>
        <v>1</v>
      </c>
    </row>
    <row r="41" spans="1:29" ht="15">
      <c r="A41" s="606" t="s">
        <v>736</v>
      </c>
      <c r="B41" s="886"/>
      <c r="C41" s="2650" t="s">
        <v>1</v>
      </c>
      <c r="D41" s="2651"/>
      <c r="E41" s="2652"/>
      <c r="F41" s="2653"/>
      <c r="G41" s="2654"/>
      <c r="H41" s="2655"/>
      <c r="I41" s="2652"/>
      <c r="J41" s="2655"/>
      <c r="K41" s="1610"/>
      <c r="L41" s="2143"/>
      <c r="M41" s="2144"/>
      <c r="N41" s="2133"/>
      <c r="O41" s="2144"/>
      <c r="P41" s="3412" t="str">
        <f>A41</f>
        <v>成交单价（元/平方米）</v>
      </c>
      <c r="Q41" s="3412"/>
      <c r="R41" s="3526">
        <f>E41</f>
        <v>0</v>
      </c>
      <c r="S41" s="3526"/>
      <c r="T41" s="3526">
        <f>G41</f>
        <v>0</v>
      </c>
      <c r="U41" s="3526"/>
      <c r="V41" s="3526">
        <f>I41</f>
        <v>0</v>
      </c>
      <c r="W41" s="3526"/>
      <c r="X41" s="1558"/>
      <c r="Y41" s="1580"/>
      <c r="Z41" s="1558"/>
      <c r="AA41" s="1558"/>
      <c r="AB41" s="1558"/>
      <c r="AC41" s="1558"/>
    </row>
    <row r="42" spans="1:29" ht="15.75" thickBot="1">
      <c r="A42" s="614" t="s">
        <v>2761</v>
      </c>
      <c r="B42" s="887"/>
      <c r="C42" s="2656" t="e">
        <f>R43</f>
        <v>#DIV/0!</v>
      </c>
      <c r="D42" s="2657"/>
      <c r="E42" s="2658" t="e">
        <f>R42</f>
        <v>#DIV/0!</v>
      </c>
      <c r="F42" s="2658"/>
      <c r="G42" s="2656" t="e">
        <f>T42</f>
        <v>#DIV/0!</v>
      </c>
      <c r="H42" s="2657"/>
      <c r="I42" s="2658" t="e">
        <f>V42</f>
        <v>#DIV/0!</v>
      </c>
      <c r="J42" s="2657"/>
      <c r="K42" s="1611"/>
      <c r="L42" s="2143"/>
      <c r="M42" s="2144"/>
      <c r="N42" s="2133"/>
      <c r="O42" s="2144"/>
      <c r="P42" s="3412" t="str">
        <f>A42</f>
        <v>比较价格（元/平方米）</v>
      </c>
      <c r="Q42" s="3412"/>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1558"/>
      <c r="Y42" s="1558"/>
      <c r="Z42" s="1558"/>
      <c r="AA42" s="1558"/>
      <c r="AB42" s="1558"/>
      <c r="AC42" s="1558"/>
    </row>
    <row r="43" spans="1:29" ht="15.75" thickBot="1">
      <c r="A43" s="620" t="s">
        <v>2924</v>
      </c>
      <c r="B43" s="621"/>
      <c r="C43" s="2659" t="e">
        <f>R43</f>
        <v>#DIV/0!</v>
      </c>
      <c r="D43" s="2659"/>
      <c r="E43" s="2659"/>
      <c r="F43" s="2659"/>
      <c r="G43" s="2659"/>
      <c r="H43" s="2659"/>
      <c r="I43" s="2659"/>
      <c r="J43" s="2659"/>
      <c r="K43" s="1612"/>
      <c r="L43" s="2143"/>
      <c r="M43" s="2144"/>
      <c r="N43" s="2144"/>
      <c r="O43" s="2144"/>
      <c r="P43" s="3409" t="str">
        <f>A43</f>
        <v>估价对象XX用房的比较价格（楼面单价，元/平方米）</v>
      </c>
      <c r="Q43" s="3410"/>
      <c r="R43" s="3525" t="e">
        <f>IF(F1="售价",ROUND(AVERAGE(R42:V42),0),ROUND(AVERAGE(R42:V42),1))</f>
        <v>#DIV/0!</v>
      </c>
      <c r="S43" s="3525"/>
      <c r="T43" s="3525"/>
      <c r="U43" s="3525"/>
      <c r="V43" s="3525"/>
      <c r="W43" s="3525"/>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529</v>
      </c>
      <c r="B52" s="645"/>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2559</v>
      </c>
      <c r="C76" s="2621" t="s">
        <v>2560</v>
      </c>
      <c r="D76" s="2621" t="s">
        <v>2561</v>
      </c>
      <c r="E76" s="2621" t="s">
        <v>2562</v>
      </c>
      <c r="F76" s="2621" t="s">
        <v>2563</v>
      </c>
      <c r="G76" s="2621" t="s">
        <v>2564</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0"/>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7" t="s">
        <v>2077</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418" t="s">
        <v>798</v>
      </c>
      <c r="D4" s="3419"/>
      <c r="E4" s="3418" t="s">
        <v>799</v>
      </c>
      <c r="F4" s="3419"/>
      <c r="G4" s="3418" t="s">
        <v>800</v>
      </c>
      <c r="H4" s="3419"/>
      <c r="I4" s="3418" t="s">
        <v>801</v>
      </c>
      <c r="J4" s="3419"/>
      <c r="K4" s="513" t="s">
        <v>802</v>
      </c>
      <c r="L4" s="2132"/>
      <c r="M4" s="2133"/>
      <c r="N4" s="2133"/>
      <c r="O4" s="2133"/>
      <c r="P4" s="3420" t="s">
        <v>803</v>
      </c>
      <c r="Q4" s="3421"/>
      <c r="R4" s="3426" t="s">
        <v>799</v>
      </c>
      <c r="S4" s="3427"/>
      <c r="T4" s="3426" t="s">
        <v>800</v>
      </c>
      <c r="U4" s="3427"/>
      <c r="V4" s="3413" t="s">
        <v>801</v>
      </c>
      <c r="W4" s="3413"/>
      <c r="X4" s="1566"/>
      <c r="Y4" s="3426" t="s">
        <v>803</v>
      </c>
      <c r="Z4" s="3427"/>
      <c r="AA4" s="3415" t="s">
        <v>799</v>
      </c>
      <c r="AB4" s="3416" t="s">
        <v>800</v>
      </c>
      <c r="AC4" s="3415" t="s">
        <v>801</v>
      </c>
    </row>
    <row r="5" spans="1:29" ht="15">
      <c r="A5" s="514"/>
      <c r="B5" s="515"/>
      <c r="C5" s="3531" t="s">
        <v>2919</v>
      </c>
      <c r="D5" s="3532"/>
      <c r="E5" s="3531" t="s">
        <v>2920</v>
      </c>
      <c r="F5" s="3532"/>
      <c r="G5" s="3531" t="s">
        <v>2921</v>
      </c>
      <c r="H5" s="3532"/>
      <c r="I5" s="3531" t="s">
        <v>2922</v>
      </c>
      <c r="J5" s="3532"/>
      <c r="K5" s="513"/>
      <c r="L5" s="2132"/>
      <c r="M5" s="2133"/>
      <c r="N5" s="2133"/>
      <c r="O5" s="2133"/>
      <c r="P5" s="3422"/>
      <c r="Q5" s="3423"/>
      <c r="R5" s="3428"/>
      <c r="S5" s="3429"/>
      <c r="T5" s="3428"/>
      <c r="U5" s="3429"/>
      <c r="V5" s="3413"/>
      <c r="W5" s="3413"/>
      <c r="X5" s="1566"/>
      <c r="Y5" s="3428"/>
      <c r="Z5" s="3429"/>
      <c r="AA5" s="3416"/>
      <c r="AB5" s="3416"/>
      <c r="AC5" s="3416"/>
    </row>
    <row r="6" spans="1:29" ht="15.75" thickBot="1">
      <c r="A6" s="516"/>
      <c r="B6" s="517"/>
      <c r="C6" s="3529" t="s">
        <v>2923</v>
      </c>
      <c r="D6" s="3530"/>
      <c r="E6" s="3541" t="s">
        <v>2923</v>
      </c>
      <c r="F6" s="3542"/>
      <c r="G6" s="3529" t="s">
        <v>2923</v>
      </c>
      <c r="H6" s="3530"/>
      <c r="I6" s="3529" t="s">
        <v>2923</v>
      </c>
      <c r="J6" s="3530"/>
      <c r="K6" s="513" t="s">
        <v>528</v>
      </c>
      <c r="L6" s="2132"/>
      <c r="M6" s="2133"/>
      <c r="N6" s="2133"/>
      <c r="O6" s="2133"/>
      <c r="P6" s="3424"/>
      <c r="Q6" s="3425"/>
      <c r="R6" s="3428"/>
      <c r="S6" s="3429"/>
      <c r="T6" s="3430"/>
      <c r="U6" s="3431"/>
      <c r="V6" s="3413"/>
      <c r="W6" s="3413"/>
      <c r="X6" s="1566"/>
      <c r="Y6" s="3430"/>
      <c r="Z6" s="3431"/>
      <c r="AA6" s="3417"/>
      <c r="AB6" s="3417"/>
      <c r="AC6" s="3417"/>
    </row>
    <row r="7" spans="1:29" s="1219" customFormat="1" ht="15.75" thickBot="1">
      <c r="A7" s="2935"/>
      <c r="B7" s="2942" t="s">
        <v>529</v>
      </c>
      <c r="C7" s="518">
        <f>'数据-取费表'!B2</f>
        <v>43244</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44" t="s">
        <v>530</v>
      </c>
      <c r="Q7" s="3446"/>
      <c r="R7" s="1567" t="s">
        <v>8</v>
      </c>
      <c r="S7" s="1568">
        <f t="shared" ref="S7:S14" si="0">F7</f>
        <v>0</v>
      </c>
      <c r="T7" s="1567" t="s">
        <v>8</v>
      </c>
      <c r="U7" s="1568">
        <f t="shared" ref="U7:U14" si="1">H7</f>
        <v>0</v>
      </c>
      <c r="V7" s="1567" t="s">
        <v>8</v>
      </c>
      <c r="W7" s="1568">
        <f t="shared" ref="W7:W14" si="2">J7</f>
        <v>0</v>
      </c>
      <c r="X7" s="1569"/>
      <c r="Y7" s="3444" t="s">
        <v>530</v>
      </c>
      <c r="Z7" s="3445"/>
      <c r="AA7" s="1570" t="e">
        <f>D7/F7</f>
        <v>#DIV/0!</v>
      </c>
      <c r="AB7" s="1570" t="e">
        <f>D7/H7</f>
        <v>#DIV/0!</v>
      </c>
      <c r="AC7" s="1570" t="e">
        <f>D7/J7</f>
        <v>#DIV/0!</v>
      </c>
    </row>
    <row r="8" spans="1:29" s="1219" customFormat="1" ht="15.75" thickBot="1">
      <c r="A8" s="2936"/>
      <c r="B8" s="2943"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44" t="s">
        <v>533</v>
      </c>
      <c r="Q8" s="3445"/>
      <c r="R8" s="1567" t="s">
        <v>8</v>
      </c>
      <c r="S8" s="1568">
        <f t="shared" si="0"/>
        <v>0</v>
      </c>
      <c r="T8" s="1567" t="s">
        <v>8</v>
      </c>
      <c r="U8" s="1568">
        <f t="shared" si="1"/>
        <v>0</v>
      </c>
      <c r="V8" s="1567" t="s">
        <v>8</v>
      </c>
      <c r="W8" s="1568">
        <f t="shared" si="2"/>
        <v>0</v>
      </c>
      <c r="X8" s="1569"/>
      <c r="Y8" s="3444" t="s">
        <v>533</v>
      </c>
      <c r="Z8" s="3445"/>
      <c r="AA8" s="1570" t="e">
        <f t="shared" ref="AA8:AA36" si="3">D8/F8</f>
        <v>#DIV/0!</v>
      </c>
      <c r="AB8" s="1570" t="e">
        <f t="shared" ref="AB8:AB36" si="4">D8/H8</f>
        <v>#DIV/0!</v>
      </c>
      <c r="AC8" s="1570" t="e">
        <f t="shared" ref="AC8:AC36" si="5">D8/J8</f>
        <v>#DIV/0!</v>
      </c>
    </row>
    <row r="9" spans="1:29" s="1219" customFormat="1" ht="15">
      <c r="A9" s="2937"/>
      <c r="B9" s="2944" t="s">
        <v>2757</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412" t="s">
        <v>535</v>
      </c>
      <c r="Q9" s="1150" t="str">
        <f t="shared" ref="Q9:Q14" si="6">B9</f>
        <v>用途</v>
      </c>
      <c r="R9" s="1567" t="s">
        <v>8</v>
      </c>
      <c r="S9" s="1568">
        <f t="shared" si="0"/>
        <v>100</v>
      </c>
      <c r="T9" s="1567" t="s">
        <v>8</v>
      </c>
      <c r="U9" s="1568">
        <f t="shared" si="1"/>
        <v>100</v>
      </c>
      <c r="V9" s="1567" t="s">
        <v>8</v>
      </c>
      <c r="W9" s="1568">
        <f t="shared" si="2"/>
        <v>100</v>
      </c>
      <c r="X9" s="1569"/>
      <c r="Y9" s="3358" t="s">
        <v>536</v>
      </c>
      <c r="Z9" s="1149" t="str">
        <f t="shared" ref="Z9:Z14" si="7">Q9</f>
        <v>用途</v>
      </c>
      <c r="AA9" s="1570">
        <f t="shared" si="3"/>
        <v>1</v>
      </c>
      <c r="AB9" s="1570">
        <f t="shared" si="4"/>
        <v>1</v>
      </c>
      <c r="AC9" s="1570">
        <f t="shared" si="5"/>
        <v>1</v>
      </c>
    </row>
    <row r="10" spans="1:29" s="1337" customFormat="1" ht="27">
      <c r="A10" s="2938"/>
      <c r="B10" s="2943" t="s">
        <v>2758</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412"/>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12"/>
      <c r="Q11" s="1150">
        <f t="shared" si="6"/>
        <v>111</v>
      </c>
      <c r="R11" s="1567" t="s">
        <v>8</v>
      </c>
      <c r="S11" s="1568">
        <f t="shared" si="0"/>
        <v>100</v>
      </c>
      <c r="T11" s="1567" t="s">
        <v>8</v>
      </c>
      <c r="U11" s="1568">
        <f t="shared" si="1"/>
        <v>100</v>
      </c>
      <c r="V11" s="1567" t="s">
        <v>8</v>
      </c>
      <c r="W11" s="1568">
        <f t="shared" si="2"/>
        <v>100</v>
      </c>
      <c r="X11" s="1569"/>
      <c r="Y11" s="3358"/>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12"/>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12"/>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5">
      <c r="A14" s="2933" t="s">
        <v>2755</v>
      </c>
      <c r="B14" s="546" t="s">
        <v>543</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47" t="s">
        <v>540</v>
      </c>
      <c r="Q14" s="1571" t="str">
        <f t="shared" si="6"/>
        <v>交通便捷度</v>
      </c>
      <c r="R14" s="1572" t="s">
        <v>8</v>
      </c>
      <c r="S14" s="1573">
        <f t="shared" si="0"/>
        <v>100</v>
      </c>
      <c r="T14" s="1572" t="s">
        <v>8</v>
      </c>
      <c r="U14" s="1573">
        <f t="shared" si="1"/>
        <v>100</v>
      </c>
      <c r="V14" s="1572" t="s">
        <v>8</v>
      </c>
      <c r="W14" s="1573">
        <f t="shared" si="2"/>
        <v>100</v>
      </c>
      <c r="X14" s="1566"/>
      <c r="Y14" s="3447"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448"/>
      <c r="Q15" s="1571"/>
      <c r="R15" s="1572"/>
      <c r="S15" s="1573"/>
      <c r="T15" s="1572"/>
      <c r="U15" s="1573"/>
      <c r="V15" s="1572"/>
      <c r="W15" s="1573"/>
      <c r="X15" s="1566"/>
      <c r="Y15" s="3448"/>
      <c r="Z15" s="1574"/>
      <c r="AA15" s="1575">
        <v>1</v>
      </c>
      <c r="AB15" s="1575">
        <v>1</v>
      </c>
      <c r="AC15" s="1575">
        <v>1</v>
      </c>
    </row>
    <row r="16" spans="1:29" ht="15">
      <c r="A16" s="514"/>
      <c r="B16" s="2626" t="s">
        <v>2547</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48"/>
      <c r="Q16" s="1571" t="str">
        <f>B16</f>
        <v>公共配套设施</v>
      </c>
      <c r="R16" s="1572" t="s">
        <v>8</v>
      </c>
      <c r="S16" s="1573">
        <f>F16</f>
        <v>100</v>
      </c>
      <c r="T16" s="1572" t="s">
        <v>8</v>
      </c>
      <c r="U16" s="1573">
        <f>H16</f>
        <v>100</v>
      </c>
      <c r="V16" s="1572" t="s">
        <v>8</v>
      </c>
      <c r="W16" s="1573">
        <f>J16</f>
        <v>100</v>
      </c>
      <c r="X16" s="1566"/>
      <c r="Y16" s="3448"/>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448"/>
      <c r="Q17" s="1571"/>
      <c r="R17" s="1572"/>
      <c r="S17" s="1573"/>
      <c r="T17" s="1572"/>
      <c r="U17" s="1573"/>
      <c r="V17" s="1572"/>
      <c r="W17" s="1573"/>
      <c r="X17" s="1566"/>
      <c r="Y17" s="3448"/>
      <c r="Z17" s="1574"/>
      <c r="AA17" s="1575">
        <v>1</v>
      </c>
      <c r="AB17" s="1575">
        <v>1</v>
      </c>
      <c r="AC17" s="1575">
        <v>1</v>
      </c>
    </row>
    <row r="18" spans="1:29" ht="15">
      <c r="A18" s="514"/>
      <c r="B18" s="2614" t="s">
        <v>2559</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48"/>
      <c r="Q18" s="2602" t="str">
        <f>B18</f>
        <v>基础设施水平</v>
      </c>
      <c r="R18" s="1572" t="s">
        <v>8</v>
      </c>
      <c r="S18" s="1573">
        <f>F18</f>
        <v>100</v>
      </c>
      <c r="T18" s="1572" t="s">
        <v>8</v>
      </c>
      <c r="U18" s="1573">
        <f>H18</f>
        <v>100</v>
      </c>
      <c r="V18" s="1572" t="s">
        <v>8</v>
      </c>
      <c r="W18" s="1573">
        <f>J18</f>
        <v>100</v>
      </c>
      <c r="X18" s="2604"/>
      <c r="Y18" s="3448"/>
      <c r="Z18" s="260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5"/>
      <c r="L19" s="2141"/>
      <c r="M19" s="2133"/>
      <c r="N19" s="2133"/>
      <c r="O19" s="2140"/>
      <c r="P19" s="3448"/>
      <c r="Q19" s="2602"/>
      <c r="R19" s="1572"/>
      <c r="S19" s="1573"/>
      <c r="T19" s="1572"/>
      <c r="U19" s="1573"/>
      <c r="V19" s="1572"/>
      <c r="W19" s="1573"/>
      <c r="X19" s="2604"/>
      <c r="Y19" s="3448"/>
      <c r="Z19" s="2603"/>
      <c r="AA19" s="1575">
        <v>1</v>
      </c>
      <c r="AB19" s="1575">
        <v>1</v>
      </c>
      <c r="AC19" s="1575">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48"/>
      <c r="Q20" s="1571" t="str">
        <f>B20</f>
        <v>自然及人文环境</v>
      </c>
      <c r="R20" s="1572" t="s">
        <v>8</v>
      </c>
      <c r="S20" s="1573">
        <f>F20</f>
        <v>100</v>
      </c>
      <c r="T20" s="1572" t="s">
        <v>8</v>
      </c>
      <c r="U20" s="1573">
        <f>H20</f>
        <v>100</v>
      </c>
      <c r="V20" s="1572" t="s">
        <v>8</v>
      </c>
      <c r="W20" s="1573">
        <f>J20</f>
        <v>100</v>
      </c>
      <c r="X20" s="1566"/>
      <c r="Y20" s="3448"/>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448"/>
      <c r="Q21" s="1571"/>
      <c r="R21" s="1572"/>
      <c r="S21" s="1573"/>
      <c r="T21" s="1572"/>
      <c r="U21" s="1573"/>
      <c r="V21" s="1572"/>
      <c r="W21" s="1573"/>
      <c r="X21" s="1566"/>
      <c r="Y21" s="3448"/>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48"/>
      <c r="Q22" s="1571" t="str">
        <f>B22</f>
        <v>楼层</v>
      </c>
      <c r="R22" s="1572" t="s">
        <v>8</v>
      </c>
      <c r="S22" s="1573">
        <f>F22</f>
        <v>100</v>
      </c>
      <c r="T22" s="1572" t="s">
        <v>8</v>
      </c>
      <c r="U22" s="1573">
        <f>H22</f>
        <v>100</v>
      </c>
      <c r="V22" s="1572" t="s">
        <v>8</v>
      </c>
      <c r="W22" s="1573">
        <f>J22</f>
        <v>100</v>
      </c>
      <c r="X22" s="1566"/>
      <c r="Y22" s="3448"/>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48"/>
      <c r="Q23" s="1571">
        <f>B23</f>
        <v>111</v>
      </c>
      <c r="R23" s="1572" t="s">
        <v>8</v>
      </c>
      <c r="S23" s="1573">
        <f>F23</f>
        <v>100</v>
      </c>
      <c r="T23" s="1572" t="s">
        <v>8</v>
      </c>
      <c r="U23" s="1573">
        <f>H23</f>
        <v>100</v>
      </c>
      <c r="V23" s="1572" t="s">
        <v>8</v>
      </c>
      <c r="W23" s="1573">
        <f>J23</f>
        <v>100</v>
      </c>
      <c r="X23" s="1566"/>
      <c r="Y23" s="3448"/>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48"/>
      <c r="Q24" s="1571">
        <f t="shared" ref="Q24:Q36" si="11">B24</f>
        <v>111</v>
      </c>
      <c r="R24" s="1572" t="s">
        <v>8</v>
      </c>
      <c r="S24" s="1573">
        <f>F24</f>
        <v>100</v>
      </c>
      <c r="T24" s="1572" t="s">
        <v>8</v>
      </c>
      <c r="U24" s="1573">
        <f>H24</f>
        <v>100</v>
      </c>
      <c r="V24" s="1572" t="s">
        <v>8</v>
      </c>
      <c r="W24" s="1573">
        <f>J24</f>
        <v>100</v>
      </c>
      <c r="X24" s="1566"/>
      <c r="Y24" s="3448"/>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48"/>
      <c r="Q25" s="1150">
        <f t="shared" si="11"/>
        <v>111</v>
      </c>
      <c r="R25" s="1567" t="s">
        <v>8</v>
      </c>
      <c r="S25" s="1568">
        <f>F25</f>
        <v>100</v>
      </c>
      <c r="T25" s="1567" t="s">
        <v>8</v>
      </c>
      <c r="U25" s="1568">
        <f>H25</f>
        <v>100</v>
      </c>
      <c r="V25" s="1567" t="s">
        <v>8</v>
      </c>
      <c r="W25" s="1568">
        <f>J25</f>
        <v>100</v>
      </c>
      <c r="X25" s="1569"/>
      <c r="Y25" s="3448"/>
      <c r="Z25" s="1149">
        <f>Q25</f>
        <v>111</v>
      </c>
      <c r="AA25" s="1575">
        <f>D25/F25</f>
        <v>1</v>
      </c>
      <c r="AB25" s="1575">
        <f>D25/H25</f>
        <v>1</v>
      </c>
      <c r="AC25" s="1575">
        <f>D25/J25</f>
        <v>1</v>
      </c>
    </row>
    <row r="26" spans="1:29" ht="15">
      <c r="A26" s="2930"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49"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50"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50"/>
      <c r="Q27" s="1604" t="str">
        <f t="shared" si="11"/>
        <v>项目停车位配比</v>
      </c>
      <c r="R27" s="1576" t="s">
        <v>8</v>
      </c>
      <c r="S27" s="1577">
        <f t="shared" si="12"/>
        <v>100</v>
      </c>
      <c r="T27" s="1576" t="s">
        <v>8</v>
      </c>
      <c r="U27" s="1577">
        <f t="shared" si="13"/>
        <v>100</v>
      </c>
      <c r="V27" s="1576" t="s">
        <v>8</v>
      </c>
      <c r="W27" s="1577">
        <f t="shared" si="14"/>
        <v>100</v>
      </c>
      <c r="X27" s="1578"/>
      <c r="Y27" s="3450"/>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50"/>
      <c r="Q28" s="1571" t="str">
        <f t="shared" si="11"/>
        <v>公共部分装修</v>
      </c>
      <c r="R28" s="1572" t="s">
        <v>8</v>
      </c>
      <c r="S28" s="1573">
        <f t="shared" si="12"/>
        <v>100</v>
      </c>
      <c r="T28" s="1572" t="s">
        <v>8</v>
      </c>
      <c r="U28" s="1573">
        <f t="shared" si="13"/>
        <v>100</v>
      </c>
      <c r="V28" s="1572" t="s">
        <v>8</v>
      </c>
      <c r="W28" s="1573">
        <f t="shared" si="14"/>
        <v>100</v>
      </c>
      <c r="X28" s="1566"/>
      <c r="Y28" s="3450"/>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50"/>
      <c r="Q29" s="1571" t="str">
        <f t="shared" si="11"/>
        <v>成新率</v>
      </c>
      <c r="R29" s="1572" t="s">
        <v>8</v>
      </c>
      <c r="S29" s="1573" t="e">
        <f t="shared" si="12"/>
        <v>#N/A</v>
      </c>
      <c r="T29" s="1572" t="s">
        <v>8</v>
      </c>
      <c r="U29" s="1573" t="e">
        <f t="shared" si="13"/>
        <v>#N/A</v>
      </c>
      <c r="V29" s="1572" t="s">
        <v>8</v>
      </c>
      <c r="W29" s="1573" t="e">
        <f t="shared" si="14"/>
        <v>#N/A</v>
      </c>
      <c r="X29" s="1566"/>
      <c r="Y29" s="3450"/>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50"/>
      <c r="Q30" s="1571" t="str">
        <f t="shared" si="11"/>
        <v>物业等级</v>
      </c>
      <c r="R30" s="1572" t="s">
        <v>8</v>
      </c>
      <c r="S30" s="1573">
        <f t="shared" si="12"/>
        <v>100</v>
      </c>
      <c r="T30" s="1572" t="s">
        <v>8</v>
      </c>
      <c r="U30" s="1573">
        <f t="shared" si="13"/>
        <v>100</v>
      </c>
      <c r="V30" s="1572" t="s">
        <v>8</v>
      </c>
      <c r="W30" s="1573">
        <f t="shared" si="14"/>
        <v>100</v>
      </c>
      <c r="X30" s="1566"/>
      <c r="Y30" s="3450"/>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50"/>
      <c r="Q31" s="1150" t="str">
        <f t="shared" si="11"/>
        <v>停车位面积</v>
      </c>
      <c r="R31" s="1567" t="s">
        <v>8</v>
      </c>
      <c r="S31" s="1568" t="e">
        <f t="shared" si="12"/>
        <v>#N/A</v>
      </c>
      <c r="T31" s="1567" t="s">
        <v>8</v>
      </c>
      <c r="U31" s="1568" t="e">
        <f t="shared" si="13"/>
        <v>#N/A</v>
      </c>
      <c r="V31" s="1567" t="s">
        <v>8</v>
      </c>
      <c r="W31" s="1568" t="e">
        <f t="shared" si="14"/>
        <v>#N/A</v>
      </c>
      <c r="X31" s="1569"/>
      <c r="Y31" s="3450"/>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50" t="s">
        <v>550</v>
      </c>
      <c r="Q32" s="1571" t="str">
        <f t="shared" si="11"/>
        <v>车位类型</v>
      </c>
      <c r="R32" s="1572" t="s">
        <v>8</v>
      </c>
      <c r="S32" s="1573">
        <f t="shared" si="12"/>
        <v>100</v>
      </c>
      <c r="T32" s="1572" t="s">
        <v>8</v>
      </c>
      <c r="U32" s="1573">
        <f t="shared" si="13"/>
        <v>100</v>
      </c>
      <c r="V32" s="1572" t="s">
        <v>8</v>
      </c>
      <c r="W32" s="1573">
        <f t="shared" si="14"/>
        <v>100</v>
      </c>
      <c r="X32" s="1566"/>
      <c r="Y32" s="3450"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50"/>
      <c r="Q33" s="1571" t="str">
        <f t="shared" si="11"/>
        <v>是否直接入户</v>
      </c>
      <c r="R33" s="1572" t="s">
        <v>8</v>
      </c>
      <c r="S33" s="1573">
        <f t="shared" si="12"/>
        <v>100</v>
      </c>
      <c r="T33" s="1572" t="s">
        <v>8</v>
      </c>
      <c r="U33" s="1573">
        <f t="shared" si="13"/>
        <v>100</v>
      </c>
      <c r="V33" s="1572" t="s">
        <v>8</v>
      </c>
      <c r="W33" s="1573">
        <f t="shared" si="14"/>
        <v>100</v>
      </c>
      <c r="X33" s="1566"/>
      <c r="Y33" s="3450"/>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50"/>
      <c r="Q34" s="1571">
        <f t="shared" si="11"/>
        <v>111</v>
      </c>
      <c r="R34" s="1572" t="s">
        <v>8</v>
      </c>
      <c r="S34" s="1573">
        <f t="shared" si="12"/>
        <v>100</v>
      </c>
      <c r="T34" s="1572" t="s">
        <v>8</v>
      </c>
      <c r="U34" s="1573">
        <f t="shared" si="13"/>
        <v>100</v>
      </c>
      <c r="V34" s="1572" t="s">
        <v>8</v>
      </c>
      <c r="W34" s="1573">
        <f t="shared" si="14"/>
        <v>100</v>
      </c>
      <c r="X34" s="1566"/>
      <c r="Y34" s="3450"/>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50"/>
      <c r="Q35" s="1604">
        <f t="shared" si="11"/>
        <v>111</v>
      </c>
      <c r="R35" s="1576" t="s">
        <v>8</v>
      </c>
      <c r="S35" s="1577">
        <f t="shared" si="12"/>
        <v>100</v>
      </c>
      <c r="T35" s="1576" t="s">
        <v>8</v>
      </c>
      <c r="U35" s="1577">
        <f t="shared" si="13"/>
        <v>100</v>
      </c>
      <c r="V35" s="1576" t="s">
        <v>8</v>
      </c>
      <c r="W35" s="1577">
        <f t="shared" si="14"/>
        <v>100</v>
      </c>
      <c r="X35" s="1578"/>
      <c r="Y35" s="3450"/>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50"/>
      <c r="Q36" s="1571">
        <f t="shared" si="11"/>
        <v>111</v>
      </c>
      <c r="R36" s="1572" t="s">
        <v>8</v>
      </c>
      <c r="S36" s="1573">
        <f t="shared" si="12"/>
        <v>100</v>
      </c>
      <c r="T36" s="1572" t="s">
        <v>8</v>
      </c>
      <c r="U36" s="1573">
        <f t="shared" si="13"/>
        <v>100</v>
      </c>
      <c r="V36" s="1572" t="s">
        <v>8</v>
      </c>
      <c r="W36" s="1573">
        <f t="shared" si="14"/>
        <v>100</v>
      </c>
      <c r="X36" s="1566"/>
      <c r="Y36" s="3450"/>
      <c r="Z36" s="1574">
        <f t="shared" si="15"/>
        <v>111</v>
      </c>
      <c r="AA36" s="1575">
        <f t="shared" si="3"/>
        <v>1</v>
      </c>
      <c r="AB36" s="1575">
        <f t="shared" si="4"/>
        <v>1</v>
      </c>
      <c r="AC36" s="1575">
        <f t="shared" si="5"/>
        <v>1</v>
      </c>
    </row>
    <row r="37" spans="1:29" ht="15">
      <c r="A37" s="1845" t="s">
        <v>2078</v>
      </c>
      <c r="B37" s="1846" t="s">
        <v>2079</v>
      </c>
      <c r="C37" s="2650" t="s">
        <v>1</v>
      </c>
      <c r="D37" s="2651"/>
      <c r="E37" s="2652"/>
      <c r="F37" s="2653"/>
      <c r="G37" s="2654"/>
      <c r="H37" s="2655"/>
      <c r="I37" s="2652"/>
      <c r="J37" s="2655"/>
      <c r="K37" s="1610"/>
      <c r="L37" s="2143"/>
      <c r="M37" s="2144"/>
      <c r="N37" s="2133"/>
      <c r="O37" s="2144"/>
      <c r="P37" s="3412" t="str">
        <f>A37</f>
        <v>成交单价</v>
      </c>
      <c r="Q37" s="3412"/>
      <c r="R37" s="3526">
        <f>E37</f>
        <v>0</v>
      </c>
      <c r="S37" s="3526"/>
      <c r="T37" s="3526">
        <f>G37</f>
        <v>0</v>
      </c>
      <c r="U37" s="3526"/>
      <c r="V37" s="3526">
        <f>I37</f>
        <v>0</v>
      </c>
      <c r="W37" s="3526"/>
      <c r="X37" s="1558"/>
      <c r="Y37" s="1580"/>
      <c r="Z37" s="1558"/>
      <c r="AA37" s="1558"/>
      <c r="AB37" s="1558"/>
      <c r="AC37" s="1558"/>
    </row>
    <row r="38" spans="1:29" ht="15.75" thickBot="1">
      <c r="A38" s="614" t="s">
        <v>2761</v>
      </c>
      <c r="B38" s="887"/>
      <c r="C38" s="2656" t="e">
        <f>R39</f>
        <v>#DIV/0!</v>
      </c>
      <c r="D38" s="2657"/>
      <c r="E38" s="2658" t="e">
        <f>R38</f>
        <v>#DIV/0!</v>
      </c>
      <c r="F38" s="2658"/>
      <c r="G38" s="2656" t="e">
        <f>T38</f>
        <v>#DIV/0!</v>
      </c>
      <c r="H38" s="2657"/>
      <c r="I38" s="2658" t="e">
        <f>V38</f>
        <v>#DIV/0!</v>
      </c>
      <c r="J38" s="2657"/>
      <c r="K38" s="1611"/>
      <c r="L38" s="2143"/>
      <c r="M38" s="2144"/>
      <c r="N38" s="2144"/>
      <c r="O38" s="2144"/>
      <c r="P38" s="3412" t="str">
        <f>A38</f>
        <v>比较价格（元/平方米）</v>
      </c>
      <c r="Q38" s="3412"/>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1558"/>
      <c r="Y38" s="1558"/>
      <c r="Z38" s="1558"/>
      <c r="AA38" s="1558"/>
      <c r="AB38" s="1558"/>
      <c r="AC38" s="1558"/>
    </row>
    <row r="39" spans="1:29" ht="15.75" thickBot="1">
      <c r="A39" s="620" t="s">
        <v>2924</v>
      </c>
      <c r="B39" s="621"/>
      <c r="C39" s="2659" t="e">
        <f>R39</f>
        <v>#DIV/0!</v>
      </c>
      <c r="D39" s="2659"/>
      <c r="E39" s="2659"/>
      <c r="F39" s="2659"/>
      <c r="G39" s="2659"/>
      <c r="H39" s="2659"/>
      <c r="I39" s="2659"/>
      <c r="J39" s="2659"/>
      <c r="K39" s="1612"/>
      <c r="L39" s="2143"/>
      <c r="M39" s="2144"/>
      <c r="N39" s="2144"/>
      <c r="O39" s="2144"/>
      <c r="P39" s="3409" t="str">
        <f>A39</f>
        <v>估价对象XX用房的比较价格（楼面单价，元/平方米）</v>
      </c>
      <c r="Q39" s="3410"/>
      <c r="R39" s="3525" t="e">
        <f>IF(F1="售价",ROUND(AVERAGE(R38:V38),0),ROUND(AVERAGE(R38:V38),1))</f>
        <v>#DIV/0!</v>
      </c>
      <c r="S39" s="3525"/>
      <c r="T39" s="3525"/>
      <c r="U39" s="3525"/>
      <c r="V39" s="3525"/>
      <c r="W39" s="3525"/>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529</v>
      </c>
      <c r="B48" s="645"/>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9" customFormat="1" ht="15">
      <c r="A49" s="646"/>
      <c r="B49" s="647"/>
      <c r="C49" s="2826">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2559</v>
      </c>
      <c r="C67" s="2621" t="s">
        <v>2560</v>
      </c>
      <c r="D67" s="2621" t="s">
        <v>2561</v>
      </c>
      <c r="E67" s="2621" t="s">
        <v>2562</v>
      </c>
      <c r="F67" s="2621" t="s">
        <v>2563</v>
      </c>
      <c r="G67" s="2621" t="s">
        <v>2564</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551</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珠海市恒信糖业有限公司：</v>
      </c>
    </row>
    <row r="4" spans="1:4" ht="37.5">
      <c r="A4" s="1790" t="str">
        <f>"受贵公司委托，我公司对"&amp;项目基本情况!K2&amp;项目基本情况!B9&amp;"进行了预评估。"</f>
        <v>受贵公司委托，我公司对广东省珠海市斗门区乾务镇糖厂内2宗工业用地出让国有建设用地使用权抵押价格进行了预评估。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珠海市斗门区乾务镇糖厂内2宗工业用地出让国有建设用地使用权。根据《国有土地使用证》[斗府国用（2002）字第04210300132号]，估价对象（分摊）出让国有建设用地使用权面积为157370.63平方米。根据企业介绍、《房地产权证》，估价对象规划建筑面积为140004.31平方米。</v>
      </c>
    </row>
    <row r="7" spans="1:4" ht="93.75">
      <c r="A7" s="2896" t="s">
        <v>2749</v>
      </c>
    </row>
    <row r="8" spans="1:4" ht="18.75">
      <c r="A8" s="1793" t="s">
        <v>1907</v>
      </c>
    </row>
    <row r="9" spans="1:4" ht="75">
      <c r="A9" s="1795"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2018年5月24日（评估专业人员勘察现场之日）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根据《国有土地使用证》[斗府国用（2002）字第04210300132号]，本次评估估价对象证载（地类）用途为住宅。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根据《国有土地使用证》[斗府国用（2002）字第04210300132号]，估价对象（分摊）出让国有建设用地使用权面积为157370.63平方米。根据企业介绍、《房地产权证》，估价对象规划建筑面积为140004.31平方米。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98" t="s">
        <v>2750</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工业34.26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0"/>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418" t="s">
        <v>798</v>
      </c>
      <c r="D4" s="3419"/>
      <c r="E4" s="3453" t="s">
        <v>799</v>
      </c>
      <c r="F4" s="3454"/>
      <c r="G4" s="3418" t="s">
        <v>800</v>
      </c>
      <c r="H4" s="3419"/>
      <c r="I4" s="3418" t="s">
        <v>801</v>
      </c>
      <c r="J4" s="3419"/>
      <c r="K4" s="513" t="s">
        <v>802</v>
      </c>
      <c r="L4" s="2132"/>
      <c r="M4" s="2133"/>
      <c r="N4" s="2133"/>
      <c r="O4" s="2133"/>
      <c r="P4" s="3420" t="s">
        <v>803</v>
      </c>
      <c r="Q4" s="3421"/>
      <c r="R4" s="3426" t="s">
        <v>799</v>
      </c>
      <c r="S4" s="3427"/>
      <c r="T4" s="3426" t="s">
        <v>800</v>
      </c>
      <c r="U4" s="3427"/>
      <c r="V4" s="3413" t="s">
        <v>801</v>
      </c>
      <c r="W4" s="3413"/>
      <c r="X4" s="1566"/>
      <c r="Y4" s="3426" t="s">
        <v>803</v>
      </c>
      <c r="Z4" s="3427"/>
      <c r="AA4" s="3415" t="s">
        <v>799</v>
      </c>
      <c r="AB4" s="3416" t="s">
        <v>800</v>
      </c>
      <c r="AC4" s="3415" t="s">
        <v>801</v>
      </c>
    </row>
    <row r="5" spans="1:29" ht="15">
      <c r="A5" s="514"/>
      <c r="B5" s="515"/>
      <c r="C5" s="3531" t="s">
        <v>2919</v>
      </c>
      <c r="D5" s="3532"/>
      <c r="E5" s="3535" t="s">
        <v>2920</v>
      </c>
      <c r="F5" s="3536"/>
      <c r="G5" s="3531" t="s">
        <v>2921</v>
      </c>
      <c r="H5" s="3532"/>
      <c r="I5" s="3531" t="s">
        <v>2922</v>
      </c>
      <c r="J5" s="3532"/>
      <c r="K5" s="513"/>
      <c r="L5" s="2132"/>
      <c r="M5" s="2133"/>
      <c r="N5" s="2133"/>
      <c r="O5" s="2133"/>
      <c r="P5" s="3422"/>
      <c r="Q5" s="3423"/>
      <c r="R5" s="3428"/>
      <c r="S5" s="3429"/>
      <c r="T5" s="3428"/>
      <c r="U5" s="3429"/>
      <c r="V5" s="3413"/>
      <c r="W5" s="3413"/>
      <c r="X5" s="1566"/>
      <c r="Y5" s="3428"/>
      <c r="Z5" s="3429"/>
      <c r="AA5" s="3416"/>
      <c r="AB5" s="3416"/>
      <c r="AC5" s="3416"/>
    </row>
    <row r="6" spans="1:29" ht="15.75" thickBot="1">
      <c r="A6" s="516"/>
      <c r="B6" s="517"/>
      <c r="C6" s="3529" t="s">
        <v>2923</v>
      </c>
      <c r="D6" s="3530"/>
      <c r="E6" s="3533" t="s">
        <v>2923</v>
      </c>
      <c r="F6" s="3534"/>
      <c r="G6" s="3529" t="s">
        <v>2923</v>
      </c>
      <c r="H6" s="3530"/>
      <c r="I6" s="3529" t="s">
        <v>2923</v>
      </c>
      <c r="J6" s="3530"/>
      <c r="K6" s="513" t="s">
        <v>528</v>
      </c>
      <c r="L6" s="2132"/>
      <c r="M6" s="2133"/>
      <c r="N6" s="2133"/>
      <c r="O6" s="2133"/>
      <c r="P6" s="3424"/>
      <c r="Q6" s="3425"/>
      <c r="R6" s="3428"/>
      <c r="S6" s="3429"/>
      <c r="T6" s="3430"/>
      <c r="U6" s="3431"/>
      <c r="V6" s="3413"/>
      <c r="W6" s="3413"/>
      <c r="X6" s="1566"/>
      <c r="Y6" s="3430"/>
      <c r="Z6" s="3431"/>
      <c r="AA6" s="3417"/>
      <c r="AB6" s="3417"/>
      <c r="AC6" s="3417"/>
    </row>
    <row r="7" spans="1:29" s="1219" customFormat="1" ht="15.75" thickBot="1">
      <c r="A7" s="2935"/>
      <c r="B7" s="2942" t="s">
        <v>529</v>
      </c>
      <c r="C7" s="518">
        <f>'数据-取费表'!B2</f>
        <v>43244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44" t="s">
        <v>530</v>
      </c>
      <c r="Q7" s="3446"/>
      <c r="R7" s="1567" t="s">
        <v>8</v>
      </c>
      <c r="S7" s="1568">
        <f t="shared" ref="S7:S14" si="0">F7</f>
        <v>0</v>
      </c>
      <c r="T7" s="1567" t="s">
        <v>8</v>
      </c>
      <c r="U7" s="1568">
        <f t="shared" ref="U7:U14" si="1">H7</f>
        <v>0</v>
      </c>
      <c r="V7" s="1567" t="s">
        <v>8</v>
      </c>
      <c r="W7" s="1568">
        <f t="shared" ref="W7:W14" si="2">J7</f>
        <v>0</v>
      </c>
      <c r="X7" s="1569"/>
      <c r="Y7" s="3444" t="s">
        <v>530</v>
      </c>
      <c r="Z7" s="3445"/>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44" t="s">
        <v>533</v>
      </c>
      <c r="Q8" s="3445"/>
      <c r="R8" s="1567" t="s">
        <v>8</v>
      </c>
      <c r="S8" s="1568">
        <f t="shared" si="0"/>
        <v>0</v>
      </c>
      <c r="T8" s="1567" t="s">
        <v>8</v>
      </c>
      <c r="U8" s="1568">
        <f t="shared" si="1"/>
        <v>0</v>
      </c>
      <c r="V8" s="1567" t="s">
        <v>8</v>
      </c>
      <c r="W8" s="1568">
        <f t="shared" si="2"/>
        <v>0</v>
      </c>
      <c r="X8" s="1569"/>
      <c r="Y8" s="3444" t="s">
        <v>533</v>
      </c>
      <c r="Z8" s="3445"/>
      <c r="AA8" s="1570" t="e">
        <f t="shared" ref="AA8:AA34" si="3">D8/F8</f>
        <v>#DIV/0!</v>
      </c>
      <c r="AB8" s="1570" t="e">
        <f t="shared" ref="AB8:AB34" si="4">D8/H8</f>
        <v>#DIV/0!</v>
      </c>
      <c r="AC8" s="1570" t="e">
        <f t="shared" ref="AC8:AC34" si="5">D8/J8</f>
        <v>#DIV/0!</v>
      </c>
    </row>
    <row r="9" spans="1:29" s="1219" customFormat="1" ht="15">
      <c r="A9" s="2937"/>
      <c r="B9" s="2944"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12" t="s">
        <v>535</v>
      </c>
      <c r="Q9" s="1150" t="str">
        <f t="shared" ref="Q9:Q14" si="6">B9</f>
        <v>用途</v>
      </c>
      <c r="R9" s="1567" t="s">
        <v>8</v>
      </c>
      <c r="S9" s="1568">
        <f t="shared" si="0"/>
        <v>100</v>
      </c>
      <c r="T9" s="1567" t="s">
        <v>8</v>
      </c>
      <c r="U9" s="1568">
        <f t="shared" si="1"/>
        <v>100</v>
      </c>
      <c r="V9" s="1567" t="s">
        <v>8</v>
      </c>
      <c r="W9" s="1568">
        <f t="shared" si="2"/>
        <v>100</v>
      </c>
      <c r="X9" s="1569"/>
      <c r="Y9" s="3358" t="s">
        <v>536</v>
      </c>
      <c r="Z9" s="1149" t="str">
        <f t="shared" ref="Z9:Z14" si="7">Q9</f>
        <v>用途</v>
      </c>
      <c r="AA9" s="1570">
        <f t="shared" si="3"/>
        <v>1</v>
      </c>
      <c r="AB9" s="1570">
        <f t="shared" si="4"/>
        <v>1</v>
      </c>
      <c r="AC9" s="1570">
        <f t="shared" si="5"/>
        <v>1</v>
      </c>
    </row>
    <row r="10" spans="1:29" s="1337" customFormat="1" ht="27">
      <c r="A10" s="2938"/>
      <c r="B10" s="2943"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12"/>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412"/>
      <c r="Q11" s="1150">
        <f t="shared" si="6"/>
        <v>111</v>
      </c>
      <c r="R11" s="1567" t="s">
        <v>8</v>
      </c>
      <c r="S11" s="1568">
        <f t="shared" si="0"/>
        <v>100</v>
      </c>
      <c r="T11" s="1567" t="s">
        <v>8</v>
      </c>
      <c r="U11" s="1568">
        <f t="shared" si="1"/>
        <v>100</v>
      </c>
      <c r="V11" s="1567" t="s">
        <v>8</v>
      </c>
      <c r="W11" s="1568">
        <f t="shared" si="2"/>
        <v>100</v>
      </c>
      <c r="X11" s="1569"/>
      <c r="Y11" s="3358"/>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412"/>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412"/>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5">
      <c r="A14" s="2933" t="s">
        <v>2755</v>
      </c>
      <c r="B14" s="166" t="s">
        <v>543</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47" t="s">
        <v>540</v>
      </c>
      <c r="Q14" s="1571" t="str">
        <f t="shared" si="6"/>
        <v>交通便捷度</v>
      </c>
      <c r="R14" s="1572" t="s">
        <v>8</v>
      </c>
      <c r="S14" s="1573">
        <f t="shared" si="0"/>
        <v>100</v>
      </c>
      <c r="T14" s="1572" t="s">
        <v>8</v>
      </c>
      <c r="U14" s="1573">
        <f t="shared" si="1"/>
        <v>100</v>
      </c>
      <c r="V14" s="1572" t="s">
        <v>8</v>
      </c>
      <c r="W14" s="1573">
        <f t="shared" si="2"/>
        <v>100</v>
      </c>
      <c r="X14" s="1566"/>
      <c r="Y14" s="3447"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448"/>
      <c r="Q15" s="1571"/>
      <c r="R15" s="1572"/>
      <c r="S15" s="1573"/>
      <c r="T15" s="1572"/>
      <c r="U15" s="1573"/>
      <c r="V15" s="1572"/>
      <c r="W15" s="1573"/>
      <c r="X15" s="1566"/>
      <c r="Y15" s="3448"/>
      <c r="Z15" s="1574"/>
      <c r="AA15" s="1575">
        <v>1</v>
      </c>
      <c r="AB15" s="1575">
        <v>1</v>
      </c>
      <c r="AC15" s="1575">
        <v>1</v>
      </c>
    </row>
    <row r="16" spans="1:29" ht="15">
      <c r="A16" s="531"/>
      <c r="B16" s="2626" t="s">
        <v>2547</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48"/>
      <c r="Q16" s="1571" t="str">
        <f>B16</f>
        <v>公共配套设施</v>
      </c>
      <c r="R16" s="1572" t="s">
        <v>8</v>
      </c>
      <c r="S16" s="1573">
        <f>F16</f>
        <v>100</v>
      </c>
      <c r="T16" s="1572" t="s">
        <v>8</v>
      </c>
      <c r="U16" s="1573">
        <f>H16</f>
        <v>100</v>
      </c>
      <c r="V16" s="1572" t="s">
        <v>8</v>
      </c>
      <c r="W16" s="1573">
        <f>J16</f>
        <v>100</v>
      </c>
      <c r="X16" s="1566"/>
      <c r="Y16" s="3448"/>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448"/>
      <c r="Q17" s="1571"/>
      <c r="R17" s="1572"/>
      <c r="S17" s="1573"/>
      <c r="T17" s="1572"/>
      <c r="U17" s="1573"/>
      <c r="V17" s="1572"/>
      <c r="W17" s="1573"/>
      <c r="X17" s="1566"/>
      <c r="Y17" s="3448"/>
      <c r="Z17" s="1574"/>
      <c r="AA17" s="1575">
        <v>1</v>
      </c>
      <c r="AB17" s="1575">
        <v>1</v>
      </c>
      <c r="AC17" s="1575">
        <v>1</v>
      </c>
    </row>
    <row r="18" spans="1:29" ht="15">
      <c r="A18" s="531"/>
      <c r="B18" s="2614" t="s">
        <v>2559</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48"/>
      <c r="Q18" s="2602" t="str">
        <f>B18</f>
        <v>基础设施水平</v>
      </c>
      <c r="R18" s="1572" t="s">
        <v>8</v>
      </c>
      <c r="S18" s="1573">
        <f>F18</f>
        <v>100</v>
      </c>
      <c r="T18" s="1572" t="s">
        <v>8</v>
      </c>
      <c r="U18" s="1573">
        <f>H18</f>
        <v>100</v>
      </c>
      <c r="V18" s="1572" t="s">
        <v>8</v>
      </c>
      <c r="W18" s="1573">
        <f>J18</f>
        <v>100</v>
      </c>
      <c r="X18" s="2604"/>
      <c r="Y18" s="3448"/>
      <c r="Z18" s="260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5"/>
      <c r="L19" s="2141"/>
      <c r="M19" s="2133"/>
      <c r="N19" s="2133"/>
      <c r="O19" s="2140"/>
      <c r="P19" s="3448"/>
      <c r="Q19" s="2602"/>
      <c r="R19" s="1572"/>
      <c r="S19" s="1573"/>
      <c r="T19" s="1572"/>
      <c r="U19" s="1573"/>
      <c r="V19" s="1572"/>
      <c r="W19" s="1573"/>
      <c r="X19" s="2604"/>
      <c r="Y19" s="3448"/>
      <c r="Z19" s="2603"/>
      <c r="AA19" s="1575">
        <v>1</v>
      </c>
      <c r="AB19" s="1575">
        <v>1</v>
      </c>
      <c r="AC19" s="1575">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48"/>
      <c r="Q20" s="1571" t="str">
        <f>B20</f>
        <v>自然及人文环境</v>
      </c>
      <c r="R20" s="1572" t="s">
        <v>8</v>
      </c>
      <c r="S20" s="1573">
        <f>F20</f>
        <v>100</v>
      </c>
      <c r="T20" s="1572" t="s">
        <v>8</v>
      </c>
      <c r="U20" s="1573">
        <f>H20</f>
        <v>100</v>
      </c>
      <c r="V20" s="1572" t="s">
        <v>8</v>
      </c>
      <c r="W20" s="1573">
        <f>J20</f>
        <v>100</v>
      </c>
      <c r="X20" s="1566"/>
      <c r="Y20" s="3448"/>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448"/>
      <c r="Q21" s="1571"/>
      <c r="R21" s="1572"/>
      <c r="S21" s="1573"/>
      <c r="T21" s="1572"/>
      <c r="U21" s="1573"/>
      <c r="V21" s="1572"/>
      <c r="W21" s="1573"/>
      <c r="X21" s="1566"/>
      <c r="Y21" s="3448"/>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48"/>
      <c r="Q22" s="1571" t="str">
        <f>B22</f>
        <v>楼层</v>
      </c>
      <c r="R22" s="1572" t="s">
        <v>8</v>
      </c>
      <c r="S22" s="1573">
        <f>F22</f>
        <v>100</v>
      </c>
      <c r="T22" s="1572" t="s">
        <v>8</v>
      </c>
      <c r="U22" s="1573">
        <f>H22</f>
        <v>100</v>
      </c>
      <c r="V22" s="1572" t="s">
        <v>8</v>
      </c>
      <c r="W22" s="1573">
        <f>J22</f>
        <v>100</v>
      </c>
      <c r="X22" s="1566"/>
      <c r="Y22" s="3448"/>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48"/>
      <c r="Q23" s="1571">
        <f>B23</f>
        <v>111</v>
      </c>
      <c r="R23" s="1572" t="s">
        <v>8</v>
      </c>
      <c r="S23" s="1573">
        <f>F23</f>
        <v>100</v>
      </c>
      <c r="T23" s="1572" t="s">
        <v>8</v>
      </c>
      <c r="U23" s="1573">
        <f>H23</f>
        <v>100</v>
      </c>
      <c r="V23" s="1572" t="s">
        <v>8</v>
      </c>
      <c r="W23" s="1573">
        <f>J23</f>
        <v>100</v>
      </c>
      <c r="X23" s="1566"/>
      <c r="Y23" s="3448"/>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48"/>
      <c r="Q24" s="1571">
        <f t="shared" ref="Q24:Q34" si="11">B24</f>
        <v>111</v>
      </c>
      <c r="R24" s="1572" t="s">
        <v>8</v>
      </c>
      <c r="S24" s="1573">
        <f>F24</f>
        <v>100</v>
      </c>
      <c r="T24" s="1572" t="s">
        <v>8</v>
      </c>
      <c r="U24" s="1573">
        <f>H24</f>
        <v>100</v>
      </c>
      <c r="V24" s="1572" t="s">
        <v>8</v>
      </c>
      <c r="W24" s="1573">
        <f>J24</f>
        <v>100</v>
      </c>
      <c r="X24" s="1566"/>
      <c r="Y24" s="3448"/>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48"/>
      <c r="Q25" s="1150">
        <f t="shared" si="11"/>
        <v>111</v>
      </c>
      <c r="R25" s="1567" t="s">
        <v>8</v>
      </c>
      <c r="S25" s="1568">
        <f>F25</f>
        <v>100</v>
      </c>
      <c r="T25" s="1567" t="s">
        <v>8</v>
      </c>
      <c r="U25" s="1568">
        <f>H25</f>
        <v>100</v>
      </c>
      <c r="V25" s="1567" t="s">
        <v>8</v>
      </c>
      <c r="W25" s="1568">
        <f>J25</f>
        <v>100</v>
      </c>
      <c r="X25" s="1569"/>
      <c r="Y25" s="3448"/>
      <c r="Z25" s="1149">
        <f>Q25</f>
        <v>111</v>
      </c>
      <c r="AA25" s="1575">
        <f>D25/F25</f>
        <v>1</v>
      </c>
      <c r="AB25" s="1575">
        <f>D25/H25</f>
        <v>1</v>
      </c>
      <c r="AC25" s="1575">
        <f>D25/J25</f>
        <v>1</v>
      </c>
    </row>
    <row r="26" spans="1:29" ht="15">
      <c r="A26" s="2930"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49"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50"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50"/>
      <c r="Q27" s="1604" t="str">
        <f t="shared" si="11"/>
        <v>成新率</v>
      </c>
      <c r="R27" s="1576" t="s">
        <v>8</v>
      </c>
      <c r="S27" s="1577" t="e">
        <f t="shared" si="12"/>
        <v>#N/A</v>
      </c>
      <c r="T27" s="1576" t="s">
        <v>8</v>
      </c>
      <c r="U27" s="1577" t="e">
        <f t="shared" si="13"/>
        <v>#N/A</v>
      </c>
      <c r="V27" s="1576" t="s">
        <v>8</v>
      </c>
      <c r="W27" s="1577" t="e">
        <f t="shared" si="14"/>
        <v>#N/A</v>
      </c>
      <c r="X27" s="1578"/>
      <c r="Y27" s="3450"/>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50"/>
      <c r="Q28" s="1571" t="str">
        <f t="shared" si="11"/>
        <v>物业等级</v>
      </c>
      <c r="R28" s="1572" t="s">
        <v>8</v>
      </c>
      <c r="S28" s="1573">
        <f t="shared" si="12"/>
        <v>100</v>
      </c>
      <c r="T28" s="1572" t="s">
        <v>8</v>
      </c>
      <c r="U28" s="1573">
        <f t="shared" si="13"/>
        <v>100</v>
      </c>
      <c r="V28" s="1572" t="s">
        <v>8</v>
      </c>
      <c r="W28" s="1573">
        <f t="shared" si="14"/>
        <v>100</v>
      </c>
      <c r="X28" s="1566"/>
      <c r="Y28" s="3450"/>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50"/>
      <c r="Q29" s="1571" t="str">
        <f t="shared" si="11"/>
        <v>有无电梯</v>
      </c>
      <c r="R29" s="1572" t="s">
        <v>8</v>
      </c>
      <c r="S29" s="1573">
        <f t="shared" si="12"/>
        <v>100</v>
      </c>
      <c r="T29" s="1572" t="s">
        <v>8</v>
      </c>
      <c r="U29" s="1573">
        <f t="shared" si="13"/>
        <v>100</v>
      </c>
      <c r="V29" s="1572" t="s">
        <v>8</v>
      </c>
      <c r="W29" s="1573">
        <f t="shared" si="14"/>
        <v>100</v>
      </c>
      <c r="X29" s="1566"/>
      <c r="Y29" s="3450"/>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50"/>
      <c r="Q30" s="1571" t="str">
        <f t="shared" si="11"/>
        <v>建筑面积</v>
      </c>
      <c r="R30" s="1572" t="s">
        <v>8</v>
      </c>
      <c r="S30" s="1573" t="e">
        <f t="shared" si="12"/>
        <v>#N/A</v>
      </c>
      <c r="T30" s="1572" t="s">
        <v>8</v>
      </c>
      <c r="U30" s="1573" t="e">
        <f t="shared" si="13"/>
        <v>#N/A</v>
      </c>
      <c r="V30" s="1572" t="s">
        <v>8</v>
      </c>
      <c r="W30" s="1573" t="e">
        <f t="shared" si="14"/>
        <v>#N/A</v>
      </c>
      <c r="X30" s="1566"/>
      <c r="Y30" s="3450"/>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50"/>
      <c r="Q31" s="1150" t="str">
        <f t="shared" si="11"/>
        <v>是否封闭</v>
      </c>
      <c r="R31" s="1567" t="s">
        <v>8</v>
      </c>
      <c r="S31" s="1568">
        <f t="shared" si="12"/>
        <v>100</v>
      </c>
      <c r="T31" s="1567" t="s">
        <v>8</v>
      </c>
      <c r="U31" s="1568">
        <f t="shared" si="13"/>
        <v>100</v>
      </c>
      <c r="V31" s="1567" t="s">
        <v>8</v>
      </c>
      <c r="W31" s="1568">
        <f t="shared" si="14"/>
        <v>100</v>
      </c>
      <c r="X31" s="1569"/>
      <c r="Y31" s="3450"/>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50" t="s">
        <v>550</v>
      </c>
      <c r="Q32" s="1571">
        <f t="shared" si="11"/>
        <v>111</v>
      </c>
      <c r="R32" s="1572" t="s">
        <v>8</v>
      </c>
      <c r="S32" s="1573">
        <f t="shared" si="12"/>
        <v>100</v>
      </c>
      <c r="T32" s="1572" t="s">
        <v>8</v>
      </c>
      <c r="U32" s="1573">
        <f t="shared" si="13"/>
        <v>100</v>
      </c>
      <c r="V32" s="1572" t="s">
        <v>8</v>
      </c>
      <c r="W32" s="1573">
        <f t="shared" si="14"/>
        <v>100</v>
      </c>
      <c r="X32" s="1566"/>
      <c r="Y32" s="3450"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50"/>
      <c r="Q33" s="1571">
        <f t="shared" si="11"/>
        <v>111</v>
      </c>
      <c r="R33" s="1572" t="s">
        <v>8</v>
      </c>
      <c r="S33" s="1573">
        <f t="shared" si="12"/>
        <v>100</v>
      </c>
      <c r="T33" s="1572" t="s">
        <v>8</v>
      </c>
      <c r="U33" s="1573">
        <f t="shared" si="13"/>
        <v>100</v>
      </c>
      <c r="V33" s="1572" t="s">
        <v>8</v>
      </c>
      <c r="W33" s="1573">
        <f t="shared" si="14"/>
        <v>100</v>
      </c>
      <c r="X33" s="1566"/>
      <c r="Y33" s="3450"/>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50"/>
      <c r="Q34" s="1571">
        <f t="shared" si="11"/>
        <v>111</v>
      </c>
      <c r="R34" s="1572" t="s">
        <v>8</v>
      </c>
      <c r="S34" s="1573">
        <f t="shared" si="12"/>
        <v>100</v>
      </c>
      <c r="T34" s="1572" t="s">
        <v>8</v>
      </c>
      <c r="U34" s="1573">
        <f t="shared" si="13"/>
        <v>100</v>
      </c>
      <c r="V34" s="1572" t="s">
        <v>8</v>
      </c>
      <c r="W34" s="1573">
        <f t="shared" si="14"/>
        <v>100</v>
      </c>
      <c r="X34" s="1566"/>
      <c r="Y34" s="3450"/>
      <c r="Z34" s="1574">
        <f t="shared" si="15"/>
        <v>111</v>
      </c>
      <c r="AA34" s="1575">
        <f t="shared" si="3"/>
        <v>1</v>
      </c>
      <c r="AB34" s="1575">
        <f t="shared" si="4"/>
        <v>1</v>
      </c>
      <c r="AC34" s="1575">
        <f t="shared" si="5"/>
        <v>1</v>
      </c>
    </row>
    <row r="35" spans="1:29" ht="15">
      <c r="A35" s="606" t="s">
        <v>736</v>
      </c>
      <c r="B35" s="886"/>
      <c r="C35" s="2650" t="s">
        <v>1</v>
      </c>
      <c r="D35" s="2651"/>
      <c r="E35" s="2652"/>
      <c r="F35" s="2653"/>
      <c r="G35" s="2654"/>
      <c r="H35" s="2655"/>
      <c r="I35" s="2652"/>
      <c r="J35" s="2655"/>
      <c r="K35" s="1610"/>
      <c r="L35" s="2143"/>
      <c r="M35" s="2144"/>
      <c r="N35" s="2133"/>
      <c r="O35" s="2144"/>
      <c r="P35" s="3412" t="str">
        <f>A35</f>
        <v>成交单价（元/平方米）</v>
      </c>
      <c r="Q35" s="3412"/>
      <c r="R35" s="3526">
        <f>E35</f>
        <v>0</v>
      </c>
      <c r="S35" s="3526"/>
      <c r="T35" s="3526">
        <f>G35</f>
        <v>0</v>
      </c>
      <c r="U35" s="3526"/>
      <c r="V35" s="3526">
        <f>I35</f>
        <v>0</v>
      </c>
      <c r="W35" s="3526"/>
      <c r="X35" s="1558"/>
      <c r="Y35" s="1580"/>
      <c r="Z35" s="1558"/>
      <c r="AA35" s="1558"/>
      <c r="AB35" s="1558"/>
      <c r="AC35" s="1558"/>
    </row>
    <row r="36" spans="1:29" ht="15.75" thickBot="1">
      <c r="A36" s="614" t="s">
        <v>2761</v>
      </c>
      <c r="B36" s="887"/>
      <c r="C36" s="2656" t="e">
        <f>R37</f>
        <v>#DIV/0!</v>
      </c>
      <c r="D36" s="2657"/>
      <c r="E36" s="2658" t="e">
        <f>R36</f>
        <v>#DIV/0!</v>
      </c>
      <c r="F36" s="2658"/>
      <c r="G36" s="2656" t="e">
        <f>T36</f>
        <v>#DIV/0!</v>
      </c>
      <c r="H36" s="2657"/>
      <c r="I36" s="2658" t="e">
        <f>V36</f>
        <v>#DIV/0!</v>
      </c>
      <c r="J36" s="2657"/>
      <c r="K36" s="1611"/>
      <c r="L36" s="2143"/>
      <c r="M36" s="2144"/>
      <c r="N36" s="2133"/>
      <c r="O36" s="2144"/>
      <c r="P36" s="3412" t="str">
        <f>A36</f>
        <v>比较价格（元/平方米）</v>
      </c>
      <c r="Q36" s="3412"/>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1558"/>
      <c r="Y36" s="1558"/>
      <c r="Z36" s="1558"/>
      <c r="AA36" s="1558"/>
      <c r="AB36" s="1558"/>
      <c r="AC36" s="1558"/>
    </row>
    <row r="37" spans="1:29" ht="15.75" thickBot="1">
      <c r="A37" s="620" t="s">
        <v>2924</v>
      </c>
      <c r="B37" s="621"/>
      <c r="C37" s="2659" t="e">
        <f>R37</f>
        <v>#DIV/0!</v>
      </c>
      <c r="D37" s="2659"/>
      <c r="E37" s="2659"/>
      <c r="F37" s="2659"/>
      <c r="G37" s="2659"/>
      <c r="H37" s="2659"/>
      <c r="I37" s="2659"/>
      <c r="J37" s="2659"/>
      <c r="K37" s="1612"/>
      <c r="L37" s="2143"/>
      <c r="M37" s="2144"/>
      <c r="N37" s="2144"/>
      <c r="O37" s="2144"/>
      <c r="P37" s="3409" t="str">
        <f>A37</f>
        <v>估价对象XX用房的比较价格（楼面单价，元/平方米）</v>
      </c>
      <c r="Q37" s="3410"/>
      <c r="R37" s="3525" t="e">
        <f>IF(F1="售价",ROUND(AVERAGE(R36:V36),0),ROUND(AVERAGE(R36:V36),1))</f>
        <v>#DIV/0!</v>
      </c>
      <c r="S37" s="3525"/>
      <c r="T37" s="3525"/>
      <c r="U37" s="3525"/>
      <c r="V37" s="3525"/>
      <c r="W37" s="3525"/>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529</v>
      </c>
      <c r="B46" s="645"/>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2559</v>
      </c>
      <c r="C65" s="2621" t="s">
        <v>2560</v>
      </c>
      <c r="D65" s="2621" t="s">
        <v>2561</v>
      </c>
      <c r="E65" s="2621" t="s">
        <v>2562</v>
      </c>
      <c r="F65" s="2621" t="s">
        <v>2563</v>
      </c>
      <c r="G65" s="2621" t="s">
        <v>2564</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827</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M20" sqref="M20"/>
      <selection pane="bottomLeft" activeCell="M20" sqref="M20"/>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3" t="s">
        <v>2304</v>
      </c>
      <c r="C1" s="3546" t="s">
        <v>2305</v>
      </c>
      <c r="D1" s="3547"/>
      <c r="E1" s="3547"/>
      <c r="F1" s="3547"/>
      <c r="G1" s="3547"/>
      <c r="H1" s="3547"/>
      <c r="I1" s="3547"/>
      <c r="J1" s="3547"/>
      <c r="K1" s="3547"/>
      <c r="L1" s="3547"/>
      <c r="M1" s="3547"/>
      <c r="N1" s="3547"/>
      <c r="O1" s="3547"/>
      <c r="P1" s="3547"/>
      <c r="Q1" s="3547"/>
      <c r="R1" s="3547"/>
      <c r="S1" s="3548"/>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07" t="s">
        <v>2918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09" t="s">
        <v>2917</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09" t="s">
        <v>2916</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0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07" t="s">
        <v>2930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07" t="s">
        <v>2915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07" t="s">
        <v>2914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543" t="s">
        <v>20</v>
      </c>
      <c r="D22" s="3544"/>
      <c r="E22" s="3544"/>
      <c r="F22" s="3544"/>
      <c r="G22" s="3544"/>
      <c r="H22" s="3544"/>
      <c r="I22" s="3544"/>
      <c r="J22" s="3544"/>
      <c r="K22" s="3544"/>
      <c r="L22" s="3544"/>
      <c r="M22" s="3544"/>
      <c r="N22" s="3544"/>
      <c r="O22" s="3544"/>
      <c r="P22" s="3544"/>
      <c r="Q22" s="3545"/>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2789</v>
      </c>
      <c r="C1" s="3027">
        <f>项目基本情况!D3</f>
        <v>43244</v>
      </c>
      <c r="H1" s="2961">
        <f>IF(C1&gt;C13,0,MATCH(C1,C$13:C$100,-1))+IF(SUMIF(C13:C100,C1,D13:D100)=0,13,12)</f>
        <v>13</v>
      </c>
      <c r="I1" s="2961">
        <f ca="1">MATCH(C2,H3:H7,1)+IF(SUMIF(H3:H7,C2,I3:I7)=0,2,1)</f>
        <v>4</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2820</v>
      </c>
      <c r="C2" s="3028">
        <f>'数据-取费表'!B22</f>
        <v>1</v>
      </c>
      <c r="D2" s="3023" t="s">
        <v>2790</v>
      </c>
      <c r="E2" s="3026">
        <f ca="1">INDIRECT("I"&amp;$I$1)/100</f>
        <v>4.3499999999999997E-2</v>
      </c>
      <c r="G2" s="2963"/>
      <c r="H2" s="2963"/>
      <c r="I2" s="2963" t="s">
        <v>2791</v>
      </c>
      <c r="K2" s="2963"/>
      <c r="L2" s="2963"/>
      <c r="M2" s="2963"/>
      <c r="N2" s="2963" t="s">
        <v>2792</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2822</v>
      </c>
      <c r="C3" s="3025">
        <f>'数据-取费表'!B19</f>
        <v>0</v>
      </c>
      <c r="D3" s="3023" t="s">
        <v>2790</v>
      </c>
      <c r="E3" s="3026">
        <f ca="1">INDIRECT("J"&amp;$J$1)/100</f>
        <v>0</v>
      </c>
      <c r="G3" s="2965" t="s">
        <v>2793</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2821</v>
      </c>
      <c r="C4" s="3026">
        <f ca="1">N4/100</f>
        <v>1.4999999999999999E-2</v>
      </c>
      <c r="G4" s="2971" t="s">
        <v>2794</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2795</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2796</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2797</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2798</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2799</v>
      </c>
      <c r="C10" s="2990"/>
      <c r="D10" s="2990"/>
      <c r="E10" s="2990"/>
      <c r="F10" s="2990"/>
      <c r="G10" s="2990"/>
      <c r="H10" s="2990"/>
      <c r="I10" s="2964"/>
      <c r="J10" s="2964"/>
      <c r="K10" s="2990"/>
      <c r="L10" s="2991" t="s">
        <v>2800</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2801</v>
      </c>
      <c r="C11" s="2995" t="s">
        <v>2802</v>
      </c>
      <c r="D11" s="2996" t="s">
        <v>2803</v>
      </c>
      <c r="E11" s="2997"/>
      <c r="F11" s="2996" t="s">
        <v>2804</v>
      </c>
      <c r="G11" s="2998"/>
      <c r="H11" s="2997"/>
      <c r="I11" s="2996" t="s">
        <v>2805</v>
      </c>
      <c r="J11" s="2997"/>
      <c r="K11" s="2993"/>
      <c r="L11" s="2994" t="s">
        <v>2801</v>
      </c>
      <c r="M11" s="2995" t="s">
        <v>2802</v>
      </c>
      <c r="N11" s="2994" t="s">
        <v>2806</v>
      </c>
      <c r="O11" s="2996" t="s">
        <v>2807</v>
      </c>
      <c r="P11" s="2998"/>
      <c r="Q11" s="2998"/>
      <c r="R11" s="2998"/>
      <c r="S11" s="2998"/>
      <c r="T11" s="2997"/>
      <c r="U11" s="2996" t="s">
        <v>2808</v>
      </c>
      <c r="V11" s="2998"/>
      <c r="W11" s="2997"/>
      <c r="X11" s="2994" t="s">
        <v>2809</v>
      </c>
      <c r="Y11" s="2994" t="s">
        <v>2810</v>
      </c>
      <c r="Z11" s="2994" t="s">
        <v>2811</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2812</v>
      </c>
      <c r="E12" s="3003" t="s">
        <v>2813</v>
      </c>
      <c r="F12" s="3003" t="s">
        <v>2814</v>
      </c>
      <c r="G12" s="3003" t="s">
        <v>2815</v>
      </c>
      <c r="H12" s="3003" t="s">
        <v>2797</v>
      </c>
      <c r="I12" s="3004" t="s">
        <v>2816</v>
      </c>
      <c r="J12" s="3004" t="s">
        <v>2816</v>
      </c>
      <c r="K12" s="3000"/>
      <c r="L12" s="3001"/>
      <c r="M12" s="3002"/>
      <c r="N12" s="3001"/>
      <c r="O12" s="3004" t="s">
        <v>2817</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2818</v>
      </c>
      <c r="C13" s="3008">
        <v>42301</v>
      </c>
      <c r="D13" s="3009">
        <v>4.3499999999999996</v>
      </c>
      <c r="E13" s="3009">
        <v>4.3499999999999996</v>
      </c>
      <c r="F13" s="3009">
        <v>4.75</v>
      </c>
      <c r="G13" s="3009">
        <v>4.75</v>
      </c>
      <c r="H13" s="3009">
        <v>4.9000000000000004</v>
      </c>
      <c r="I13" s="3009">
        <v>2.75</v>
      </c>
      <c r="J13" s="3009">
        <v>3.25</v>
      </c>
      <c r="K13" s="3006"/>
      <c r="L13" s="3007" t="s">
        <v>2818</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2819</v>
      </c>
      <c r="Y42" s="3013" t="s">
        <v>2819</v>
      </c>
      <c r="Z42" s="3013" t="s">
        <v>2819</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2819</v>
      </c>
      <c r="Y43" s="3013" t="s">
        <v>2819</v>
      </c>
      <c r="Z43" s="3013" t="s">
        <v>2819</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2819</v>
      </c>
      <c r="Y44" s="3013" t="s">
        <v>2819</v>
      </c>
      <c r="Z44" s="3013" t="s">
        <v>2819</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2819</v>
      </c>
      <c r="Y45" s="3013" t="s">
        <v>2819</v>
      </c>
      <c r="Z45" s="3013" t="s">
        <v>2819</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2819</v>
      </c>
      <c r="Y46" s="3013" t="s">
        <v>2819</v>
      </c>
      <c r="Z46" s="3013" t="s">
        <v>2819</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2819</v>
      </c>
      <c r="Y47" s="3013" t="s">
        <v>2819</v>
      </c>
      <c r="Z47" s="3013" t="s">
        <v>2819</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2819</v>
      </c>
      <c r="Y48" s="3013" t="s">
        <v>2819</v>
      </c>
      <c r="Z48" s="3013" t="s">
        <v>2819</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2819</v>
      </c>
      <c r="Y49" s="3013" t="s">
        <v>2819</v>
      </c>
      <c r="Z49" s="3013" t="s">
        <v>2819</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2819</v>
      </c>
      <c r="Y50" s="3013" t="s">
        <v>2819</v>
      </c>
      <c r="Z50" s="3013" t="s">
        <v>2819</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2819</v>
      </c>
      <c r="V51" s="3013" t="s">
        <v>2819</v>
      </c>
      <c r="W51" s="3013" t="s">
        <v>2819</v>
      </c>
      <c r="X51" s="3013" t="s">
        <v>2819</v>
      </c>
      <c r="Y51" s="3013" t="s">
        <v>2819</v>
      </c>
      <c r="Z51" s="3013" t="s">
        <v>2819</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2819</v>
      </c>
      <c r="J55" s="3013" t="s">
        <v>2819</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2039</v>
      </c>
      <c r="B1" s="3235"/>
      <c r="C1" s="3235"/>
      <c r="D1" s="3235"/>
      <c r="E1" s="3235"/>
      <c r="F1" s="3235"/>
      <c r="G1" s="3235"/>
      <c r="H1" s="3235"/>
      <c r="I1" s="3235"/>
      <c r="J1" s="3235"/>
      <c r="K1" s="3235"/>
      <c r="L1" s="3235"/>
      <c r="M1" s="3235"/>
      <c r="N1" s="3235"/>
      <c r="O1" s="3235"/>
      <c r="P1" s="3235"/>
      <c r="Q1" s="3235"/>
      <c r="R1" s="3235"/>
    </row>
    <row r="2" spans="1:18">
      <c r="A2" s="1806" t="s">
        <v>2041</v>
      </c>
      <c r="B2" s="1806"/>
      <c r="C2" s="1806"/>
      <c r="D2" s="1806"/>
      <c r="E2" s="1806"/>
      <c r="F2" s="1806"/>
      <c r="G2" s="1806"/>
      <c r="H2" s="1806"/>
      <c r="I2" s="1807"/>
      <c r="J2" s="1807"/>
      <c r="K2" s="1808" t="str">
        <f>"估价期日："&amp;TEXT(项目基本情况!D3,"yyyy年m月d日;;")</f>
        <v>估价期日：2018年5月24日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6" t="s">
        <v>2030</v>
      </c>
      <c r="B3" s="3236" t="s">
        <v>2732</v>
      </c>
      <c r="C3" s="3237" t="s">
        <v>2031</v>
      </c>
      <c r="D3" s="3236" t="s">
        <v>2736</v>
      </c>
      <c r="E3" s="3239" t="s">
        <v>2032</v>
      </c>
      <c r="F3" s="3239"/>
      <c r="G3" s="3239"/>
      <c r="H3" s="3239" t="s">
        <v>2033</v>
      </c>
      <c r="I3" s="3239"/>
      <c r="J3" s="3239"/>
      <c r="K3" s="3237" t="s">
        <v>2034</v>
      </c>
      <c r="L3" s="3237" t="s">
        <v>2035</v>
      </c>
      <c r="M3" s="3236" t="s">
        <v>2733</v>
      </c>
      <c r="N3" s="3238" t="str">
        <f>"（分摊）"&amp;项目基本情况!B16&amp;"国有建设用地使用权面积/㎡"</f>
        <v>（分摊）出让国有建设用地使用权面积/㎡</v>
      </c>
      <c r="O3" s="3236" t="s">
        <v>2064</v>
      </c>
      <c r="P3" s="3237" t="s">
        <v>2044</v>
      </c>
      <c r="Q3" s="3237" t="s">
        <v>2065</v>
      </c>
      <c r="R3" s="3237" t="s">
        <v>2036</v>
      </c>
    </row>
    <row r="4" spans="1:18" ht="36.75" customHeight="1">
      <c r="A4" s="3236"/>
      <c r="B4" s="3236"/>
      <c r="C4" s="3237"/>
      <c r="D4" s="3236"/>
      <c r="E4" s="2672" t="s">
        <v>2043</v>
      </c>
      <c r="F4" s="2672" t="s">
        <v>2745</v>
      </c>
      <c r="G4" s="2672" t="s">
        <v>2037</v>
      </c>
      <c r="H4" s="2672" t="s">
        <v>2038</v>
      </c>
      <c r="I4" s="2672" t="s">
        <v>2746</v>
      </c>
      <c r="J4" s="2672" t="s">
        <v>2037</v>
      </c>
      <c r="K4" s="3237"/>
      <c r="L4" s="3237"/>
      <c r="M4" s="3236"/>
      <c r="N4" s="3238"/>
      <c r="O4" s="3236"/>
      <c r="P4" s="3237"/>
      <c r="Q4" s="3237"/>
      <c r="R4" s="3237"/>
    </row>
    <row r="5" spans="1:18" ht="135" customHeight="1">
      <c r="A5" s="1942" t="s">
        <v>2656</v>
      </c>
      <c r="B5" s="2890" t="s">
        <v>2654</v>
      </c>
      <c r="C5" s="2671">
        <v>22</v>
      </c>
      <c r="D5" s="2670" t="s">
        <v>2655</v>
      </c>
      <c r="E5" s="1809" t="str">
        <f>项目基本情况!B12</f>
        <v>住宅</v>
      </c>
      <c r="F5" s="2670">
        <v>258</v>
      </c>
      <c r="G5" s="1809" t="str">
        <f>项目基本情况!B13</f>
        <v>住宅</v>
      </c>
      <c r="H5" s="2670">
        <v>1.5</v>
      </c>
      <c r="I5" s="2670">
        <v>1.5</v>
      </c>
      <c r="J5" s="2670">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t="str">
        <f>IF(项目基本情况!B16="出让",项目基本情况!D20,"——")</f>
        <v>工业34.26</v>
      </c>
      <c r="N5" s="1809">
        <f>项目基本情况!C22</f>
        <v>157370.63</v>
      </c>
      <c r="O5" s="1809">
        <f>项目基本情况!C21</f>
        <v>140004.31000000006</v>
      </c>
      <c r="P5" s="1809">
        <f ca="1">结果表!E42</f>
        <v>291</v>
      </c>
      <c r="Q5" s="1809">
        <f ca="1">结果表!D42</f>
        <v>327</v>
      </c>
      <c r="R5" s="1810">
        <f ca="1">结果表!C42</f>
        <v>4580</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811">
        <f ca="1">结果表!O39</f>
        <v>4580</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811" t="str">
        <f>结果表!O40</f>
        <v>——</v>
      </c>
    </row>
    <row r="8" spans="1:18">
      <c r="A8" s="3240" t="str">
        <f>IF(项目基本情况!B9="市场价格","——",项目基本情况!E9)</f>
        <v>——</v>
      </c>
      <c r="B8" s="3241"/>
      <c r="C8" s="3241"/>
      <c r="D8" s="3241"/>
      <c r="E8" s="3241"/>
      <c r="F8" s="3241"/>
      <c r="G8" s="3241"/>
      <c r="H8" s="3241"/>
      <c r="I8" s="3241"/>
      <c r="J8" s="3241"/>
      <c r="K8" s="3241"/>
      <c r="L8" s="3241"/>
      <c r="M8" s="3241"/>
      <c r="N8" s="3241"/>
      <c r="O8" s="3241"/>
      <c r="P8" s="3241"/>
      <c r="Q8" s="3242"/>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4" t="s">
        <v>2066</v>
      </c>
      <c r="B1" s="3244"/>
      <c r="C1" s="3244"/>
      <c r="D1" s="3244"/>
    </row>
    <row r="2" spans="1:4" ht="47.25" customHeight="1">
      <c r="A2" s="3245" t="str">
        <f>"1.权利限制："&amp;项目基本情况!L24&amp;"未设定租赁等其他他项权利。"</f>
        <v>1.权利限制：根据估价对象——、《国有土地使用权》复印件，截至估价期日，估价对象抵押权未见登记。未设定租赁等其他他项权利。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4"/>
      <c r="C3" s="3244"/>
      <c r="D3" s="3244"/>
    </row>
    <row r="4" spans="1:4" ht="36.75" customHeight="1">
      <c r="A4" s="3244" t="str">
        <f>"3.估价规划限制条件：详见"&amp;项目基本情况!E21&amp;"。"</f>
        <v>3.估价规划限制条件：详见企业介绍、《房地产权证》。</v>
      </c>
      <c r="B4" s="3244"/>
      <c r="C4" s="3244"/>
      <c r="D4" s="3244"/>
    </row>
    <row r="5" spans="1:4">
      <c r="A5" s="3243" t="s">
        <v>2067</v>
      </c>
      <c r="B5" s="3243"/>
      <c r="C5" s="3243"/>
      <c r="D5" s="3243"/>
    </row>
    <row r="6" spans="1:4">
      <c r="A6" s="3244" t="s">
        <v>2045</v>
      </c>
      <c r="B6" s="3244"/>
      <c r="C6" s="3244"/>
      <c r="D6" s="3244"/>
    </row>
    <row r="7" spans="1:4" ht="33" customHeight="1">
      <c r="A7" s="3244" t="s">
        <v>2576</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（1）根据估价对象——、《国有土地使用权》复印件，截至估价期日，估价对象抵押权未见登记。</v>
      </c>
      <c r="B11" s="3246"/>
      <c r="C11" s="3246"/>
      <c r="D11" s="3246"/>
    </row>
    <row r="12" spans="1:4" ht="168" customHeight="1">
      <c r="A12" s="3243" t="s">
        <v>2069</v>
      </c>
      <c r="B12" s="3243"/>
      <c r="C12" s="3243"/>
      <c r="D12" s="3243"/>
    </row>
    <row r="13" spans="1:4">
      <c r="A13" s="3247" t="s">
        <v>2747</v>
      </c>
      <c r="B13" s="3247"/>
      <c r="C13" s="3247"/>
      <c r="D13" s="3247"/>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2703</v>
      </c>
      <c r="B17" s="3244"/>
      <c r="C17" s="3244"/>
      <c r="D17" s="3244"/>
    </row>
    <row r="18" spans="1:4">
      <c r="A18" s="3244" t="s">
        <v>2695</v>
      </c>
      <c r="B18" s="3244"/>
      <c r="C18" s="3244"/>
      <c r="D18" s="3244"/>
    </row>
    <row r="19" spans="1:4">
      <c r="A19" s="2891" t="s">
        <v>2696</v>
      </c>
      <c r="B19" s="2891" t="s">
        <v>2697</v>
      </c>
      <c r="C19" s="2891" t="s">
        <v>2698</v>
      </c>
      <c r="D19" s="2891" t="s">
        <v>2699</v>
      </c>
    </row>
    <row r="20" spans="1:4">
      <c r="A20" s="2891" t="str">
        <f>项目基本情况!B4</f>
        <v>吴薇</v>
      </c>
      <c r="B20" s="2891">
        <f ca="1">项目基本情况!C4</f>
        <v>2002110125</v>
      </c>
      <c r="C20" s="2893"/>
      <c r="D20" s="1799" t="s">
        <v>2704</v>
      </c>
    </row>
    <row r="21" spans="1:4">
      <c r="A21" s="2891" t="str">
        <f>项目基本情况!D4</f>
        <v>刘梅</v>
      </c>
      <c r="B21" s="2891">
        <f ca="1">项目基本情况!E4</f>
        <v>2008110059</v>
      </c>
      <c r="C21" s="2893"/>
      <c r="D21" s="1799" t="s">
        <v>2705</v>
      </c>
    </row>
    <row r="23" spans="1:4">
      <c r="A23" s="3244" t="s">
        <v>2700</v>
      </c>
      <c r="B23" s="3244"/>
      <c r="C23" s="3244"/>
      <c r="D23" s="3244"/>
    </row>
    <row r="24" spans="1:4">
      <c r="A24" s="2891" t="s">
        <v>2696</v>
      </c>
      <c r="B24" s="2891" t="s">
        <v>2701</v>
      </c>
      <c r="C24" s="2891" t="s">
        <v>2698</v>
      </c>
      <c r="D24" s="2891" t="s">
        <v>2699</v>
      </c>
    </row>
    <row r="25" spans="1:4">
      <c r="A25" s="2894" t="s">
        <v>2702</v>
      </c>
      <c r="B25" s="2891" t="s">
        <v>952</v>
      </c>
      <c r="C25" s="2893"/>
      <c r="D25" s="1799" t="s">
        <v>2705</v>
      </c>
    </row>
    <row r="29" spans="1:4">
      <c r="D29" s="2892" t="s">
        <v>2040</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5" t="s">
        <v>53</v>
      </c>
      <c r="B15" s="3256" t="s">
        <v>846</v>
      </c>
      <c r="C15" s="3252"/>
    </row>
    <row r="16" spans="1:7" ht="14.25">
      <c r="A16" s="3255"/>
      <c r="B16" s="3253" t="s">
        <v>54</v>
      </c>
      <c r="C16" s="1171" t="s">
        <v>53</v>
      </c>
    </row>
    <row r="17" spans="1:3" ht="14.25">
      <c r="A17" s="3255"/>
      <c r="B17" s="3253"/>
      <c r="C17" s="1171" t="s">
        <v>55</v>
      </c>
    </row>
    <row r="18" spans="1:3" ht="14.25">
      <c r="A18" s="3255"/>
      <c r="B18" s="3253"/>
      <c r="C18" s="1171" t="s">
        <v>56</v>
      </c>
    </row>
    <row r="19" spans="1:3" ht="14.25">
      <c r="A19" s="3255"/>
      <c r="B19" s="3251" t="s">
        <v>57</v>
      </c>
      <c r="C19" s="3252"/>
    </row>
    <row r="20" spans="1:3" ht="14.25">
      <c r="A20" s="1172" t="s">
        <v>58</v>
      </c>
      <c r="B20" s="1173"/>
      <c r="C20" s="1174"/>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5" t="s">
        <v>837</v>
      </c>
    </row>
    <row r="25" spans="1:3" ht="14.25">
      <c r="A25" s="3254"/>
      <c r="B25" s="3258"/>
      <c r="C25" s="1175" t="s">
        <v>838</v>
      </c>
    </row>
    <row r="26" spans="1:3" ht="14.25">
      <c r="A26" s="3254"/>
      <c r="B26" s="3258"/>
      <c r="C26" s="1175" t="s">
        <v>839</v>
      </c>
    </row>
    <row r="27" spans="1:3" ht="14.25">
      <c r="A27" s="3254"/>
      <c r="B27" s="3258"/>
      <c r="C27" s="1175" t="s">
        <v>840</v>
      </c>
    </row>
    <row r="28" spans="1:3" ht="14.25">
      <c r="A28" s="3254"/>
      <c r="B28" s="3258"/>
      <c r="C28" s="1175" t="s">
        <v>841</v>
      </c>
    </row>
    <row r="29" spans="1:3" ht="14.25">
      <c r="A29" s="3254"/>
      <c r="B29" s="3258"/>
      <c r="C29" s="1175" t="s">
        <v>842</v>
      </c>
    </row>
    <row r="30" spans="1:3" ht="14.25">
      <c r="A30" s="3254"/>
      <c r="B30" s="3258"/>
      <c r="C30" s="1175" t="s">
        <v>843</v>
      </c>
    </row>
    <row r="31" spans="1:3" ht="14.25">
      <c r="A31" s="3254"/>
      <c r="B31" s="3258"/>
      <c r="C31" s="1175" t="s">
        <v>844</v>
      </c>
    </row>
    <row r="32" spans="1:3" ht="14.25">
      <c r="A32" s="3254"/>
      <c r="B32" s="3258"/>
      <c r="C32" s="1175" t="s">
        <v>1647</v>
      </c>
    </row>
    <row r="33" spans="1:3" ht="14.25">
      <c r="A33" s="3254"/>
      <c r="B33" s="3248" t="s">
        <v>1653</v>
      </c>
      <c r="C33" s="1175" t="s">
        <v>1648</v>
      </c>
    </row>
    <row r="34" spans="1:3" ht="14.25">
      <c r="A34" s="3254"/>
      <c r="B34" s="3249"/>
      <c r="C34" s="1180" t="s">
        <v>1649</v>
      </c>
    </row>
    <row r="35" spans="1:3" ht="14.25">
      <c r="A35" s="3254"/>
      <c r="B35" s="3249"/>
      <c r="C35" s="1181" t="s">
        <v>1650</v>
      </c>
    </row>
    <row r="36" spans="1:3" ht="14.25">
      <c r="A36" s="3254"/>
      <c r="B36" s="3249"/>
      <c r="C36" s="1181" t="s">
        <v>1651</v>
      </c>
    </row>
    <row r="37" spans="1:3" ht="14.25">
      <c r="A37" s="3254"/>
      <c r="B37" s="325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43256</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29">
        <v>43849</v>
      </c>
      <c r="D4" s="2342" t="s">
        <v>1915</v>
      </c>
      <c r="E4" s="2342">
        <f ca="1">IF(F4&lt;B2,"已过期",96010014)</f>
        <v>96010014</v>
      </c>
      <c r="F4" s="3030">
        <v>47118</v>
      </c>
    </row>
    <row r="5" spans="1:6" ht="20.25" customHeight="1">
      <c r="A5" s="2342" t="s">
        <v>1916</v>
      </c>
      <c r="B5" s="2342">
        <f ca="1">IF(C5&lt;B2,"已过期",1119970074)</f>
        <v>1119970074</v>
      </c>
      <c r="C5" s="3029">
        <v>43849</v>
      </c>
      <c r="D5" s="2342" t="s">
        <v>1916</v>
      </c>
      <c r="E5" s="2342">
        <f ca="1">IF(F5&lt;B2,"已过期",2002110027)</f>
        <v>2002110027</v>
      </c>
      <c r="F5" s="3030">
        <v>46752</v>
      </c>
    </row>
    <row r="6" spans="1:6" ht="20.25" customHeight="1">
      <c r="A6" s="2342" t="s">
        <v>1917</v>
      </c>
      <c r="B6" s="2342">
        <f ca="1">IF(C6&lt;B2,"已过期",1119970111)</f>
        <v>1119970111</v>
      </c>
      <c r="C6" s="3029">
        <v>43849</v>
      </c>
      <c r="D6" s="2342" t="s">
        <v>1917</v>
      </c>
      <c r="E6" s="2342">
        <f ca="1">IF(F6&lt;B2,"已过期",94010078)</f>
        <v>94010078</v>
      </c>
      <c r="F6" s="3030">
        <v>46387</v>
      </c>
    </row>
    <row r="7" spans="1:6" ht="20.25" customHeight="1">
      <c r="A7" s="2342" t="s">
        <v>1918</v>
      </c>
      <c r="B7" s="2342">
        <f ca="1">IF(C7&lt;B2,"已过期",1120050019)</f>
        <v>1120050019</v>
      </c>
      <c r="C7" s="3029">
        <v>43359</v>
      </c>
      <c r="D7" s="2342" t="s">
        <v>1918</v>
      </c>
      <c r="E7" s="2342">
        <f ca="1">IF(F7&lt;B2,"已过期",2002110030)</f>
        <v>2002110030</v>
      </c>
      <c r="F7" s="3030">
        <v>46387</v>
      </c>
    </row>
    <row r="8" spans="1:6" ht="20.25" customHeight="1">
      <c r="A8" s="2342" t="s">
        <v>1919</v>
      </c>
      <c r="B8" s="2342">
        <f ca="1">IF(C8&lt;B2,"已过期",1120000080)</f>
        <v>1120000080</v>
      </c>
      <c r="C8" s="3029">
        <v>43849</v>
      </c>
      <c r="D8" s="2342" t="s">
        <v>1919</v>
      </c>
      <c r="E8" s="2342">
        <f ca="1">IF(F8&lt;B2,"已过期",2000110082)</f>
        <v>2000110082</v>
      </c>
      <c r="F8" s="3030">
        <v>46387</v>
      </c>
    </row>
    <row r="9" spans="1:6" ht="20.25" customHeight="1">
      <c r="A9" s="2342" t="s">
        <v>1920</v>
      </c>
      <c r="B9" s="2342">
        <f ca="1">IF(C9&lt;B2,"已过期",1419970001)</f>
        <v>1419970001</v>
      </c>
      <c r="C9" s="3029">
        <v>43867</v>
      </c>
      <c r="D9" s="2342" t="s">
        <v>1920</v>
      </c>
      <c r="E9" s="2342">
        <f ca="1">IF(F9&lt;B2,"已过期",2002110125)</f>
        <v>2002110125</v>
      </c>
      <c r="F9" s="3030">
        <v>47118</v>
      </c>
    </row>
    <row r="10" spans="1:6" ht="20.25" customHeight="1">
      <c r="A10" s="2342" t="s">
        <v>1921</v>
      </c>
      <c r="B10" s="2342">
        <f ca="1">IF(C10&lt;B2,"已过期",1120060040)</f>
        <v>1120060040</v>
      </c>
      <c r="C10" s="3029">
        <v>43483</v>
      </c>
      <c r="D10" s="2342" t="s">
        <v>1921</v>
      </c>
      <c r="E10" s="2342">
        <f ca="1">IF(F10&lt;B2,"已过期",2004110096)</f>
        <v>2004110096</v>
      </c>
      <c r="F10" s="3030">
        <v>47118</v>
      </c>
    </row>
    <row r="11" spans="1:6" ht="20.25" customHeight="1">
      <c r="A11" s="2342" t="s">
        <v>1922</v>
      </c>
      <c r="B11" s="2342">
        <f ca="1">IF(C11&lt;B2,"已过期",1120100036)</f>
        <v>1120100036</v>
      </c>
      <c r="C11" s="3029">
        <v>43622</v>
      </c>
      <c r="D11" s="2342" t="s">
        <v>1922</v>
      </c>
      <c r="E11" s="2342">
        <f ca="1">IF(F11&lt;B2,"已过期",2010110070)</f>
        <v>2010110070</v>
      </c>
      <c r="F11" s="3030">
        <v>47907</v>
      </c>
    </row>
    <row r="12" spans="1:6" ht="20.25" customHeight="1">
      <c r="A12" s="2342" t="s">
        <v>2969</v>
      </c>
      <c r="B12" s="2342">
        <v>1120110054</v>
      </c>
      <c r="C12" s="3029">
        <v>43937</v>
      </c>
      <c r="D12" s="2342" t="s">
        <v>2969</v>
      </c>
      <c r="E12" s="2342">
        <v>2008110060</v>
      </c>
      <c r="F12" s="3030">
        <v>47177</v>
      </c>
    </row>
    <row r="13" spans="1:6" ht="20.25" customHeight="1">
      <c r="A13" s="2342" t="s">
        <v>1923</v>
      </c>
      <c r="B13" s="2342">
        <f ca="1">IF(C13&lt;B2,"已过期",1120070131)</f>
        <v>1120070131</v>
      </c>
      <c r="C13" s="3029">
        <v>43814</v>
      </c>
      <c r="D13" s="2342" t="s">
        <v>1923</v>
      </c>
      <c r="E13" s="2342">
        <v>2014110011</v>
      </c>
      <c r="F13" s="3030">
        <v>49302</v>
      </c>
    </row>
    <row r="14" spans="1:6" ht="20.25" customHeight="1">
      <c r="A14" s="2342" t="s">
        <v>1924</v>
      </c>
      <c r="B14" s="2342">
        <f ca="1">IF(C14&lt;B2,"已过期",1120130020)</f>
        <v>1120130020</v>
      </c>
      <c r="C14" s="3029">
        <v>43622</v>
      </c>
      <c r="D14" s="2342"/>
      <c r="E14" s="2342"/>
      <c r="F14" s="2342"/>
    </row>
    <row r="15" spans="1:6" ht="20.25" customHeight="1">
      <c r="A15" s="2342" t="s">
        <v>2575</v>
      </c>
      <c r="B15" s="2342">
        <v>1120070085</v>
      </c>
      <c r="C15" s="3029">
        <v>43814</v>
      </c>
      <c r="D15" s="2342" t="s">
        <v>2575</v>
      </c>
      <c r="E15" s="2342">
        <v>2004110128</v>
      </c>
      <c r="F15" s="3030">
        <v>47118</v>
      </c>
    </row>
    <row r="16" spans="1:6" ht="20.25" customHeight="1">
      <c r="A16" s="2342" t="s">
        <v>1925</v>
      </c>
      <c r="B16" s="2342">
        <f ca="1">IF(C16&lt;B2,"已过期",1120140022)</f>
        <v>1120140022</v>
      </c>
      <c r="C16" s="3029">
        <v>44029</v>
      </c>
      <c r="D16" s="2342" t="s">
        <v>1925</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1926</v>
      </c>
      <c r="E21" s="2342">
        <f ca="1">IF(F21&lt;B2,"已过期",2011110090)</f>
        <v>2011110090</v>
      </c>
      <c r="F21" s="3030">
        <v>48302</v>
      </c>
    </row>
    <row r="22" spans="1:7" ht="20.25" customHeight="1">
      <c r="A22" s="2342" t="s">
        <v>1927</v>
      </c>
      <c r="B22" s="2342">
        <f ca="1">IF(C22&lt;B2,"已过期",1120020033)</f>
        <v>1120020033</v>
      </c>
      <c r="C22" s="3029">
        <v>43304</v>
      </c>
      <c r="D22" s="2342" t="s">
        <v>1927</v>
      </c>
      <c r="E22" s="2342">
        <f ca="1">IF(F22&lt;B2,"已过期",2000110137)</f>
        <v>2000110137</v>
      </c>
      <c r="F22" s="3030">
        <v>46387</v>
      </c>
    </row>
    <row r="23" spans="1:7" ht="20.25" customHeight="1">
      <c r="A23" s="2342" t="s">
        <v>1928</v>
      </c>
      <c r="B23" s="2342">
        <f ca="1">IF(C23&lt;B2,"已过期",1120130048)</f>
        <v>1120130048</v>
      </c>
      <c r="C23" s="3029">
        <v>43686</v>
      </c>
      <c r="D23" s="2342"/>
      <c r="E23" s="2342"/>
      <c r="F23" s="2342"/>
    </row>
    <row r="24" spans="1:7" s="2346" customFormat="1" ht="20.25" customHeight="1">
      <c r="A24" s="2344" t="s">
        <v>2054</v>
      </c>
      <c r="B24" s="2344" t="s">
        <v>2054</v>
      </c>
      <c r="C24" s="3029"/>
      <c r="D24" s="3031" t="s">
        <v>2054</v>
      </c>
      <c r="E24" s="2344" t="s">
        <v>2054</v>
      </c>
      <c r="F24" s="2345"/>
    </row>
    <row r="25" spans="1:7" ht="20.25" customHeight="1">
      <c r="A25" s="3259" t="s">
        <v>1929</v>
      </c>
      <c r="B25" s="3259"/>
      <c r="C25" s="3259"/>
      <c r="D25" s="3259"/>
      <c r="E25" s="3259"/>
      <c r="F25" s="3259"/>
      <c r="G25" s="3259"/>
    </row>
    <row r="26" spans="1:7" ht="20.25" customHeight="1">
      <c r="A26" s="3260" t="s">
        <v>1930</v>
      </c>
      <c r="B26" s="3260"/>
      <c r="C26" s="3260"/>
      <c r="D26" s="3260" t="s">
        <v>1931</v>
      </c>
      <c r="E26" s="3260"/>
      <c r="F26" s="3260"/>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2546</v>
      </c>
      <c r="R1" s="2605"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4" t="s">
        <v>2946</v>
      </c>
      <c r="C18" s="1553"/>
    </row>
    <row r="19" spans="1:3">
      <c r="A19" s="8" t="s">
        <v>120</v>
      </c>
      <c r="B19" s="3134" t="s">
        <v>2954</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34" t="s">
        <v>3016</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珠海市恒信糖业有限公司拟使用广东省珠海市斗门区乾务镇糖厂内2宗工业用地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61"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工业34.26的出让国有建设用地使用权价格。</v>
      </c>
      <c r="D53" s="1766"/>
      <c r="E53" s="1766"/>
    </row>
    <row r="54" spans="1:5">
      <c r="A54" s="3261"/>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1"/>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1"/>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1"/>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138</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面积及最终结果</vt:lpstr>
      <vt:lpstr>抵押物清单（分楼）</vt:lpstr>
      <vt:lpstr>数据-汇总表</vt:lpstr>
      <vt:lpstr>数据-取费表</vt:lpstr>
      <vt:lpstr>估价对象房地状况</vt:lpstr>
      <vt:lpstr>系统读取表</vt:lpstr>
      <vt:lpstr>结果表</vt:lpstr>
      <vt:lpstr>比较法-住宅、综合</vt:lpstr>
      <vt:lpstr>比较法-工业</vt:lpstr>
      <vt:lpstr>土地案例</vt:lpstr>
      <vt:lpstr>剩余法-待开发</vt:lpstr>
      <vt:lpstr>剩余法-现房</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2018-05-30T13:38:24Z</cp:lastPrinted>
  <dcterms:created xsi:type="dcterms:W3CDTF">2015-07-13T07:17:23Z</dcterms:created>
  <dcterms:modified xsi:type="dcterms:W3CDTF">2018-06-05T01:55:10Z</dcterms:modified>
</cp:coreProperties>
</file>