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F15" i="77" l="1"/>
  <c r="E15" i="77"/>
  <c r="B24" i="31"/>
  <c r="B25" i="31"/>
  <c r="B26" i="31"/>
  <c r="B27" i="31"/>
  <c r="B28" i="31"/>
  <c r="B29" i="31"/>
  <c r="H8" i="77"/>
  <c r="B30" i="31"/>
  <c r="B31" i="31"/>
  <c r="B22" i="31"/>
  <c r="D101" i="33"/>
  <c r="E101" i="33"/>
  <c r="F101" i="33"/>
  <c r="H32" i="33"/>
  <c r="AB32" i="33"/>
  <c r="C33" i="33"/>
  <c r="H33" i="33"/>
  <c r="AB33" i="33" s="1"/>
  <c r="G101" i="33"/>
  <c r="J32" i="33"/>
  <c r="AC32" i="33"/>
  <c r="J33" i="33"/>
  <c r="AC33" i="33" s="1"/>
  <c r="F32" i="33"/>
  <c r="AA32" i="33"/>
  <c r="F33" i="33"/>
  <c r="AA33" i="33"/>
  <c r="H10" i="77"/>
  <c r="L1" i="73"/>
  <c r="J1" i="73"/>
  <c r="E1" i="73"/>
  <c r="C1" i="73"/>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39" i="11"/>
  <c r="Q16" i="1"/>
  <c r="F27" i="11" s="1"/>
  <c r="N16" i="1"/>
  <c r="F50" i="11"/>
  <c r="C8" i="11"/>
  <c r="C5" i="11"/>
  <c r="D19" i="11"/>
  <c r="C19" i="11"/>
  <c r="C20" i="11"/>
  <c r="C48" i="11"/>
  <c r="G41" i="11"/>
  <c r="C40" i="11"/>
  <c r="F38" i="11"/>
  <c r="E37" i="11"/>
  <c r="F36" i="11"/>
  <c r="F35" i="11"/>
  <c r="F30" i="11"/>
  <c r="C30" i="11"/>
  <c r="G22" i="11"/>
  <c r="F21" i="11"/>
  <c r="C21" i="11"/>
  <c r="F20" i="11"/>
  <c r="E19" i="11"/>
  <c r="E10" i="11"/>
  <c r="E5" i="6"/>
  <c r="E6" i="6"/>
  <c r="D10" i="11"/>
  <c r="C10" i="11"/>
  <c r="E9" i="11"/>
  <c r="D9" i="11"/>
  <c r="C9" i="11"/>
  <c r="F7" i="11"/>
  <c r="C7" i="11"/>
  <c r="H30" i="77"/>
  <c r="H33" i="77"/>
  <c r="H34" i="77"/>
  <c r="G30" i="77"/>
  <c r="G33" i="77"/>
  <c r="G34" i="77"/>
  <c r="F30" i="77"/>
  <c r="F33" i="77"/>
  <c r="F34" i="77"/>
  <c r="E30" i="77"/>
  <c r="E33" i="77"/>
  <c r="E34" i="77"/>
  <c r="D4" i="77"/>
  <c r="E4" i="77"/>
  <c r="D3" i="77"/>
  <c r="E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Q31" i="31"/>
  <c r="O31" i="31"/>
  <c r="M31" i="31"/>
  <c r="K31" i="31"/>
  <c r="I31" i="31"/>
  <c r="G31" i="31"/>
  <c r="E31" i="31"/>
  <c r="Q25" i="31"/>
  <c r="Q26" i="31"/>
  <c r="Q27" i="31"/>
  <c r="Q28" i="31"/>
  <c r="Q29" i="31"/>
  <c r="Q30"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G2" i="31" s="1"/>
  <c r="F3" i="31"/>
  <c r="E3" i="31"/>
  <c r="E2" i="31" s="1"/>
  <c r="D3" i="31"/>
  <c r="C3" i="31"/>
  <c r="S2" i="31"/>
  <c r="R2" i="31"/>
  <c r="Q2" i="31"/>
  <c r="P2" i="31"/>
  <c r="O2" i="31"/>
  <c r="N2" i="31"/>
  <c r="M2" i="31"/>
  <c r="L2" i="31"/>
  <c r="K2" i="31"/>
  <c r="J2" i="31"/>
  <c r="I2" i="31"/>
  <c r="H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E6" i="71"/>
  <c r="AF6" i="71" s="1"/>
  <c r="AD6" i="71"/>
  <c r="Q6" i="71"/>
  <c r="AB6" i="71" s="1"/>
  <c r="P6" i="71"/>
  <c r="AA6" i="71" s="1"/>
  <c r="O6" i="71"/>
  <c r="C6" i="71" s="1"/>
  <c r="N6" i="71"/>
  <c r="B6" i="71" s="1"/>
  <c r="B5" i="71" s="1"/>
  <c r="F6" i="71"/>
  <c r="F5" i="71" s="1"/>
  <c r="E6" i="71"/>
  <c r="E5" i="71" s="1"/>
  <c r="AH5" i="71"/>
  <c r="AG5" i="71"/>
  <c r="AE5" i="71"/>
  <c r="AF5" i="71" s="1"/>
  <c r="AD5" i="71"/>
  <c r="AB5" i="71"/>
  <c r="AA5" i="71"/>
  <c r="X5" i="71"/>
  <c r="Q5" i="71"/>
  <c r="P5" i="71"/>
  <c r="O5" i="71"/>
  <c r="N5" i="71"/>
  <c r="Y3" i="71"/>
  <c r="Z3" i="71" s="1"/>
  <c r="X3" i="71"/>
  <c r="L3" i="71"/>
  <c r="AH3" i="71" s="1"/>
  <c r="K3" i="71"/>
  <c r="AG3" i="71" s="1"/>
  <c r="J3" i="71"/>
  <c r="AE3" i="71" s="1"/>
  <c r="I3" i="71"/>
  <c r="AD3" i="71" s="1"/>
  <c r="G3" i="43"/>
  <c r="C23" i="43"/>
  <c r="C21" i="43"/>
  <c r="D33" i="43"/>
  <c r="D34" i="43"/>
  <c r="D38" i="43"/>
  <c r="H33" i="43"/>
  <c r="H34" i="43"/>
  <c r="H38"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A3" i="3"/>
  <c r="H13" i="3"/>
  <c r="AC13" i="3"/>
  <c r="G13" i="3"/>
  <c r="G5" i="3"/>
  <c r="B3" i="3"/>
  <c r="AY6" i="3"/>
  <c r="D3" i="6"/>
  <c r="E61" i="40"/>
  <c r="I60" i="40"/>
  <c r="H60" i="40"/>
  <c r="BB5" i="3"/>
  <c r="BC5" i="3"/>
  <c r="BD5" i="3"/>
  <c r="E15" i="6"/>
  <c r="E60" i="40"/>
  <c r="C60" i="40"/>
  <c r="I59" i="40"/>
  <c r="H59" i="40"/>
  <c r="E14" i="6"/>
  <c r="E59" i="40"/>
  <c r="C59" i="40"/>
  <c r="I58" i="40"/>
  <c r="H58" i="40"/>
  <c r="E13" i="6"/>
  <c r="E58" i="40"/>
  <c r="C58" i="40"/>
  <c r="I57" i="40"/>
  <c r="H57" i="40"/>
  <c r="E12" i="6"/>
  <c r="E57" i="40"/>
  <c r="C57" i="40"/>
  <c r="I56" i="40"/>
  <c r="H56" i="40"/>
  <c r="E11" i="6"/>
  <c r="E56" i="40"/>
  <c r="C56" i="40"/>
  <c r="I55" i="40"/>
  <c r="H55" i="40"/>
  <c r="C55" i="40"/>
  <c r="I54" i="40"/>
  <c r="H54" i="40"/>
  <c r="C54" i="40"/>
  <c r="I53" i="40"/>
  <c r="H53" i="40"/>
  <c r="C53" i="40"/>
  <c r="I52" i="40"/>
  <c r="H52" i="40"/>
  <c r="C52" i="40"/>
  <c r="E8" i="6"/>
  <c r="E51"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J7" i="40"/>
  <c r="W7" i="40" s="1"/>
  <c r="H7" i="40"/>
  <c r="AB7" i="40" s="1"/>
  <c r="T42" i="40" s="1"/>
  <c r="G42" i="40" s="1"/>
  <c r="F7" i="40"/>
  <c r="S7" i="40" s="1"/>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J7" i="39"/>
  <c r="W7" i="39" s="1"/>
  <c r="H7" i="39"/>
  <c r="AB7" i="39" s="1"/>
  <c r="T47" i="39" s="1"/>
  <c r="G47" i="39" s="1"/>
  <c r="F7" i="39"/>
  <c r="S7" i="39" s="1"/>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F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51" i="33"/>
  <c r="G51"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BA5" i="3"/>
  <c r="E27" i="6"/>
  <c r="K19" i="6"/>
  <c r="S6" i="1"/>
  <c r="E6" i="70"/>
  <c r="D19" i="6"/>
  <c r="L19" i="6"/>
  <c r="M19" i="6"/>
  <c r="I19" i="6"/>
  <c r="H19" i="6"/>
  <c r="R19" i="6"/>
  <c r="R6" i="1"/>
  <c r="T6" i="1"/>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AG6" i="1"/>
  <c r="D24" i="15"/>
  <c r="F23" i="15"/>
  <c r="D23" i="15"/>
  <c r="D22" i="15"/>
  <c r="F21" i="15"/>
  <c r="M20" i="15"/>
  <c r="F20" i="15"/>
  <c r="M19" i="15"/>
  <c r="M18" i="15"/>
  <c r="F18" i="15"/>
  <c r="M17" i="15"/>
  <c r="F17" i="15"/>
  <c r="F15"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C24" i="43"/>
  <c r="J22" i="43"/>
  <c r="J20" i="43"/>
  <c r="I20" i="43"/>
  <c r="O19" i="43"/>
  <c r="M19" i="43"/>
  <c r="I19" i="43"/>
  <c r="G19" i="43"/>
  <c r="C18" i="43"/>
  <c r="O17" i="43"/>
  <c r="N17" i="43"/>
  <c r="M17" i="43"/>
  <c r="L17" i="43"/>
  <c r="K17" i="43"/>
  <c r="J17" i="43"/>
  <c r="I17" i="43"/>
  <c r="H17" i="43"/>
  <c r="G17" i="43"/>
  <c r="E17" i="43"/>
  <c r="D17" i="43"/>
  <c r="C17" i="43"/>
  <c r="C16" i="43"/>
  <c r="F15" i="43"/>
  <c r="E15" i="43"/>
  <c r="D15" i="43"/>
  <c r="C15"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U6" i="43"/>
  <c r="N6" i="43"/>
  <c r="M6" i="43"/>
  <c r="C6" i="43"/>
  <c r="S5" i="43"/>
  <c r="U5" i="43"/>
  <c r="N5" i="43"/>
  <c r="M5" i="43"/>
  <c r="D5" i="43"/>
  <c r="C5" i="43"/>
  <c r="S4" i="43"/>
  <c r="U4" i="43"/>
  <c r="N4" i="43"/>
  <c r="M4" i="43"/>
  <c r="S3" i="43"/>
  <c r="U3" i="43"/>
  <c r="N3" i="43"/>
  <c r="M3" i="43"/>
  <c r="S2" i="43"/>
  <c r="U2" i="43"/>
  <c r="N2" i="43"/>
  <c r="M2" i="43"/>
  <c r="I2" i="43"/>
  <c r="G2" i="43"/>
  <c r="N1" i="43"/>
  <c r="M1" i="43"/>
  <c r="P6" i="1"/>
  <c r="P7" i="1"/>
  <c r="P8" i="1"/>
  <c r="P9" i="1"/>
  <c r="P10" i="1"/>
  <c r="P11" i="1"/>
  <c r="P12" i="1"/>
  <c r="P13" i="1"/>
  <c r="P14" i="1"/>
  <c r="P16" i="1"/>
  <c r="C11" i="12"/>
  <c r="C12" i="12" s="1"/>
  <c r="C13" i="12"/>
  <c r="D14" i="12"/>
  <c r="D17" i="12" s="1"/>
  <c r="C17" i="12" s="1"/>
  <c r="F11" i="12"/>
  <c r="C23" i="12" s="1"/>
  <c r="C15" i="12"/>
  <c r="D19" i="12"/>
  <c r="C19" i="12" s="1"/>
  <c r="D20" i="12"/>
  <c r="C20" i="12" s="1"/>
  <c r="D10" i="68"/>
  <c r="C10" i="68" s="1"/>
  <c r="B29" i="1" s="1"/>
  <c r="C8" i="68"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C34" i="69"/>
  <c r="C35" i="69" s="1"/>
  <c r="AP6" i="1"/>
  <c r="AP7" i="1"/>
  <c r="AP8" i="1"/>
  <c r="AP9" i="1"/>
  <c r="AP10" i="1"/>
  <c r="AP11" i="1"/>
  <c r="AP12" i="1"/>
  <c r="AP13" i="1"/>
  <c r="C36" i="69"/>
  <c r="D9" i="69"/>
  <c r="C9" i="69" s="1"/>
  <c r="D10" i="69"/>
  <c r="C38" i="69"/>
  <c r="F27" i="69"/>
  <c r="C47" i="69" s="1"/>
  <c r="D45" i="69" s="1"/>
  <c r="F50" i="69"/>
  <c r="C48" i="69"/>
  <c r="G41" i="69"/>
  <c r="C40" i="69"/>
  <c r="F38" i="69"/>
  <c r="E37" i="69"/>
  <c r="F36" i="69"/>
  <c r="F35" i="69"/>
  <c r="F30" i="69"/>
  <c r="C30" i="69"/>
  <c r="G22" i="69"/>
  <c r="F21" i="69"/>
  <c r="C21" i="69"/>
  <c r="F20" i="69"/>
  <c r="E19" i="69"/>
  <c r="E10" i="69"/>
  <c r="E9" i="69"/>
  <c r="F7" i="69"/>
  <c r="C7" i="69"/>
  <c r="H1" i="69"/>
  <c r="G1" i="69"/>
  <c r="F34" i="68"/>
  <c r="C34" i="68" s="1"/>
  <c r="C35" i="68" s="1"/>
  <c r="D9" i="68"/>
  <c r="F27" i="68"/>
  <c r="C47" i="68" s="1"/>
  <c r="D45" i="68" s="1"/>
  <c r="F50" i="68"/>
  <c r="C19" i="68"/>
  <c r="C48" i="68"/>
  <c r="G41" i="68"/>
  <c r="C40" i="68"/>
  <c r="F38" i="68"/>
  <c r="E37" i="68"/>
  <c r="F36" i="68"/>
  <c r="F35" i="68"/>
  <c r="F30" i="68"/>
  <c r="C30" i="68"/>
  <c r="G22" i="68"/>
  <c r="F21" i="68"/>
  <c r="C21" i="68"/>
  <c r="F20" i="68"/>
  <c r="E19" i="68"/>
  <c r="E10" i="68"/>
  <c r="E9" i="68"/>
  <c r="C9" i="68"/>
  <c r="F7" i="68"/>
  <c r="G1" i="68"/>
  <c r="H111" i="9"/>
  <c r="D126" i="9"/>
  <c r="D127" i="9"/>
  <c r="A126" i="9"/>
  <c r="H109" i="9"/>
  <c r="D124" i="9"/>
  <c r="D125" i="9"/>
  <c r="A124" i="9"/>
  <c r="A122" i="9"/>
  <c r="D121" i="9"/>
  <c r="K120" i="9"/>
  <c r="D120" i="9"/>
  <c r="A120" i="9"/>
  <c r="M18" i="9"/>
  <c r="B118" i="9"/>
  <c r="M19" i="9"/>
  <c r="C118"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19"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B8" i="74"/>
  <c r="B2" i="74"/>
  <c r="D8" i="74"/>
  <c r="B1" i="74"/>
  <c r="C8" i="74"/>
  <c r="B7" i="74"/>
  <c r="D7" i="74"/>
  <c r="C7"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O6" i="1"/>
  <c r="O7" i="1"/>
  <c r="O8" i="1"/>
  <c r="O9" i="1"/>
  <c r="O10" i="1"/>
  <c r="O11" i="1"/>
  <c r="O12" i="1"/>
  <c r="O13" i="1"/>
  <c r="O14" i="1"/>
  <c r="O16" i="1"/>
  <c r="L16" i="1"/>
  <c r="K15" i="1"/>
  <c r="K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s="1"/>
  <c r="C4" i="4" s="1"/>
  <c r="B4" i="62" s="1"/>
  <c r="B71" i="72" s="1"/>
  <c r="I4" i="4"/>
  <c r="G4" i="4"/>
  <c r="D3" i="4"/>
  <c r="S2" i="4"/>
  <c r="S1" i="4"/>
  <c r="B1" i="4"/>
  <c r="C53" i="10"/>
  <c r="C51" i="10"/>
  <c r="B51" i="10"/>
  <c r="B22" i="49"/>
  <c r="B16" i="49"/>
  <c r="B14" i="49"/>
  <c r="E11" i="49"/>
  <c r="E10" i="49"/>
  <c r="E9" i="49"/>
  <c r="B8" i="49"/>
  <c r="B7" i="49"/>
  <c r="E6" i="49"/>
  <c r="B6" i="49"/>
  <c r="E5" i="49"/>
  <c r="B5" i="49"/>
  <c r="E4" i="49"/>
  <c r="B4" i="49"/>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2" i="76"/>
  <c r="B10" i="76"/>
  <c r="B8" i="76"/>
  <c r="D2" i="35"/>
  <c r="D2" i="21"/>
  <c r="F9" i="15"/>
  <c r="F6" i="73"/>
  <c r="F4" i="73"/>
  <c r="F20" i="31"/>
  <c r="E12" i="76"/>
  <c r="E10" i="76"/>
  <c r="E8" i="76"/>
  <c r="D2" i="36"/>
  <c r="D2" i="33"/>
  <c r="AO12" i="1"/>
  <c r="AO10" i="1"/>
  <c r="AO8" i="1"/>
  <c r="C14" i="15"/>
  <c r="F13" i="15"/>
  <c r="L48" i="15"/>
  <c r="F13" i="67"/>
  <c r="M9" i="67"/>
  <c r="M22" i="67"/>
  <c r="M9" i="15"/>
  <c r="F37" i="67"/>
  <c r="C76" i="67"/>
  <c r="C76" i="15"/>
  <c r="J15" i="15"/>
  <c r="M26" i="15"/>
  <c r="D6" i="73"/>
  <c r="D4" i="73"/>
  <c r="B13" i="76"/>
  <c r="B11" i="76"/>
  <c r="B9" i="76"/>
  <c r="B7" i="76"/>
  <c r="D2" i="34"/>
  <c r="F8" i="15"/>
  <c r="F7" i="73"/>
  <c r="F5" i="73"/>
  <c r="F3" i="73"/>
  <c r="E13" i="76"/>
  <c r="E11" i="76"/>
  <c r="E9" i="76"/>
  <c r="E7" i="76"/>
  <c r="D2" i="37"/>
  <c r="AO13" i="1"/>
  <c r="AO11" i="1"/>
  <c r="AO9" i="1"/>
  <c r="AO7" i="1"/>
  <c r="F35" i="15"/>
  <c r="F16" i="15"/>
  <c r="F36" i="15"/>
  <c r="F37" i="15"/>
  <c r="F42" i="15"/>
  <c r="F26" i="15"/>
  <c r="M6" i="15"/>
  <c r="F6" i="67"/>
  <c r="F35" i="67"/>
  <c r="M8" i="67"/>
  <c r="L48" i="67"/>
  <c r="M29" i="67"/>
  <c r="M21" i="67"/>
  <c r="J15" i="67"/>
  <c r="M24" i="67"/>
  <c r="M8" i="15"/>
  <c r="F43" i="67"/>
  <c r="F8" i="67"/>
  <c r="F36" i="67"/>
  <c r="F38" i="67"/>
  <c r="F41" i="67"/>
  <c r="M6" i="67"/>
  <c r="M26" i="67"/>
  <c r="L47" i="15"/>
  <c r="M27" i="15"/>
  <c r="M22" i="15"/>
  <c r="M23" i="15"/>
  <c r="M29" i="15"/>
  <c r="E2" i="69"/>
  <c r="F7" i="15"/>
  <c r="F43" i="15"/>
  <c r="F38" i="15"/>
  <c r="F40" i="15"/>
  <c r="F7" i="67"/>
  <c r="F40" i="67"/>
  <c r="L47" i="67"/>
  <c r="M27" i="67"/>
  <c r="M23" i="67"/>
  <c r="F16" i="67"/>
  <c r="F26" i="67"/>
  <c r="F9" i="67"/>
  <c r="F42" i="67"/>
  <c r="M28" i="67"/>
  <c r="M28" i="15"/>
  <c r="M21" i="15"/>
  <c r="M24" i="15"/>
  <c r="E2" i="68"/>
  <c r="AB3" i="71" l="1"/>
  <c r="AA3" i="71"/>
  <c r="X6" i="71"/>
  <c r="G51" i="39"/>
  <c r="H51" i="39" s="1"/>
  <c r="G46" i="40"/>
  <c r="H46" i="40" s="1"/>
  <c r="AF3" i="71"/>
  <c r="P24" i="43" s="1"/>
  <c r="B66" i="40" s="1"/>
  <c r="P25" i="43"/>
  <c r="P22" i="43"/>
  <c r="P21" i="43"/>
  <c r="D6" i="71"/>
  <c r="C5" i="71"/>
  <c r="U7" i="39"/>
  <c r="AA7" i="39"/>
  <c r="R47" i="39" s="1"/>
  <c r="AC7" i="39"/>
  <c r="V47" i="39" s="1"/>
  <c r="I47" i="39" s="1"/>
  <c r="U7" i="40"/>
  <c r="AA7" i="40"/>
  <c r="R42" i="40" s="1"/>
  <c r="AC7" i="40"/>
  <c r="V42" i="40" s="1"/>
  <c r="I42" i="40" s="1"/>
  <c r="Y6" i="71"/>
  <c r="Z6" i="71" s="1"/>
  <c r="B15" i="49"/>
  <c r="E17" i="49"/>
  <c r="R16" i="1"/>
  <c r="Y5" i="71"/>
  <c r="Z5" i="71" s="1"/>
  <c r="C28" i="11"/>
  <c r="C27" i="11" s="1"/>
  <c r="C29" i="11"/>
  <c r="D27" i="11" s="1"/>
  <c r="C46" i="11"/>
  <c r="C45" i="11" s="1"/>
  <c r="C47" i="11"/>
  <c r="D45" i="11" s="1"/>
  <c r="G111" i="33"/>
  <c r="H36" i="33"/>
  <c r="J36" i="33"/>
  <c r="F2" i="31"/>
  <c r="D19" i="68"/>
  <c r="D37" i="68" s="1"/>
  <c r="D19" i="69"/>
  <c r="D37" i="69" s="1"/>
  <c r="C37" i="69" s="1"/>
  <c r="C33" i="69" s="1"/>
  <c r="C10" i="69"/>
  <c r="C8" i="69" s="1"/>
  <c r="C5" i="69" s="1"/>
  <c r="C26" i="31"/>
  <c r="C36" i="68"/>
  <c r="C14" i="12"/>
  <c r="C16" i="12" s="1"/>
  <c r="C37" i="68"/>
  <c r="C29" i="69"/>
  <c r="D27" i="69" s="1"/>
  <c r="C30" i="31"/>
  <c r="C29" i="31"/>
  <c r="C27" i="31"/>
  <c r="C25" i="31"/>
  <c r="C31" i="31"/>
  <c r="C28" i="31"/>
  <c r="C29" i="68"/>
  <c r="D27" i="68" s="1"/>
  <c r="C19" i="69"/>
  <c r="J20" i="15"/>
  <c r="L58" i="15"/>
  <c r="N59" i="15"/>
  <c r="L59" i="15"/>
  <c r="M59" i="15"/>
  <c r="Q71" i="15"/>
  <c r="Q71" i="67"/>
  <c r="F69" i="67"/>
  <c r="F70" i="67"/>
  <c r="F66" i="67"/>
  <c r="F65" i="67"/>
  <c r="F64" i="67"/>
  <c r="F51" i="67"/>
  <c r="C27" i="67"/>
  <c r="F71" i="67"/>
  <c r="J20" i="67"/>
  <c r="L58" i="67"/>
  <c r="N59" i="67"/>
  <c r="L59" i="67"/>
  <c r="M59" i="67"/>
  <c r="J57" i="67"/>
  <c r="J55" i="67" s="1"/>
  <c r="J58" i="67" s="1"/>
  <c r="Q50" i="67" s="1"/>
  <c r="L56" i="67"/>
  <c r="L60" i="67"/>
  <c r="J60" i="67"/>
  <c r="Q48" i="67" s="1"/>
  <c r="J59" i="67"/>
  <c r="L57" i="67"/>
  <c r="I54" i="67"/>
  <c r="J53" i="67"/>
  <c r="L46" i="67"/>
  <c r="F68" i="67"/>
  <c r="C34" i="67"/>
  <c r="F63" i="67"/>
  <c r="C62" i="67" s="1"/>
  <c r="F50" i="67"/>
  <c r="M7" i="67"/>
  <c r="J6" i="67" s="1"/>
  <c r="C6" i="67"/>
  <c r="F68" i="15"/>
  <c r="C27" i="15"/>
  <c r="J57" i="15"/>
  <c r="J55" i="15" s="1"/>
  <c r="J58" i="15" s="1"/>
  <c r="Q50" i="15" s="1"/>
  <c r="J53" i="15"/>
  <c r="L56" i="15"/>
  <c r="L60" i="15"/>
  <c r="L57" i="15"/>
  <c r="I54" i="15"/>
  <c r="F66" i="15"/>
  <c r="F65" i="15"/>
  <c r="F64" i="15"/>
  <c r="F71" i="15"/>
  <c r="C18" i="15"/>
  <c r="C15" i="15"/>
  <c r="C34" i="15"/>
  <c r="F63" i="15"/>
  <c r="C62" i="15" s="1"/>
  <c r="M7" i="15"/>
  <c r="J6" i="15" s="1"/>
  <c r="F50" i="15"/>
  <c r="B7" i="70"/>
  <c r="B8" i="70"/>
  <c r="B9" i="70"/>
  <c r="B10" i="70"/>
  <c r="B11" i="70"/>
  <c r="B12" i="70"/>
  <c r="B13" i="70"/>
  <c r="B2" i="37"/>
  <c r="B3" i="37" s="1"/>
  <c r="B2" i="36"/>
  <c r="B3" i="36" s="1"/>
  <c r="I1" i="73"/>
  <c r="B39" i="1" s="1"/>
  <c r="F51" i="15"/>
  <c r="B2" i="21"/>
  <c r="B3" i="21" s="1"/>
  <c r="B2" i="34"/>
  <c r="B3" i="34" s="1"/>
  <c r="B2" i="35"/>
  <c r="B3" i="35" s="1"/>
  <c r="E20" i="43"/>
  <c r="K1" i="73"/>
  <c r="C18" i="12"/>
  <c r="C20" i="69"/>
  <c r="C28" i="69" s="1"/>
  <c r="C27" i="69" s="1"/>
  <c r="C39" i="69"/>
  <c r="C46" i="69" s="1"/>
  <c r="C45" i="69" s="1"/>
  <c r="E7" i="49"/>
  <c r="E8" i="49"/>
  <c r="B10" i="49"/>
  <c r="B11" i="49"/>
  <c r="E13" i="49"/>
  <c r="E14" i="49"/>
  <c r="E15" i="49"/>
  <c r="E16" i="49"/>
  <c r="E21" i="49"/>
  <c r="E22" i="49"/>
  <c r="B13" i="49"/>
  <c r="E4" i="4" s="1"/>
  <c r="B5" i="62" s="1"/>
  <c r="B73" i="72" s="1"/>
  <c r="C38" i="68"/>
  <c r="C33" i="68" s="1"/>
  <c r="C17" i="15"/>
  <c r="C14" i="67"/>
  <c r="G1" i="73"/>
  <c r="C17" i="67"/>
  <c r="C16" i="15"/>
  <c r="C16" i="67"/>
  <c r="C21" i="12" l="1"/>
  <c r="C49" i="15"/>
  <c r="I46" i="40"/>
  <c r="J46" i="40" s="1"/>
  <c r="R48" i="39"/>
  <c r="E47" i="39"/>
  <c r="D5" i="71"/>
  <c r="M20" i="43"/>
  <c r="C19" i="43" s="1"/>
  <c r="P23" i="43"/>
  <c r="B71" i="39" s="1"/>
  <c r="E42" i="40"/>
  <c r="I47" i="40" s="1"/>
  <c r="J47" i="40" s="1"/>
  <c r="R43" i="40"/>
  <c r="I52" i="39"/>
  <c r="J52" i="39" s="1"/>
  <c r="I51" i="39"/>
  <c r="J51" i="39" s="1"/>
  <c r="G47" i="40"/>
  <c r="H47" i="40" s="1"/>
  <c r="G52" i="39"/>
  <c r="H52" i="39" s="1"/>
  <c r="AB36" i="33"/>
  <c r="T48" i="33" s="1"/>
  <c r="G48" i="33" s="1"/>
  <c r="U36" i="33"/>
  <c r="AC36" i="33"/>
  <c r="V48" i="33" s="1"/>
  <c r="I48" i="33" s="1"/>
  <c r="W36" i="33"/>
  <c r="H111" i="33"/>
  <c r="I111" i="33" s="1"/>
  <c r="J111" i="33" s="1"/>
  <c r="K111" i="33" s="1"/>
  <c r="L111" i="33" s="1"/>
  <c r="M111" i="33" s="1"/>
  <c r="F36" i="33"/>
  <c r="B40" i="1"/>
  <c r="C18" i="67"/>
  <c r="C19" i="67"/>
  <c r="C15" i="67"/>
  <c r="C19" i="15"/>
  <c r="J18" i="15"/>
  <c r="J18" i="67"/>
  <c r="C39" i="68"/>
  <c r="C46" i="68" s="1"/>
  <c r="C45" i="68" s="1"/>
  <c r="C22" i="12"/>
  <c r="C30" i="12" s="1"/>
  <c r="C28" i="12" s="1"/>
  <c r="F11" i="15"/>
  <c r="C53" i="15" s="1"/>
  <c r="M11" i="67"/>
  <c r="J10" i="67" s="1"/>
  <c r="J5" i="67" s="1"/>
  <c r="M11" i="15"/>
  <c r="J10" i="15" s="1"/>
  <c r="J5" i="15" s="1"/>
  <c r="F11" i="67"/>
  <c r="C53" i="67" s="1"/>
  <c r="F1" i="15"/>
  <c r="Q52" i="15"/>
  <c r="C32" i="67"/>
  <c r="C33" i="67"/>
  <c r="C49" i="67"/>
  <c r="Q74" i="15"/>
  <c r="Q61" i="15"/>
  <c r="Q73" i="15"/>
  <c r="Q60" i="15"/>
  <c r="K4" i="4"/>
  <c r="B46" i="48" s="1"/>
  <c r="B4" i="72" s="1"/>
  <c r="M28" i="43"/>
  <c r="G20" i="43" s="1"/>
  <c r="O28" i="43"/>
  <c r="P28" i="43"/>
  <c r="N28" i="43"/>
  <c r="C48" i="15"/>
  <c r="Q66" i="15"/>
  <c r="Q57" i="15"/>
  <c r="Q52" i="67"/>
  <c r="F1" i="67"/>
  <c r="Q66" i="67"/>
  <c r="Q57" i="67"/>
  <c r="Q74" i="67"/>
  <c r="Q61" i="67"/>
  <c r="Q60" i="67"/>
  <c r="Q73" i="67"/>
  <c r="AE6" i="1"/>
  <c r="C43" i="40" l="1"/>
  <c r="C42" i="40"/>
  <c r="C48" i="39"/>
  <c r="C47" i="39"/>
  <c r="E47" i="40"/>
  <c r="F47" i="40" s="1"/>
  <c r="E46" i="40"/>
  <c r="F46" i="40" s="1"/>
  <c r="E52" i="39"/>
  <c r="F52" i="39" s="1"/>
  <c r="E51" i="39"/>
  <c r="F51" i="39" s="1"/>
  <c r="C48" i="67"/>
  <c r="C66" i="67" s="1"/>
  <c r="AA36" i="33"/>
  <c r="R48" i="33" s="1"/>
  <c r="S36" i="33"/>
  <c r="I52" i="33"/>
  <c r="J52" i="33" s="1"/>
  <c r="G52" i="33"/>
  <c r="H52" i="33" s="1"/>
  <c r="G53" i="33"/>
  <c r="H53" i="33" s="1"/>
  <c r="J26" i="15"/>
  <c r="J24" i="15"/>
  <c r="J26" i="67"/>
  <c r="J29" i="67" s="1"/>
  <c r="J24" i="67"/>
  <c r="C31" i="67"/>
  <c r="C60" i="15"/>
  <c r="C66" i="15"/>
  <c r="C20" i="43"/>
  <c r="E41" i="43"/>
  <c r="C41" i="43" s="1"/>
  <c r="H6" i="1"/>
  <c r="C60" i="67"/>
  <c r="C10" i="67"/>
  <c r="C5" i="67" s="1"/>
  <c r="C20" i="15"/>
  <c r="C26" i="15" s="1"/>
  <c r="C20" i="67"/>
  <c r="C26" i="67" s="1"/>
  <c r="F22" i="11"/>
  <c r="F24" i="15"/>
  <c r="C24" i="15" s="1"/>
  <c r="F24" i="67"/>
  <c r="C24" i="67" s="1"/>
  <c r="F25" i="12"/>
  <c r="F22" i="69"/>
  <c r="F22" i="68"/>
  <c r="F41" i="15"/>
  <c r="B64" i="39" l="1"/>
  <c r="F64" i="39" s="1"/>
  <c r="B62" i="39"/>
  <c r="F62" i="39" s="1"/>
  <c r="B60" i="39"/>
  <c r="F60" i="39" s="1"/>
  <c r="B58" i="39"/>
  <c r="F58" i="39" s="1"/>
  <c r="B56" i="39"/>
  <c r="F56" i="39" s="1"/>
  <c r="F66" i="39" s="1"/>
  <c r="B2" i="39" s="1"/>
  <c r="B3" i="39" s="1"/>
  <c r="B65" i="39"/>
  <c r="F65" i="39" s="1"/>
  <c r="B63" i="39"/>
  <c r="F63" i="39" s="1"/>
  <c r="B61" i="39"/>
  <c r="F61" i="39" s="1"/>
  <c r="B59" i="39"/>
  <c r="F59" i="39" s="1"/>
  <c r="B57" i="39"/>
  <c r="F57" i="39" s="1"/>
  <c r="F61" i="40"/>
  <c r="B2" i="40" s="1"/>
  <c r="B3" i="40" s="1"/>
  <c r="B58" i="40"/>
  <c r="F58" i="40" s="1"/>
  <c r="B56" i="40"/>
  <c r="F56" i="40" s="1"/>
  <c r="B54" i="40"/>
  <c r="F54" i="40" s="1"/>
  <c r="B52" i="40"/>
  <c r="F52" i="40" s="1"/>
  <c r="B60" i="40"/>
  <c r="F60" i="40" s="1"/>
  <c r="B59" i="40"/>
  <c r="F59" i="40" s="1"/>
  <c r="B57" i="40"/>
  <c r="F57" i="40" s="1"/>
  <c r="B55" i="40"/>
  <c r="F55" i="40" s="1"/>
  <c r="B53" i="40"/>
  <c r="F53" i="40" s="1"/>
  <c r="B51" i="40"/>
  <c r="F51" i="40" s="1"/>
  <c r="F69" i="15"/>
  <c r="J29" i="15"/>
  <c r="E48" i="33"/>
  <c r="R49" i="33"/>
  <c r="C44" i="68"/>
  <c r="D41" i="68" s="1"/>
  <c r="C24" i="68"/>
  <c r="C26" i="68"/>
  <c r="D22" i="68" s="1"/>
  <c r="C42" i="68"/>
  <c r="C26" i="12"/>
  <c r="D25" i="12" s="1"/>
  <c r="C27" i="12"/>
  <c r="C25" i="12" s="1"/>
  <c r="C23" i="67"/>
  <c r="C29" i="67" s="1"/>
  <c r="C23" i="15"/>
  <c r="C29" i="15" s="1"/>
  <c r="C43" i="68"/>
  <c r="C38" i="43"/>
  <c r="C39" i="43"/>
  <c r="C44" i="69"/>
  <c r="D41" i="69" s="1"/>
  <c r="C26" i="69"/>
  <c r="D22" i="69" s="1"/>
  <c r="C23" i="69"/>
  <c r="C42" i="69"/>
  <c r="C24" i="69"/>
  <c r="C43" i="69"/>
  <c r="C25" i="69"/>
  <c r="C42" i="11"/>
  <c r="C43" i="11"/>
  <c r="C44" i="11"/>
  <c r="D41" i="11" s="1"/>
  <c r="C24" i="11"/>
  <c r="C23" i="11"/>
  <c r="C25" i="11"/>
  <c r="C26" i="11"/>
  <c r="D22" i="11" s="1"/>
  <c r="C38" i="67"/>
  <c r="G6" i="1"/>
  <c r="G16" i="1" s="1"/>
  <c r="H16" i="1"/>
  <c r="C29" i="43"/>
  <c r="C33" i="43"/>
  <c r="C35" i="43"/>
  <c r="C36" i="43"/>
  <c r="C37" i="43"/>
  <c r="C34" i="43"/>
  <c r="T16" i="43"/>
  <c r="V16" i="43" s="1"/>
  <c r="T11" i="43"/>
  <c r="V11" i="43" s="1"/>
  <c r="T10" i="43"/>
  <c r="V10" i="43" s="1"/>
  <c r="T6" i="43"/>
  <c r="V6" i="43" s="1"/>
  <c r="T2" i="43"/>
  <c r="V2" i="43" s="1"/>
  <c r="T15" i="43"/>
  <c r="V15" i="43" s="1"/>
  <c r="T14" i="43"/>
  <c r="V14" i="43" s="1"/>
  <c r="T13" i="43"/>
  <c r="V13" i="43" s="1"/>
  <c r="T12" i="43"/>
  <c r="V12" i="43" s="1"/>
  <c r="T9" i="43"/>
  <c r="V9" i="43" s="1"/>
  <c r="T8" i="43"/>
  <c r="V8" i="43" s="1"/>
  <c r="T7" i="43"/>
  <c r="V7" i="43" s="1"/>
  <c r="T5" i="43"/>
  <c r="V5" i="43" s="1"/>
  <c r="T4" i="43"/>
  <c r="V4" i="43" s="1"/>
  <c r="T3" i="43"/>
  <c r="V3" i="43" s="1"/>
  <c r="C49" i="33" l="1"/>
  <c r="C48" i="33"/>
  <c r="E53" i="33"/>
  <c r="F53" i="33" s="1"/>
  <c r="E52" i="33"/>
  <c r="F52" i="33" s="1"/>
  <c r="I53" i="33"/>
  <c r="J53" i="33" s="1"/>
  <c r="C32" i="12"/>
  <c r="B2" i="12" s="1"/>
  <c r="B3" i="12" s="1"/>
  <c r="C22" i="11"/>
  <c r="C41" i="11"/>
  <c r="E34" i="43"/>
  <c r="G34" i="43"/>
  <c r="I34" i="43" s="1"/>
  <c r="G36" i="43"/>
  <c r="I36" i="43" s="1"/>
  <c r="E36" i="43"/>
  <c r="E33" i="43"/>
  <c r="G33" i="43"/>
  <c r="I33" i="43" s="1"/>
  <c r="C31" i="11"/>
  <c r="C49" i="11"/>
  <c r="C51" i="11" s="1"/>
  <c r="C41" i="69"/>
  <c r="C49" i="69" s="1"/>
  <c r="C51" i="69" s="1"/>
  <c r="E39" i="43"/>
  <c r="G39" i="43"/>
  <c r="I39" i="43" s="1"/>
  <c r="C13" i="15"/>
  <c r="C36" i="15"/>
  <c r="Q49" i="15"/>
  <c r="C57" i="15"/>
  <c r="J19" i="15"/>
  <c r="J17" i="15" s="1"/>
  <c r="J14" i="15"/>
  <c r="J59" i="15"/>
  <c r="J60" i="15" s="1"/>
  <c r="C41" i="68"/>
  <c r="C49" i="68" s="1"/>
  <c r="C51" i="68" s="1"/>
  <c r="G37" i="43"/>
  <c r="I37" i="43" s="1"/>
  <c r="E37" i="43"/>
  <c r="G35" i="43"/>
  <c r="I35" i="43" s="1"/>
  <c r="E35" i="43"/>
  <c r="C30" i="43"/>
  <c r="E30" i="43" s="1"/>
  <c r="E29" i="43"/>
  <c r="J10" i="40"/>
  <c r="H10" i="40"/>
  <c r="F10" i="40"/>
  <c r="J10" i="39"/>
  <c r="H10" i="39"/>
  <c r="F10" i="39"/>
  <c r="C22" i="69"/>
  <c r="C31" i="69" s="1"/>
  <c r="C52" i="69" s="1"/>
  <c r="B2" i="69" s="1"/>
  <c r="B3" i="69" s="1"/>
  <c r="E38" i="43"/>
  <c r="C6" i="68" s="1"/>
  <c r="G38" i="43"/>
  <c r="I38" i="43" s="1"/>
  <c r="C36" i="67"/>
  <c r="C13" i="67"/>
  <c r="C57" i="67"/>
  <c r="Q49" i="67"/>
  <c r="J19" i="67"/>
  <c r="J17" i="67" s="1"/>
  <c r="J14" i="67"/>
  <c r="J2" i="77" l="1"/>
  <c r="R24" i="31"/>
  <c r="B3" i="33"/>
  <c r="B2" i="33"/>
  <c r="C7" i="68"/>
  <c r="C5" i="68" s="1"/>
  <c r="C61" i="67"/>
  <c r="C59" i="67" s="1"/>
  <c r="C64" i="67"/>
  <c r="AA10" i="39"/>
  <c r="S10" i="39"/>
  <c r="AC10" i="39"/>
  <c r="W10" i="39"/>
  <c r="U10" i="40"/>
  <c r="AB10" i="40"/>
  <c r="C26" i="43"/>
  <c r="Q48" i="15"/>
  <c r="L46" i="15"/>
  <c r="C37" i="15"/>
  <c r="C56" i="15"/>
  <c r="C65" i="15" s="1"/>
  <c r="C75" i="15"/>
  <c r="Q70" i="15"/>
  <c r="J22" i="67"/>
  <c r="J13" i="67"/>
  <c r="J23" i="67" s="1"/>
  <c r="C37" i="67"/>
  <c r="C30" i="67" s="1"/>
  <c r="C39" i="67" s="1"/>
  <c r="C75" i="67"/>
  <c r="C56" i="67"/>
  <c r="C65" i="67" s="1"/>
  <c r="Q70" i="67"/>
  <c r="AB10" i="39"/>
  <c r="U10" i="39"/>
  <c r="AA10" i="40"/>
  <c r="S10" i="40"/>
  <c r="AC10" i="40"/>
  <c r="W10" i="40"/>
  <c r="C27" i="43"/>
  <c r="J22" i="15"/>
  <c r="J13" i="15"/>
  <c r="J23" i="15" s="1"/>
  <c r="C61" i="15"/>
  <c r="C59" i="15" s="1"/>
  <c r="C64" i="15"/>
  <c r="C57" i="69"/>
  <c r="C56" i="69" s="1"/>
  <c r="C52" i="11"/>
  <c r="B2" i="11" s="1"/>
  <c r="B3" i="11" s="1"/>
  <c r="E6" i="76"/>
  <c r="T25" i="31" l="1"/>
  <c r="T29" i="31"/>
  <c r="R30" i="31"/>
  <c r="S30" i="31" s="1"/>
  <c r="R28" i="31"/>
  <c r="S28" i="31" s="1"/>
  <c r="R26" i="31"/>
  <c r="S26" i="31" s="1"/>
  <c r="S24" i="31"/>
  <c r="T28" i="31"/>
  <c r="R31" i="31"/>
  <c r="S31" i="31" s="1"/>
  <c r="T27" i="31"/>
  <c r="T30" i="31"/>
  <c r="R29" i="31"/>
  <c r="S29" i="31" s="1"/>
  <c r="R27" i="31"/>
  <c r="S27" i="31" s="1"/>
  <c r="R25" i="31"/>
  <c r="S25" i="31" s="1"/>
  <c r="T26" i="31"/>
  <c r="T31" i="31"/>
  <c r="U30" i="31" s="1"/>
  <c r="J4" i="77"/>
  <c r="J8" i="77"/>
  <c r="J5" i="77"/>
  <c r="J6" i="77"/>
  <c r="J3" i="77"/>
  <c r="J7" i="77"/>
  <c r="J10" i="77" s="1"/>
  <c r="U6" i="1" s="1"/>
  <c r="C58" i="15"/>
  <c r="C67" i="15" s="1"/>
  <c r="C68" i="15" s="1"/>
  <c r="C71" i="15" s="1"/>
  <c r="J16" i="15"/>
  <c r="J25" i="15" s="1"/>
  <c r="J16" i="67"/>
  <c r="J25" i="67" s="1"/>
  <c r="E2" i="76"/>
  <c r="C40" i="67"/>
  <c r="Q69" i="67"/>
  <c r="Q68" i="67" s="1"/>
  <c r="C20" i="68"/>
  <c r="C25" i="68" s="1"/>
  <c r="C23" i="68"/>
  <c r="C28" i="68"/>
  <c r="C27" i="68" s="1"/>
  <c r="C80" i="67"/>
  <c r="C79" i="67" s="1"/>
  <c r="C56" i="11"/>
  <c r="C57" i="11" s="1"/>
  <c r="C58" i="67"/>
  <c r="C67" i="67" s="1"/>
  <c r="C68" i="67" s="1"/>
  <c r="B2" i="43"/>
  <c r="L51" i="67"/>
  <c r="B6" i="76"/>
  <c r="F6" i="15"/>
  <c r="C6" i="15" l="1"/>
  <c r="S22" i="31"/>
  <c r="B2" i="76"/>
  <c r="B3" i="76" s="1"/>
  <c r="Q67" i="67"/>
  <c r="B3" i="43"/>
  <c r="C22" i="68"/>
  <c r="C31" i="68" s="1"/>
  <c r="C52" i="68" s="1"/>
  <c r="Q47" i="67"/>
  <c r="Q53" i="67" s="1"/>
  <c r="D2" i="67"/>
  <c r="Q65" i="67"/>
  <c r="Q75" i="67" s="1"/>
  <c r="Q56" i="67"/>
  <c r="Q62" i="67" s="1"/>
  <c r="C43" i="67"/>
  <c r="C83" i="67"/>
  <c r="C82" i="67" s="1"/>
  <c r="C71" i="67"/>
  <c r="C45" i="67"/>
  <c r="C46" i="67" s="1"/>
  <c r="B20" i="31" l="1"/>
  <c r="R22" i="31"/>
  <c r="B21" i="31" s="1"/>
  <c r="C32" i="15"/>
  <c r="C10" i="15"/>
  <c r="C5" i="15" s="1"/>
  <c r="C38" i="15" s="1"/>
  <c r="C33" i="15"/>
  <c r="B2" i="68"/>
  <c r="C57" i="68"/>
  <c r="C56" i="68" s="1"/>
  <c r="B2" i="67"/>
  <c r="B3" i="67"/>
  <c r="C19" i="9"/>
  <c r="C31" i="15" l="1"/>
  <c r="C30" i="15" s="1"/>
  <c r="C39" i="15" s="1"/>
  <c r="C21" i="9"/>
  <c r="C102" i="9"/>
  <c r="B3" i="68"/>
  <c r="D34" i="9"/>
  <c r="D35" i="9"/>
  <c r="C20" i="9"/>
  <c r="L51" i="15"/>
  <c r="Q67" i="15" l="1"/>
  <c r="C40" i="15"/>
  <c r="Q69" i="15"/>
  <c r="Q68" i="15" s="1"/>
  <c r="C80" i="15"/>
  <c r="C79" i="15" s="1"/>
  <c r="C103" i="9"/>
  <c r="C46" i="15" l="1"/>
  <c r="B2" i="15"/>
  <c r="Q56" i="15"/>
  <c r="Q62" i="15" s="1"/>
  <c r="C43" i="15"/>
  <c r="Q65" i="15"/>
  <c r="Q75" i="15" s="1"/>
  <c r="Q47" i="15"/>
  <c r="Q53" i="15" s="1"/>
  <c r="C83" i="15"/>
  <c r="C82" i="15" s="1"/>
  <c r="AO6" i="1"/>
  <c r="D19" i="9"/>
  <c r="D102" i="9" l="1"/>
  <c r="D21" i="9"/>
  <c r="D22" i="9"/>
  <c r="G19" i="9"/>
  <c r="B6" i="70"/>
  <c r="B2" i="70" s="1"/>
  <c r="B3" i="70" s="1"/>
  <c r="B3" i="15"/>
  <c r="D20" i="9"/>
  <c r="D103" i="9" l="1"/>
  <c r="G20" i="9"/>
  <c r="C32" i="9"/>
  <c r="G21" i="9"/>
  <c r="C35" i="9" l="1"/>
  <c r="F118" i="9" s="1"/>
  <c r="H118" i="9"/>
  <c r="C34" i="9"/>
  <c r="D118" i="9" s="1"/>
  <c r="H101" i="9" l="1"/>
  <c r="H119" i="9"/>
  <c r="H5" i="52" s="1"/>
  <c r="C104" i="9"/>
  <c r="D14" i="74"/>
  <c r="I118" i="9"/>
  <c r="H4" i="52"/>
  <c r="D119" i="9"/>
  <c r="D5" i="52" s="1"/>
  <c r="B49" i="72" s="1"/>
  <c r="D4" i="52"/>
  <c r="B47" i="72" s="1"/>
  <c r="G118" i="9"/>
  <c r="G4" i="52" s="1"/>
  <c r="B52" i="72" s="1"/>
  <c r="F4" i="52"/>
  <c r="B51" i="72" s="1"/>
  <c r="F119" i="9"/>
  <c r="F5" i="52" s="1"/>
  <c r="B53" i="72" s="1"/>
  <c r="F14" i="74" l="1"/>
  <c r="B5" i="74"/>
  <c r="E14" i="74"/>
  <c r="E118" i="9"/>
  <c r="E4" i="52" s="1"/>
  <c r="B48" i="72" s="1"/>
  <c r="H102" i="9"/>
  <c r="D7" i="53" s="1"/>
  <c r="B21" i="72" s="1"/>
  <c r="C105" i="9"/>
  <c r="I4" i="52"/>
  <c r="H107" i="9"/>
  <c r="D5" i="53"/>
  <c r="D45" i="9"/>
  <c r="M48" i="9"/>
  <c r="C78" i="9" l="1"/>
  <c r="C73" i="9" s="1"/>
  <c r="C72" i="9"/>
  <c r="D55" i="9"/>
  <c r="M53" i="9" s="1"/>
  <c r="D52" i="9"/>
  <c r="C93" i="9"/>
  <c r="C86" i="9" s="1"/>
  <c r="C85" i="9"/>
  <c r="C64" i="9"/>
  <c r="C63" i="9" s="1"/>
  <c r="C67" i="9" s="1"/>
  <c r="C68" i="9" s="1"/>
  <c r="D54" i="9" s="1"/>
  <c r="D53" i="9"/>
  <c r="H108" i="9"/>
  <c r="D15" i="53" s="1"/>
  <c r="B31" i="72" s="1"/>
  <c r="D13" i="53"/>
  <c r="D122" i="9"/>
  <c r="M49" i="9"/>
  <c r="D5" i="74"/>
  <c r="C5" i="74"/>
  <c r="B20" i="72"/>
  <c r="D6" i="53"/>
  <c r="B22" i="72" s="1"/>
  <c r="L64" i="9" l="1"/>
  <c r="M64" i="9" s="1"/>
  <c r="L66" i="9"/>
  <c r="M66" i="9" s="1"/>
  <c r="L68" i="9"/>
  <c r="M68" i="9" s="1"/>
  <c r="L63" i="9"/>
  <c r="M63" i="9" s="1"/>
  <c r="L65" i="9"/>
  <c r="M65" i="9" s="1"/>
  <c r="L67" i="9"/>
  <c r="M67" i="9" s="1"/>
  <c r="B30" i="72"/>
  <c r="D14" i="53"/>
  <c r="B32" i="72" s="1"/>
  <c r="C95" i="9"/>
  <c r="C79" i="9"/>
  <c r="D123" i="9"/>
  <c r="D9" i="52" s="1"/>
  <c r="D8" i="52"/>
  <c r="G14" i="74"/>
  <c r="B6" i="74" s="1"/>
  <c r="C80" i="9" l="1"/>
  <c r="E80" i="9" s="1"/>
  <c r="E81" i="9" s="1"/>
  <c r="M69" i="9"/>
  <c r="N69" i="9" s="1"/>
  <c r="C6" i="74"/>
  <c r="D6" i="74"/>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<sst xmlns="http://schemas.openxmlformats.org/spreadsheetml/2006/main" count="7461" uniqueCount="2563">
  <si>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</si>
  <si>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</si>
  <si>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</si>
  <si>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</si>
  <si>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</si>
  <si>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</si>
  <si>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</si>
  <si>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</si>
  <si>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</si>
  <si>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</si>
  <si>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</si>
  <si>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</si>
  <si>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</si>
  <si>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</si>
  <si>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</si>
  <si>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</si>
  <si>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</si>
  <si>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</si>
  <si>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</si>
  <si>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</si>
  <si>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</si>
  <si>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</si>
  <si>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</si>
  <si>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</si>
  <si>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</si>
  <si>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</si>
  <si>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</si>
  <si>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</si>
  <si>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</si>
  <si>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</si>
  <si>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</si>
  <si>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</si>
  <si>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</si>
  <si>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</si>
  <si>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</si>
  <si>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</si>
  <si>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</si>
  <si>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</si>
  <si>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</si>
  <si>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</si>
  <si>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</si>
  <si>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</si>
  <si>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</si>
  <si>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</si>
  <si>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</si>
  <si>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</si>
  <si>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</si>
  <si>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</si>
  <si>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</si>
  <si>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</si>
  <si>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</si>
  <si>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</si>
  <si>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</si>
  <si>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</si>
  <si>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</si>
  <si>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</si>
  <si>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</si>
  <si>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</si>
  <si>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</si>
  <si>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</si>
  <si>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</si>
  <si>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</si>
  <si>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</si>
  <si>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</si>
  <si>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</si>
  <si>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</si>
  <si>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</si>
  <si>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</si>
  <si>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</si>
  <si>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</si>
  <si>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</si>
  <si>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</si>
  <si>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</si>
  <si>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</si>
  <si>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</si>
  <si>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</si>
  <si>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</si>
  <si>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</si>
  <si>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</si>
  <si>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</si>
  <si>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</si>
  <si>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</si>
  <si>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</si>
  <si>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</si>
  <si>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</si>
  <si>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</si>
  <si>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</si>
  <si>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</si>
  <si>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</si>
  <si>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</si>
  <si>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</si>
  <si>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</si>
  <si>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</si>
  <si>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</si>
  <si>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</si>
  <si>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</si>
  <si>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</si>
  <si>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</si>
  <si>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</si>
  <si>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</si>
  <si>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</si>
  <si>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</si>
  <si>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</si>
  <si>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</si>
  <si>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</si>
  <si>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</si>
  <si>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</si>
  <si>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</si>
  <si>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</si>
  <si>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</si>
  <si>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</si>
  <si>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</si>
  <si>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</si>
  <si>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</si>
  <si>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</si>
  <si>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</si>
  <si>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</si>
  <si>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</si>
  <si>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</si>
  <si>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</si>
  <si>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</si>
  <si>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</si>
  <si>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</si>
  <si>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</si>
  <si>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</si>
  <si>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</si>
  <si>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</si>
  <si>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</si>
  <si>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</si>
  <si>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</si>
  <si>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</si>
  <si>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</si>
  <si>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</si>
  <si>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</si>
  <si>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</si>
  <si>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</si>
  <si>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</si>
  <si>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</si>
  <si>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</si>
  <si>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</si>
  <si>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</si>
  <si>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</si>
  <si>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</si>
  <si>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</si>
  <si>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</si>
  <si>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</si>
  <si>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</si>
  <si>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</si>
  <si>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</si>
  <si>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</si>
  <si>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</si>
  <si>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</si>
  <si>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</si>
  <si>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</si>
  <si>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</si>
  <si>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</si>
  <si>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</si>
  <si>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</si>
  <si>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</si>
  <si>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</si>
  <si>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</si>
  <si>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</si>
  <si>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</si>
  <si>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</si>
  <si>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</si>
  <si>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</si>
  <si>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</si>
  <si>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</si>
  <si>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</si>
  <si>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</si>
  <si>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</si>
  <si>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</si>
  <si>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</si>
  <si>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</si>
  <si>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</si>
  <si>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</si>
  <si>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</si>
  <si>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</si>
  <si>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</si>
  <si>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</si>
  <si>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</si>
  <si>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</si>
  <si>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</si>
  <si>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</si>
  <si>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</si>
  <si>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</si>
  <si>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</si>
  <si>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</si>
  <si>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</si>
  <si>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</si>
  <si>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</si>
  <si>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</si>
  <si>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</si>
  <si>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</si>
  <si>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</si>
  <si>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</si>
  <si>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</si>
  <si>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</si>
  <si>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</si>
  <si>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</si>
  <si>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</si>
  <si>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</si>
  <si>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</si>
  <si>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</si>
  <si>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</si>
  <si>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</si>
  <si>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</si>
  <si>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</si>
  <si>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</si>
  <si>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</si>
  <si>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</si>
  <si>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</si>
  <si>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</si>
  <si>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</si>
  <si>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</si>
  <si>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</si>
  <si>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</si>
  <si>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</si>
  <si>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</si>
  <si>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</si>
  <si>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</si>
  <si>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</si>
  <si>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</si>
  <si>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</si>
  <si>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</si>
  <si>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</si>
  <si>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</si>
  <si>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</si>
  <si>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</si>
  <si>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</si>
  <si>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</si>
  <si>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</si>
  <si>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</si>
  <si>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</si>
  <si>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</si>
  <si>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</si>
  <si>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</si>
  <si>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</si>
  <si>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</si>
  <si>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</si>
  <si>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</si>
  <si>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</si>
  <si>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</si>
  <si>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</si>
  <si>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</si>
  <si>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</si>
  <si>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</si>
  <si>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</si>
  <si>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</si>
  <si>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</si>
  <si>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</si>
  <si>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</si>
  <si>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</si>
  <si>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</si>
  <si>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</si>
  <si>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</si>
  <si>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</si>
  <si>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</si>
  <si>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</si>
  <si>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</si>
  <si>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</si>
  <si>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</si>
  <si>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</si>
  <si>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</si>
  <si>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</si>
  <si>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</si>
  <si>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</si>
  <si>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</si>
  <si>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</si>
  <si>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</si>
  <si>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</si>
  <si>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</si>
  <si>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</si>
  <si>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</si>
  <si>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</si>
  <si>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</si>
  <si>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</si>
  <si>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</si>
  <si>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</si>
  <si>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</si>
  <si>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</si>
  <si>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</si>
  <si>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</si>
  <si>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</si>
  <si>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</si>
  <si>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</si>
  <si>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</si>
  <si>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</si>
  <si>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</si>
  <si>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</si>
  <si>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</si>
  <si>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</si>
  <si>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</si>
  <si>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</si>
  <si>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</si>
  <si>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</si>
  <si>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</si>
  <si>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</si>
  <si>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</si>
  <si>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</si>
  <si>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</si>
  <si>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</si>
  <si>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</si>
  <si>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</si>
  <si>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</si>
  <si>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</si>
  <si>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</si>
  <si>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</si>
  <si>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</si>
  <si>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</si>
  <si>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</si>
  <si>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</si>
  <si>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</si>
  <si>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</si>
  <si>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</si>
  <si>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</si>
  <si>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</si>
  <si>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</si>
  <si>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</si>
  <si>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</si>
  <si>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</si>
  <si>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</si>
  <si>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</si>
  <si>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</si>
  <si>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</si>
  <si>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</si>
  <si>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</si>
  <si>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</si>
  <si>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</si>
  <si>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</si>
  <si>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</si>
  <si>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</si>
  <si>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</si>
  <si>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</si>
  <si>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</si>
  <si>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</si>
  <si>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</si>
  <si>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</si>
  <si>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</si>
  <si>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</si>
  <si>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</si>
  <si>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</si>
  <si>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</si>
  <si>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</si>
  <si>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</si>
  <si>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</si>
  <si>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</si>
  <si>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</si>
  <si>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</si>
  <si>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</si>
  <si>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</si>
  <si>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</si>
  <si>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</si>
  <si>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</si>
  <si>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</si>
  <si>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</si>
  <si>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</si>
  <si>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</si>
  <si>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</si>
  <si>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</si>
  <si>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</si>
  <si>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</si>
  <si>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</si>
  <si>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</si>
  <si>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</si>
  <si>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</si>
  <si>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</si>
  <si>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</si>
  <si>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</si>
  <si>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</si>
  <si>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</si>
  <si>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</si>
  <si>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</si>
  <si>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</si>
  <si>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</si>
  <si>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</si>
  <si>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</si>
  <si>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</si>
  <si>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</si>
  <si>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</si>
  <si>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</si>
  <si>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</si>
  <si>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</si>
  <si>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</si>
  <si>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</si>
  <si>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</si>
  <si>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</si>
  <si>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</si>
  <si>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</si>
  <si>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</si>
  <si>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</si>
  <si>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</si>
  <si>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</si>
  <si>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</si>
  <si>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</si>
  <si>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</si>
  <si>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</si>
  <si>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</si>
  <si>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</si>
  <si>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</si>
  <si>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</si>
  <si>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</si>
  <si>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</si>
  <si>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</si>
  <si>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</si>
  <si>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</si>
  <si>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</si>
  <si>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</si>
  <si>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</si>
  <si>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</si>
  <si>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</si>
  <si>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</si>
  <si>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</si>
  <si>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</si>
  <si>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</si>
  <si>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</si>
  <si>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</si>
  <si>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</si>
  <si>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</si>
  <si>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</si>
  <si>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</si>
  <si>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</si>
  <si>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</si>
  <si>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</si>
  <si>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</si>
  <si>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</si>
  <si>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</si>
  <si>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</si>
  <si>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</si>
  <si>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</si>
  <si>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</si>
  <si>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</si>
  <si>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</si>
  <si>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</si>
  <si>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</si>
  <si>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</si>
  <si>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</si>
  <si>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</si>
  <si>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</si>
  <si>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</si>
  <si>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</si>
  <si>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</si>
  <si>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</si>
  <si>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</si>
  <si>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</si>
  <si>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</si>
  <si>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</si>
  <si>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</si>
  <si>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</si>
  <si>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</si>
  <si>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</si>
  <si>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</si>
  <si>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</si>
  <si>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</si>
  <si>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</si>
  <si>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</si>
  <si>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</si>
  <si>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</si>
  <si>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</si>
  <si>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</si>
  <si>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</si>
  <si>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</si>
  <si>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</si>
  <si>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</si>
  <si>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</si>
  <si>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</si>
  <si>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</si>
  <si>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</si>
  <si>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</si>
  <si>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</si>
  <si>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</si>
  <si>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</si>
  <si>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</si>
  <si>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</si>
  <si>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</si>
  <si>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</si>
  <si>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</si>
  <si>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</si>
  <si>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</si>
  <si>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</si>
  <si>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</si>
  <si>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</si>
  <si>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</si>
  <si>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</si>
  <si>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</si>
  <si>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</si>
  <si>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</si>
  <si>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</si>
  <si>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</si>
  <si>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</si>
  <si>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</si>
  <si>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</si>
  <si>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</si>
  <si>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</si>
  <si>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</si>
  <si>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</si>
  <si>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</si>
  <si>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</si>
  <si>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</si>
  <si>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</si>
  <si>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</si>
  <si>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</si>
  <si>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</si>
  <si>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</si>
  <si>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</si>
  <si>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</si>
  <si>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</si>
  <si>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</si>
  <si>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</si>
  <si>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</si>
  <si>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</si>
  <si>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</si>
  <si>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</si>
  <si>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</si>
  <si>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</si>
  <si>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</si>
  <si>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</si>
  <si>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</si>
  <si>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</si>
  <si>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</si>
  <si>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</si>
  <si>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</si>
  <si>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</si>
  <si>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</si>
  <si>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</si>
  <si>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</si>
  <si>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</si>
  <si>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</si>
  <si>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</si>
  <si>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</si>
  <si>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</si>
  <si>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</si>
  <si>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</si>
  <si>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</si>
  <si>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</si>
  <si>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</si>
  <si>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</si>
  <si>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</si>
  <si>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</si>
  <si>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</si>
  <si>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</si>
  <si>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</si>
  <si>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</si>
  <si>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</si>
  <si>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</si>
  <si>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</si>
  <si>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</si>
  <si>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</si>
  <si>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</si>
  <si>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</si>
  <si>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</si>
  <si>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</si>
  <si>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</si>
  <si>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</si>
  <si>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</si>
  <si>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</si>
  <si>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</si>
  <si>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</si>
  <si>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</si>
  <si>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</si>
  <si>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</si>
  <si>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</si>
  <si>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</si>
  <si>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</si>
  <si>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</si>
  <si>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</si>
  <si>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</si>
  <si>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</si>
  <si>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</si>
  <si>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</si>
  <si>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</si>
  <si>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</si>
  <si>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</si>
  <si>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</si>
  <si>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</si>
  <si>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</si>
  <si>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</si>
  <si>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</si>
  <si>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</si>
  <si>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</si>
  <si>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</si>
  <si>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</si>
  <si>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</si>
  <si>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</si>
  <si>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</si>
  <si>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</si>
  <si>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</si>
  <si>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</si>
  <si>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</si>
  <si>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</si>
  <si>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</si>
  <si>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</si>
  <si>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</si>
  <si>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</si>
  <si>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</si>
  <si>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</si>
  <si>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</si>
  <si>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</si>
  <si>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</si>
  <si>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</si>
  <si>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</si>
  <si>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</si>
  <si>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</si>
  <si>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</si>
  <si>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</si>
  <si>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</si>
  <si>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</si>
  <si>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</si>
  <si>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</si>
  <si>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</si>
  <si>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</si>
  <si>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</si>
  <si>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</si>
  <si>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</si>
  <si>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</si>
  <si>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</si>
  <si>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</si>
  <si>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</si>
  <si>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</si>
  <si>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</si>
  <si>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</si>
  <si>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</si>
  <si>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</si>
  <si>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</si>
  <si>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</si>
  <si>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</si>
  <si>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</si>
  <si>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</si>
  <si>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</si>
  <si>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</si>
  <si>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</si>
  <si>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</si>
  <si>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</si>
  <si>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</si>
  <si>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</si>
  <si>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</si>
  <si>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</si>
  <si>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</si>
  <si>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</si>
  <si>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</si>
  <si>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</si>
  <si>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</si>
  <si>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</si>
  <si>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</si>
  <si>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</si>
  <si>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</si>
  <si>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</si>
  <si>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</si>
  <si>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</si>
  <si>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</si>
  <si>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</si>
  <si>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</si>
  <si>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</si>
  <si>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</si>
  <si>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</si>
  <si>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</si>
  <si>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</si>
  <si>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</si>
  <si>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</si>
  <si>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</si>
  <si>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</si>
  <si>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</si>
  <si>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</si>
  <si>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</si>
  <si>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</si>
  <si>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</si>
  <si>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</si>
  <si>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</si>
  <si>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</si>
  <si>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</si>
  <si>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</si>
  <si>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</si>
  <si>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</si>
  <si>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</si>
  <si>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</si>
  <si>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</si>
  <si>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</si>
  <si>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</si>
  <si>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</si>
  <si>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</si>
  <si>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</si>
  <si>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</si>
  <si>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</si>
  <si>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</si>
  <si>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</si>
  <si>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</si>
  <si>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</si>
  <si>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</si>
  <si>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</si>
  <si>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</si>
  <si>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</si>
  <si>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</si>
  <si>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</si>
  <si>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</si>
  <si>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</si>
  <si>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</si>
  <si>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</si>
  <si>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</si>
  <si>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</si>
  <si>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</si>
  <si>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</si>
  <si>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</si>
  <si>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</si>
  <si>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</si>
  <si>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</si>
  <si>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</si>
  <si>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</si>
  <si>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</si>
  <si>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</si>
  <si>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</si>
  <si>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</si>
  <si>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</si>
  <si>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</si>
  <si>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</si>
  <si>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</si>
  <si>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</si>
  <si>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</si>
  <si>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</si>
  <si>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</si>
  <si>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</si>
  <si>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</si>
  <si>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</si>
  <si>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</si>
  <si>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</si>
  <si>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</si>
  <si>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</si>
  <si>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</si>
  <si>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</si>
  <si>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</si>
  <si>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</si>
  <si>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</si>
  <si>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</si>
  <si>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</si>
  <si>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</si>
  <si>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</si>
  <si>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</si>
  <si>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</si>
  <si>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</si>
  <si>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</si>
  <si>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</si>
  <si>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</si>
  <si>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</si>
  <si>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</si>
  <si>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</si>
  <si>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</si>
  <si>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</si>
  <si>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</si>
  <si>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</si>
  <si>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</si>
  <si>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</si>
  <si>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</si>
  <si>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</si>
  <si>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</si>
  <si>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</si>
  <si>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</si>
  <si>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</si>
  <si>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</si>
  <si>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</si>
  <si>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</si>
  <si>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</si>
  <si>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</si>
  <si>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</si>
  <si>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</si>
  <si>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</si>
  <si>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</si>
  <si>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</si>
  <si>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</si>
  <si>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</si>
  <si>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</si>
  <si>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</si>
  <si>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</si>
  <si>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</si>
  <si>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</si>
  <si>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</si>
  <si>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</si>
  <si>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</si>
  <si>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</si>
  <si>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</si>
  <si>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</si>
  <si>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</si>
  <si>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</si>
  <si>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</si>
  <si>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</si>
  <si>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</si>
  <si>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</si>
  <si>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</si>
  <si>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</si>
  <si>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</si>
  <si>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</si>
  <si>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</si>
  <si>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</si>
  <si>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</si>
  <si>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</si>
  <si>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</si>
  <si>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</si>
  <si>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</si>
  <si>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</si>
  <si>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</si>
  <si>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</si>
  <si>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</si>
  <si>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</si>
  <si>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</si>
  <si>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</si>
  <si>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</si>
  <si>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</si>
  <si>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</si>
  <si>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</si>
  <si>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</si>
  <si>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</si>
  <si>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</si>
  <si>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</si>
  <si>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</si>
  <si>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</si>
  <si>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</si>
  <si>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</si>
  <si>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</si>
  <si>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</si>
  <si>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</si>
  <si>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</si>
  <si>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</si>
  <si>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</si>
  <si>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</si>
  <si>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</si>
  <si>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</si>
  <si>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</si>
  <si>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</si>
  <si>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</si>
  <si>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</si>
  <si>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</si>
  <si>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</si>
  <si>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</si>
  <si>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</si>
  <si>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</si>
  <si>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</si>
  <si>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</si>
  <si>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</si>
  <si>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</si>
  <si>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</si>
  <si>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</si>
  <si>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</si>
  <si>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</si>
  <si>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</si>
  <si>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</si>
  <si>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</si>
  <si>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</si>
  <si>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</si>
  <si>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</si>
  <si>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</si>
  <si>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</si>
  <si>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</si>
  <si>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</si>
  <si>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</si>
  <si>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</si>
  <si>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</si>
  <si>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</si>
  <si>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</si>
  <si>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</si>
  <si>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</si>
  <si>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</si>
  <si>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</si>
  <si>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</si>
  <si>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</si>
  <si>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</si>
  <si>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</si>
  <si>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</si>
  <si>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</si>
  <si>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</si>
  <si>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</si>
  <si>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</si>
  <si>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</si>
  <si>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</si>
  <si>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</si>
  <si>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</si>
  <si>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</si>
  <si>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</si>
  <si>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</si>
  <si>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</si>
  <si>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</si>
  <si>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</si>
  <si>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</si>
  <si>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</si>
  <si>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</si>
  <si>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</si>
  <si>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</si>
  <si>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</si>
  <si>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</si>
  <si>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</si>
  <si>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</si>
  <si>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</si>
  <si>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</si>
  <si>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</si>
  <si>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</si>
  <si>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</si>
  <si>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</si>
  <si>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</si>
  <si>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</si>
  <si>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</si>
  <si>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</si>
  <si>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</si>
  <si>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</si>
  <si>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</si>
  <si>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</si>
  <si>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</si>
  <si>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</si>
  <si>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</si>
  <si>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</si>
  <si>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</si>
  <si>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</si>
  <si>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</si>
  <si>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</si>
  <si>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</si>
  <si>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</si>
  <si>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</si>
  <si>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</si>
  <si>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</si>
  <si>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</si>
  <si>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</si>
  <si>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</si>
  <si>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</si>
  <si>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</si>
  <si>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</si>
  <si>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</si>
  <si>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</si>
  <si>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</si>
  <si>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</si>
  <si>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</si>
  <si>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</si>
  <si>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</si>
  <si>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</si>
  <si>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</si>
  <si>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</si>
  <si>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</si>
  <si>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</si>
  <si>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</si>
  <si>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</si>
  <si>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</si>
  <si>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</si>
  <si>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</si>
  <si>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</si>
  <si>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</si>
  <si>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</si>
  <si>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</si>
  <si>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</si>
  <si>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</si>
  <si>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</si>
  <si>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</si>
  <si>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</si>
  <si>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</si>
  <si>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</si>
  <si>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</si>
  <si>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</si>
  <si>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</si>
  <si>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</si>
  <si>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</si>
  <si>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</si>
  <si>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</si>
  <si>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</si>
  <si>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</si>
  <si>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</si>
  <si>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</si>
  <si>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</si>
  <si>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</si>
  <si>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</si>
  <si>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</si>
  <si>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</si>
  <si>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</si>
  <si>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</si>
  <si>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</si>
  <si>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</si>
  <si>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</si>
  <si>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</si>
  <si>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</si>
  <si>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</si>
  <si>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</si>
  <si>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</si>
  <si>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</si>
  <si>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</si>
  <si>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</si>
  <si>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</si>
  <si>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</si>
  <si>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</si>
  <si>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</si>
  <si>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</si>
  <si>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</si>
  <si>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</si>
  <si>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</si>
  <si>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</si>
  <si>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</si>
  <si>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</si>
  <si>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</si>
  <si>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</si>
  <si>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</si>
  <si>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</si>
  <si>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</si>
  <si>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</si>
  <si>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</si>
  <si>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</si>
  <si>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</si>
  <si>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</si>
  <si>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</si>
  <si>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</si>
  <si>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</si>
  <si>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</si>
  <si>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</si>
  <si>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</si>
  <si>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</si>
  <si>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</si>
  <si>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</si>
  <si>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</si>
  <si>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</si>
  <si>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</si>
  <si>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</si>
  <si>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</si>
  <si>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</si>
  <si>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</si>
  <si>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</si>
  <si>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</si>
  <si>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</si>
  <si>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</si>
  <si>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</si>
  <si>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</si>
  <si>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</si>
  <si>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</si>
  <si>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</si>
  <si>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</si>
  <si>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</si>
  <si>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</si>
  <si>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</si>
  <si>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</si>
  <si>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</si>
  <si>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</si>
  <si>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</si>
  <si>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</si>
  <si>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</si>
  <si>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</si>
  <si>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</si>
  <si>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</si>
  <si>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</si>
  <si>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</si>
  <si>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</si>
  <si>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</si>
  <si>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</si>
  <si>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</si>
  <si>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</si>
  <si>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</si>
  <si>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</si>
  <si>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</si>
  <si>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</si>
  <si>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</si>
  <si>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</si>
  <si>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</si>
  <si>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</si>
  <si>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</si>
  <si>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</si>
  <si>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</si>
  <si>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</si>
  <si>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</si>
  <si>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</si>
  <si>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</si>
  <si>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</si>
  <si>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</si>
  <si>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</si>
  <si>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</si>
  <si>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</si>
  <si>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</si>
  <si>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</si>
  <si>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</si>
  <si>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</si>
  <si>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</si>
  <si>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</si>
  <si>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</si>
  <si>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</si>
  <si>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</si>
  <si>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</si>
  <si>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</si>
  <si>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</si>
  <si>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</si>
  <si>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</si>
  <si>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</si>
  <si>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</si>
  <si>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</si>
  <si>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</si>
  <si>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</si>
  <si>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</si>
  <si>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</si>
  <si>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</si>
  <si>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</si>
  <si>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</si>
  <si>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</si>
  <si>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</si>
  <si>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</si>
  <si>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</si>
  <si>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</si>
  <si>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</si>
  <si>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</si>
  <si>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</si>
  <si>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</si>
  <si>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</si>
  <si>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</si>
  <si>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</si>
  <si>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</si>
  <si>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</si>
  <si>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</si>
  <si>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</si>
  <si>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</si>
  <si>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</si>
  <si>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</si>
  <si>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</si>
  <si>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</si>
  <si>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</si>
  <si>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</si>
  <si>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</si>
  <si>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</si>
  <si>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</si>
  <si>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</si>
  <si>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</si>
  <si>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</si>
  <si>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</si>
  <si>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</si>
  <si>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</si>
  <si>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</si>
  <si>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</si>
  <si>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</si>
  <si>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</si>
  <si>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</si>
  <si>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</si>
  <si>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</si>
  <si>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</si>
  <si>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</si>
  <si>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</si>
  <si>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</si>
  <si>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</si>
  <si>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</si>
  <si>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</si>
  <si>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</si>
  <si>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</si>
  <si>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</si>
  <si>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</si>
  <si>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</si>
  <si>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</si>
  <si>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</si>
  <si>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</si>
  <si>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</si>
  <si>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</si>
  <si>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</si>
  <si>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</si>
  <si>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</si>
  <si>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</si>
  <si>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</si>
  <si>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</si>
  <si>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</si>
  <si>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</si>
  <si>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</si>
  <si>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</si>
  <si>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</si>
  <si>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</si>
  <si>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</si>
  <si>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</si>
  <si>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</si>
  <si>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</si>
  <si>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</si>
  <si>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</si>
  <si>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</si>
  <si>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</si>
  <si>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</si>
  <si>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</si>
  <si>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</si>
  <si>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</si>
  <si>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</si>
  <si>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</si>
  <si>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</si>
  <si>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</si>
  <si>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</si>
  <si>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</si>
  <si>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</si>
  <si>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</si>
  <si>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</si>
  <si>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</si>
  <si>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</si>
  <si>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</si>
  <si>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</si>
  <si>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</si>
  <si>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</si>
  <si>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</si>
  <si>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</si>
  <si>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</si>
  <si>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</si>
  <si>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</si>
  <si>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</si>
  <si>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</si>
  <si>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</si>
  <si>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</si>
  <si>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</si>
  <si>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</si>
  <si>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</si>
  <si>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</si>
  <si>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</si>
  <si>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</si>
  <si>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</si>
  <si>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</si>
  <si>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</si>
  <si>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</si>
  <si>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</si>
  <si>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</si>
  <si>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</si>
  <si>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</si>
  <si>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</si>
  <si>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</si>
  <si>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</si>
  <si>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</si>
  <si>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</si>
  <si>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</si>
  <si>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</si>
  <si>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</si>
  <si>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</si>
  <si>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</si>
  <si>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</si>
  <si>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</si>
  <si>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</si>
  <si>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</si>
  <si>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</si>
  <si>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</si>
  <si>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</si>
  <si>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</si>
  <si>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</si>
  <si>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</si>
  <si>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</si>
  <si>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</si>
  <si>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</si>
  <si>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</si>
  <si>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</si>
  <si>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</si>
  <si>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</si>
  <si>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</si>
  <si>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</si>
  <si>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</si>
  <si>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</si>
  <si>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</si>
  <si>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</si>
  <si>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</si>
  <si>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</si>
  <si>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</si>
  <si>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</si>
  <si>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</si>
  <si>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</si>
  <si>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</si>
  <si>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</si>
  <si>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</si>
  <si>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</si>
  <si>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</si>
  <si>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</si>
  <si>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</si>
  <si>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</si>
  <si>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</si>
  <si>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</si>
  <si>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</si>
  <si>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</si>
  <si>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</si>
  <si>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</si>
  <si>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</si>
  <si>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</si>
  <si>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</si>
  <si>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</si>
  <si>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</si>
  <si>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</si>
  <si>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</si>
  <si>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</si>
  <si>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</si>
  <si>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</si>
  <si>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</si>
  <si>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</si>
  <si>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</si>
  <si>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</si>
  <si>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</si>
  <si>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</si>
  <si>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</si>
  <si>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</si>
  <si>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</si>
  <si>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</si>
  <si>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</si>
  <si>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</si>
  <si>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</si>
  <si>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</si>
  <si>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</si>
  <si>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</si>
  <si>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</si>
  <si>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</si>
  <si>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</si>
  <si>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</si>
  <si>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</si>
  <si>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</si>
  <si>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</si>
  <si>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</si>
  <si>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</si>
  <si>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</si>
  <si>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</si>
  <si>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</si>
  <si>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</si>
  <si>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</si>
  <si>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</si>
  <si>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</si>
  <si>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</si>
  <si>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</si>
  <si>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</si>
  <si>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</si>
  <si>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</si>
  <si>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</si>
  <si>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</si>
  <si>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</si>
  <si>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</si>
  <si>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</si>
  <si>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</si>
  <si>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</si>
  <si>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</si>
  <si>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</si>
  <si>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</si>
  <si>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</si>
  <si>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</si>
  <si>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</si>
  <si>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</si>
  <si>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</si>
  <si>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</si>
  <si>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</si>
  <si>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</si>
  <si>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</si>
  <si>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</si>
  <si>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</si>
  <si>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</si>
  <si>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</si>
  <si>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</si>
  <si>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</si>
  <si>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</si>
  <si>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</si>
  <si>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</si>
  <si>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</si>
  <si>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</si>
  <si>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</si>
  <si>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</si>
  <si>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</si>
  <si>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</si>
  <si>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</si>
  <si>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</si>
  <si>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</si>
  <si>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</si>
  <si>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</si>
  <si>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</si>
  <si>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</si>
  <si>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</si>
  <si>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</si>
  <si>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</si>
  <si>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</si>
  <si>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</si>
  <si>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</si>
  <si>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</si>
  <si>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</si>
  <si>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</si>
  <si>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</si>
  <si>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</si>
  <si>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</si>
  <si>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</si>
  <si>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</si>
  <si>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</si>
  <si>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</si>
  <si>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</si>
  <si>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</si>
  <si>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</si>
  <si>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</si>
  <si>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</si>
  <si>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</si>
  <si>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</si>
  <si>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</si>
  <si>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</si>
  <si>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</si>
  <si>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</si>
  <si>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</si>
  <si>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</si>
  <si>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</si>
  <si>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</si>
  <si>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</si>
  <si>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</si>
  <si>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</si>
  <si>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</si>
  <si>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</si>
  <si>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</si>
  <si>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</si>
  <si>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</si>
  <si>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</si>
  <si>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</si>
  <si>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</si>
  <si>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</si>
  <si>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</si>
  <si>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</si>
  <si>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</si>
  <si>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</si>
  <si>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</si>
  <si>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</si>
  <si>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</si>
  <si>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</si>
  <si>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</si>
  <si>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</si>
  <si>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</si>
  <si>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</si>
  <si>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</si>
  <si>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</si>
  <si>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</si>
  <si>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</si>
  <si>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</si>
  <si>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</si>
  <si>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</si>
  <si>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</si>
  <si>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</si>
  <si>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</si>
  <si>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</si>
  <si>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</si>
  <si>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</si>
  <si>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</si>
  <si>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</si>
  <si>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</si>
  <si>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</si>
  <si>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</si>
  <si>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</si>
  <si>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</si>
  <si>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</si>
  <si>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</si>
  <si>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</si>
  <si>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</si>
  <si>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</si>
  <si>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</si>
  <si>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</si>
  <si>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</si>
  <si>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</si>
  <si>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</si>
  <si>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</si>
  <si>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</si>
  <si>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</si>
  <si>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</si>
  <si>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</si>
  <si>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</si>
  <si>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</si>
  <si>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</si>
  <si>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</si>
  <si>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</si>
  <si>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</si>
  <si>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</si>
  <si>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</si>
  <si>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</si>
  <si>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</si>
  <si>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</si>
  <si>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</si>
  <si>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</si>
  <si>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</si>
  <si>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</si>
  <si>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</si>
  <si>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</si>
  <si>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</si>
  <si>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</si>
  <si>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</si>
  <si>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</si>
  <si>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</si>
  <si>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</si>
  <si>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</si>
  <si>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</si>
  <si>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</si>
  <si>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</si>
  <si>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</si>
  <si>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</si>
  <si>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</si>
  <si>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</si>
  <si>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</si>
  <si>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</si>
  <si>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</si>
  <si>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</si>
  <si>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</si>
  <si>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</si>
  <si>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</si>
  <si>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</si>
  <si>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</si>
  <si>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</si>
  <si>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</si>
  <si>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</si>
  <si>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</si>
  <si>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</si>
  <si>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</si>
  <si>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</si>
  <si>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</si>
  <si>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</si>
  <si>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</si>
  <si>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</si>
  <si>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</si>
  <si>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</si>
  <si>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</si>
  <si>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</si>
  <si>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</si>
  <si>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</si>
  <si>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</si>
  <si>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</si>
  <si>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</si>
  <si>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</si>
  <si>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</si>
  <si>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</si>
  <si>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</si>
  <si>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</si>
  <si>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</si>
  <si>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</si>
  <si>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</si>
  <si>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</si>
  <si>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</si>
  <si>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</si>
  <si>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</si>
  <si>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</si>
  <si>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</si>
  <si>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</si>
  <si>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</si>
  <si>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</si>
  <si>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</si>
  <si>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</si>
  <si>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</si>
  <si>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</si>
  <si>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</si>
  <si>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</si>
  <si>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</si>
  <si>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</si>
  <si>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</si>
  <si>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</si>
  <si>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</si>
  <si>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</si>
  <si>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</si>
  <si>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</si>
  <si>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</si>
  <si>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</si>
  <si>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</si>
  <si>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</si>
  <si>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</si>
  <si>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</si>
  <si>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</si>
  <si>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</si>
  <si>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</si>
  <si>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</si>
  <si>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</si>
  <si>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</si>
  <si>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</si>
  <si>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</si>
  <si>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</si>
  <si>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</si>
  <si>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</si>
  <si>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</si>
  <si>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</si>
  <si>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</si>
  <si>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</si>
  <si>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</si>
  <si>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</si>
  <si>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</si>
  <si>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</si>
  <si>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</si>
  <si>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</si>
  <si>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</si>
  <si>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</si>
  <si>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</si>
  <si>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</si>
  <si>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</si>
  <si>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</si>
  <si>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</si>
  <si>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</si>
  <si>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</si>
  <si>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</si>
  <si>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</si>
  <si>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</si>
  <si>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</si>
  <si>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</si>
  <si>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</si>
  <si>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</si>
  <si>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</si>
  <si>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</si>
  <si>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</si>
  <si>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</si>
  <si>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</si>
  <si>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</si>
  <si>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</si>
  <si>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</si>
  <si>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</si>
  <si>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</si>
  <si>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</si>
  <si>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</si>
  <si>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</si>
  <si>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</si>
  <si>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</si>
  <si>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</si>
  <si>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</si>
  <si>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</si>
  <si>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</si>
  <si>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</si>
  <si>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</si>
  <si>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</si>
  <si>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</si>
  <si>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</si>
  <si>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</si>
  <si>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</si>
  <si>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</si>
  <si>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</si>
  <si>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</si>
  <si>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</si>
  <si>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</si>
  <si>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</si>
  <si>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</si>
  <si>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</si>
  <si>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</si>
  <si>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</si>
  <si>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</si>
  <si>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</si>
  <si>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</si>
  <si>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</si>
  <si>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</si>
  <si>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</si>
  <si>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</si>
  <si>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</si>
  <si>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</si>
  <si>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</si>
  <si>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</si>
  <si>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</si>
  <si>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</si>
  <si>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</si>
  <si>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</si>
  <si>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</si>
  <si>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</si>
  <si>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</si>
  <si>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</si>
  <si>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</si>
  <si>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</si>
  <si>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</si>
  <si>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</si>
  <si>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</si>
  <si>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</si>
  <si>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</si>
  <si>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</si>
  <si>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</si>
  <si>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</si>
  <si>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</si>
  <si>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</si>
  <si>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</si>
  <si>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</si>
  <si>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</si>
  <si>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</si>
  <si>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</si>
  <si>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</si>
  <si>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</si>
  <si>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</si>
  <si>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</si>
  <si>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</si>
  <si>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</si>
  <si>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</si>
  <si>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</si>
  <si>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</si>
  <si>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</si>
  <si>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</si>
  <si>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</si>
  <si>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</si>
  <si>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</si>
  <si>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</si>
  <si>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</si>
  <si>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</si>
  <si>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</si>
  <si>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</si>
  <si>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</si>
  <si>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</si>
  <si>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</si>
  <si>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</si>
  <si>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</si>
  <si>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</si>
  <si>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</si>
  <si>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</si>
  <si>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</si>
  <si>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</si>
  <si>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</si>
  <si>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</si>
  <si>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</si>
  <si>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</si>
  <si>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</si>
  <si>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</si>
  <si>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</si>
  <si>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</si>
  <si>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</si>
  <si>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</si>
  <si>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</si>
  <si>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</si>
  <si>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</si>
  <si>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</si>
  <si>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</si>
  <si>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</si>
  <si>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</si>
  <si>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</si>
  <si>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</si>
  <si>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</si>
  <si>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</si>
  <si>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</si>
  <si>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</si>
  <si>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</si>
  <si>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</si>
  <si>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</si>
  <si>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</si>
  <si>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</si>
  <si>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</si>
  <si>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</si>
  <si>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</si>
  <si>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</si>
  <si>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</si>
  <si>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</si>
  <si>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</si>
  <si>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</si>
  <si>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</si>
  <si>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</si>
  <si>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</si>
  <si>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</si>
  <si>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</si>
  <si>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</si>
  <si>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</si>
  <si>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</si>
  <si>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</si>
  <si>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</si>
  <si>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</si>
  <si>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</si>
  <si>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</si>
  <si>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</si>
  <si>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</si>
  <si>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</si>
  <si>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</si>
  <si>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</si>
  <si>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</si>
  <si>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</si>
  <si>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</si>
  <si>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</si>
  <si>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</si>
  <si>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</si>
  <si>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</si>
  <si>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</si>
  <si>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</si>
  <si>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</si>
  <si>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</si>
  <si>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</si>
  <si>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</si>
  <si>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</si>
  <si>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</si>
  <si>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</si>
  <si>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</si>
  <si>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</si>
  <si>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</si>
  <si>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</si>
  <si>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</si>
  <si>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</si>
  <si>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</si>
  <si>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</si>
  <si>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</si>
  <si>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</si>
  <si>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</si>
  <si>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</si>
  <si>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</si>
  <si>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</si>
  <si>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</si>
  <si>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</si>
  <si>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</si>
  <si>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</si>
  <si>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</si>
  <si>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</si>
  <si>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</si>
  <si>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</si>
  <si>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</si>
  <si>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</si>
  <si>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</si>
  <si>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</si>
  <si>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</si>
  <si>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</si>
  <si>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</si>
  <si>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</si>
  <si>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</si>
  <si>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</si>
  <si>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</si>
  <si>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</si>
  <si>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</si>
  <si>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</si>
  <si>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</si>
  <si>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</si>
  <si>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</si>
  <si>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</si>
  <si>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</si>
  <si>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</si>
  <si>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</si>
  <si>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</si>
  <si>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</si>
  <si>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</si>
  <si>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</si>
  <si>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</si>
  <si>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</si>
  <si>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</si>
  <si>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</si>
  <si>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</si>
  <si>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</si>
  <si>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</si>
  <si>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</si>
  <si>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</si>
  <si>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</si>
  <si>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</si>
  <si>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</si>
  <si>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</si>
  <si>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</si>
  <si>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</si>
  <si>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</si>
  <si>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</si>
  <si>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</si>
  <si>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</si>
  <si>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</si>
  <si>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</si>
  <si>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</si>
  <si>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</si>
  <si>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</si>
  <si>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</si>
  <si>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</si>
  <si>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</si>
  <si>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</si>
  <si>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</si>
  <si>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</si>
  <si>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</si>
  <si>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</si>
  <si>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</si>
  <si>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</si>
  <si>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</si>
  <si>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</si>
  <si>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</si>
  <si>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</si>
  <si>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</si>
  <si>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</si>
  <si>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</si>
  <si>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</si>
  <si>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</si>
  <si>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</si>
  <si>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</si>
  <si>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</si>
  <si>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</si>
  <si>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</si>
  <si>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</si>
  <si>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</si>
  <si>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</si>
  <si>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</si>
  <si>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</si>
  <si>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</si>
  <si>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</si>
  <si>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</si>
  <si>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</si>
  <si>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</si>
  <si>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</si>
  <si>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</si>
  <si>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</si>
  <si>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</si>
  <si>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</si>
  <si>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</si>
  <si>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</si>
  <si>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</si>
  <si>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</si>
  <si>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</si>
  <si>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</si>
  <si>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</si>
  <si>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</si>
  <si>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</si>
  <si>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</si>
  <si>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</si>
  <si>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</si>
  <si>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</si>
  <si>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</si>
  <si>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</si>
  <si>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</si>
  <si>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</si>
  <si>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</si>
  <si>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</si>
  <si>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</si>
  <si>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</si>
  <si>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</si>
  <si>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</si>
  <si>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</si>
  <si>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</si>
  <si>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</si>
  <si>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</si>
  <si>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</si>
  <si>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</si>
  <si>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</si>
  <si>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</si>
  <si>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</si>
  <si>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</si>
  <si>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</si>
  <si>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</si>
  <si>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</si>
  <si>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</si>
  <si>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</si>
  <si>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</si>
  <si>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</si>
  <si>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</si>
  <si>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</si>
  <si>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</si>
  <si>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</si>
  <si>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</si>
  <si>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</si>
  <si>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</si>
  <si>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</si>
  <si>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</si>
  <si>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</si>
  <si>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</si>
  <si>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</si>
  <si>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</si>
  <si>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</si>
  <si>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</si>
  <si>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</si>
  <si>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</si>
  <si>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</si>
  <si>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</si>
  <si>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</si>
  <si>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</si>
  <si>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</si>
  <si>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</si>
  <si>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</si>
  <si>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</si>
  <si>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</si>
  <si>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</si>
  <si>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</si>
  <si>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</si>
  <si>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</si>
  <si>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</si>
  <si>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</si>
  <si>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</si>
  <si>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</si>
  <si>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</si>
  <si>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</si>
  <si>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</si>
  <si>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</si>
  <si>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</si>
  <si>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</si>
  <si>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</si>
  <si>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</si>
  <si>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</si>
  <si>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</si>
  <si>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</si>
  <si>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</si>
  <si>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</si>
  <si>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</si>
  <si>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</si>
  <si>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</si>
  <si>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</si>
  <si>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</si>
  <si>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</si>
  <si>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</si>
  <si>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</si>
  <si>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</si>
  <si>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</si>
  <si>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</si>
  <si>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</si>
  <si>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</si>
  <si>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</si>
  <si>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</si>
  <si>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</si>
  <si>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</si>
  <si>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</si>
  <si>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</si>
  <si>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</si>
  <si>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</si>
  <si>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</si>
  <si>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</si>
  <si>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</si>
  <si>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</si>
  <si>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</si>
  <si>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</si>
  <si>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</si>
  <si>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</si>
  <si>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</si>
  <si>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</si>
  <si>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</si>
  <si>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</si>
  <si>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</si>
  <si>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</si>
  <si>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</si>
  <si>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</si>
  <si>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</si>
  <si>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</si>
  <si>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</si>
  <si>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</si>
  <si>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</si>
  <si>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</si>
  <si>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</si>
  <si>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</si>
  <si>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</si>
  <si>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</si>
  <si>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</si>
  <si>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</si>
  <si>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</si>
  <si>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</si>
  <si>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</si>
  <si>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</si>
  <si>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</si>
  <si>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</si>
  <si>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</si>
  <si>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</si>
  <si>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</si>
  <si>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</si>
  <si>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</si>
  <si>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</si>
  <si>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</si>
  <si>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</si>
  <si>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</si>
  <si>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</si>
  <si>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</si>
  <si>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</si>
  <si>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</si>
  <si>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</si>
  <si>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</si>
  <si>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</si>
  <si>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</si>
  <si>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</si>
  <si>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</si>
  <si>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</si>
  <si>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</si>
  <si>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</si>
  <si>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</si>
  <si>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</si>
  <si>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</si>
  <si>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</si>
  <si>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</si>
  <si>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</si>
  <si>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</si>
  <si>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</si>
  <si>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</si>
  <si>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</si>
  <si>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</si>
  <si>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</si>
  <si>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</si>
  <si>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</si>
  <si>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</si>
  <si>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</si>
  <si>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</si>
  <si>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</si>
  <si>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</si>
  <si>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</si>
  <si>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</si>
  <si>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</si>
  <si>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</si>
  <si>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</si>
  <si>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</si>
  <si>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</si>
  <si>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</si>
  <si>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</si>
  <si>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</si>
  <si>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</si>
  <si>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</si>
  <si>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</si>
  <si>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</si>
  <si>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</si>
  <si>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</si>
  <si>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</si>
  <si>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</si>
  <si>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</si>
  <si>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</si>
  <si>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</si>
  <si>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</si>
  <si>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</si>
  <si>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</si>
  <si>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</si>
  <si>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</si>
  <si>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</si>
  <si>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</si>
  <si>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</si>
  <si>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</si>
  <si>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</si>
  <si>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</si>
  <si>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</si>
  <si>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</si>
  <si>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</si>
  <si>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</si>
  <si>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</si>
  <si>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</si>
  <si>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</si>
  <si>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</si>
  <si>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</si>
  <si>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</si>
  <si>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</si>
  <si>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</si>
  <si>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</si>
  <si>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</si>
  <si>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</si>
  <si>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</si>
  <si>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</si>
  <si>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</si>
  <si>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</si>
  <si>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</si>
  <si>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</si>
  <si>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</si>
  <si>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</si>
  <si>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</si>
  <si>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</si>
  <si>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</si>
  <si>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</si>
  <si>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</si>
  <si>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</si>
  <si>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</si>
  <si>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</si>
  <si>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</si>
  <si>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</si>
  <si>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</si>
  <si>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</si>
  <si>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</si>
  <si>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</si>
  <si>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</si>
  <si>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</si>
  <si>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</si>
  <si>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</si>
  <si>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</si>
  <si>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</si>
  <si>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</si>
  <si>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</si>
  <si>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</si>
  <si>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</si>
  <si>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</si>
  <si>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</si>
  <si>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</si>
  <si>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</si>
  <si>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</si>
  <si>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</si>
  <si>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</si>
  <si>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</si>
  <si>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</si>
  <si>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</si>
  <si>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</si>
  <si>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</si>
  <si>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</si>
  <si>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</si>
  <si>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</si>
  <si>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</si>
  <si>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</si>
  <si>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</si>
  <si>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</si>
  <si>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</si>
  <si>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</si>
  <si>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</si>
  <si>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</si>
  <si>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</si>
  <si>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</si>
  <si>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</si>
  <si>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</si>
  <si>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</si>
  <si>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</si>
  <si>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</si>
  <si>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</si>
  <si>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</si>
  <si>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</si>
  <si>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</si>
  <si>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</si>
  <si>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</si>
  <si>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</si>
  <si>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</si>
  <si>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</si>
  <si>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</si>
  <si>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</si>
  <si>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</si>
  <si>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</si>
  <si>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</si>
  <si>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</si>
  <si>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</si>
  <si>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</si>
  <si>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</si>
  <si>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</si>
  <si>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</si>
  <si>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</si>
  <si>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</si>
  <si>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</si>
  <si>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</si>
  <si>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</si>
  <si>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</si>
  <si>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</si>
  <si>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</si>
  <si>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</si>
  <si>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</si>
  <si>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</si>
  <si>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</si>
  <si>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</si>
  <si>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</si>
  <si>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</si>
  <si>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</si>
  <si>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</si>
  <si>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</si>
  <si>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</si>
  <si>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</si>
  <si>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</si>
  <si>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</si>
  <si>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</si>
  <si>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</si>
  <si>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</si>
  <si>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</si>
  <si>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</si>
  <si>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</si>
  <si>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</si>
  <si>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</si>
  <si>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</si>
  <si>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</si>
  <si>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</si>
  <si>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</si>
  <si>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</si>
  <si>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</si>
  <si>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</si>
  <si>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</si>
  <si>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</si>
  <si>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</si>
  <si>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</si>
  <si>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</si>
  <si>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</si>
  <si>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</si>
  <si>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</si>
  <si>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</si>
  <si>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</si>
  <si>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</si>
  <si>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</si>
  <si>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</si>
  <si>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</si>
  <si>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</si>
  <si>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</si>
  <si>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</si>
  <si>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</si>
  <si>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</si>
  <si>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</si>
  <si>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</si>
  <si>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</si>
  <si>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</si>
  <si>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</si>
  <si>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</si>
  <si>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</si>
  <si>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</si>
  <si>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</si>
  <si>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</si>
  <si>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</si>
  <si>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</si>
  <si>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</si>
  <si>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</si>
  <si>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</si>
  <si>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</si>
  <si>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</si>
  <si>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</si>
  <si>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</si>
  <si>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</si>
  <si>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</si>
  <si>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</si>
  <si>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</si>
  <si>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</si>
  <si>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</si>
  <si>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</si>
  <si>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</si>
  <si>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</si>
  <si>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</si>
  <si>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</si>
  <si>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</si>
  <si>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</si>
  <si>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</si>
  <si>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</si>
  <si>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</si>
  <si>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</si>
  <si>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</si>
  <si>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</si>
  <si>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</si>
  <si>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</si>
  <si>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</si>
  <si>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</si>
  <si>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</si>
  <si>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</si>
  <si>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</si>
  <si>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</si>
  <si>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</si>
  <si>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</si>
  <si>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</si>
  <si>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</si>
  <si>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</si>
  <si>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</si>
  <si>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</si>
  <si>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</si>
  <si>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</si>
  <si>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</si>
  <si>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</si>
  <si>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</si>
  <si>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</si>
  <si>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</si>
  <si>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</si>
  <si>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</si>
  <si>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</si>
  <si>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</si>
  <si>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</si>
  <si>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</si>
  <si>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</si>
  <si>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</si>
  <si>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</si>
  <si>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</si>
  <si>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</si>
  <si>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</si>
  <si>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</si>
  <si>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</si>
  <si>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</si>
  <si>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</si>
  <si>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</si>
  <si>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</si>
  <si>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</si>
  <si>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</si>
  <si>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</si>
  <si>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</si>
  <si>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</si>
  <si>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</si>
  <si>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</si>
  <si>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</si>
  <si>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</si>
  <si>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</si>
  <si>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</si>
  <si>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</si>
  <si>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</si>
  <si>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</si>
  <si>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</si>
  <si>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</si>
  <si>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</si>
  <si>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</si>
  <si>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</si>
  <si>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</si>
  <si>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</si>
  <si>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</si>
  <si>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</si>
  <si>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</si>
  <si>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</si>
  <si>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</si>
  <si>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</si>
  <si>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</si>
  <si>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</si>
  <si>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</si>
  <si>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</si>
  <si>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</si>
  <si>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</si>
  <si>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</si>
  <si>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</si>
  <si>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</si>
  <si>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</si>
  <si>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</si>
  <si>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</si>
  <si>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</si>
  <si>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</si>
  <si>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</si>
  <si>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</si>
  <si>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</si>
  <si>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</si>
  <si>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</si>
  <si>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</si>
  <si>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</si>
  <si>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</si>
  <si>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</si>
  <si>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</si>
  <si>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</si>
  <si>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</si>
  <si>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</si>
  <si>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</si>
  <si>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</si>
  <si>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</si>
  <si>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</si>
  <si>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</si>
  <si>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</si>
  <si>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</si>
  <si>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</si>
  <si>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</si>
  <si>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</si>
  <si>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</si>
  <si>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</si>
  <si>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</si>
  <si>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</si>
  <si>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</si>
  <si>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</si>
  <si>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</si>
  <si>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</si>
  <si>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</si>
  <si>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</si>
  <si>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</si>
  <si>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</si>
  <si>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</si>
  <si>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</si>
  <si>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</si>
  <si>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</si>
  <si>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</si>
  <si>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</si>
  <si>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</si>
  <si>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</si>
  <si>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</si>
  <si>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</si>
  <si>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</si>
  <si>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</si>
  <si>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</si>
  <si>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</si>
  <si>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</si>
  <si>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</si>
  <si>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</si>
  <si>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</si>
  <si>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</si>
  <si>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</si>
  <si>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</si>
  <si>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</si>
  <si>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</si>
  <si>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</si>
  <si>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</si>
  <si>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</si>
  <si>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</si>
  <si>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</si>
  <si>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</si>
  <si>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</si>
  <si>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</si>
  <si>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</si>
  <si>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</si>
  <si>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</si>
  <si>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</si>
  <si>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</si>
  <si>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</si>
  <si>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</si>
  <si>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</si>
  <si>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</si>
  <si>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</si>
  <si>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</si>
  <si>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</si>
  <si>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</si>
  <si>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</si>
  <si>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</si>
  <si>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</si>
  <si>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</si>
  <si>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</si>
  <si>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</si>
  <si>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</si>
  <si>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</si>
  <si>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</si>
  <si>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</si>
  <si>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</si>
  <si>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</si>
  <si>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</si>
  <si>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</si>
  <si>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</si>
  <si>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</si>
  <si>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</si>
  <si>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</si>
  <si>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</si>
  <si>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</si>
  <si>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</si>
  <si>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</si>
  <si>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</si>
  <si>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</si>
  <si>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</si>
  <si>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</si>
  <si>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</si>
  <si>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</si>
  <si>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</si>
  <si>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</si>
  <si>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</si>
  <si>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</si>
  <si>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</si>
  <si>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</si>
  <si>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</si>
  <si>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</si>
  <si>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</si>
  <si>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</si>
  <si>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</si>
  <si>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</si>
  <si>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</si>
  <si>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</si>
  <si>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</si>
  <si>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</si>
  <si>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</si>
  <si>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</si>
  <si>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</si>
  <si>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</si>
  <si>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</si>
  <si>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</si>
  <si>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</si>
  <si>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</si>
  <si>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</si>
  <si>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</si>
  <si>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</si>
  <si>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</si>
  <si>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</si>
  <si>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</si>
  <si>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</si>
  <si>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</si>
  <si>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</si>
  <si>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</si>
  <si>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</si>
  <si>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</si>
  <si>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</si>
  <si>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</si>
  <si>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</si>
  <si>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</si>
  <si>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</si>
  <si>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</si>
  <si>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</si>
  <si>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</si>
  <si>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</si>
  <si>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</si>
  <si>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</si>
  <si>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</si>
  <si>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</si>
  <si>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</si>
  <si>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</si>
  <si>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</si>
  <si>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</si>
  <si>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</si>
  <si>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</si>
  <si>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</si>
  <si>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</si>
  <si>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</si>
  <si>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</si>
  <si>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</si>
  <si>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</si>
  <si>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</si>
  <si>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</si>
  <si>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</si>
  <si>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</si>
  <si>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</si>
  <si>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</si>
  <si>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</si>
  <si>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</si>
  <si>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</si>
  <si>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</si>
  <si>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</si>
  <si>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</si>
  <si>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</si>
  <si>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</si>
  <si>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</si>
  <si>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</si>
  <si>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</si>
  <si>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</si>
  <si>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</si>
  <si>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</si>
  <si>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</si>
  <si>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</si>
  <si>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</si>
  <si>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</si>
  <si>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</si>
  <si>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</si>
  <si>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</si>
  <si>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</si>
  <si>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</si>
  <si>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</si>
  <si>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</si>
  <si>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</si>
  <si>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</si>
  <si>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</si>
  <si>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</si>
  <si>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</si>
  <si>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</si>
  <si>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</si>
  <si>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</si>
  <si>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</si>
  <si>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</si>
  <si>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</si>
  <si>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</si>
  <si>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</si>
  <si>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</si>
  <si>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</si>
  <si>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</si>
  <si>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</si>
  <si>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</si>
  <si>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</si>
  <si>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</si>
  <si>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1" type="noConversion"/>
  </si>
  <si>
    <t>到10月1.59</t>
    <phoneticPr fontId="211" type="noConversion"/>
  </si>
  <si>
    <t>租金收入</t>
    <phoneticPr fontId="211" type="noConversion"/>
  </si>
  <si>
    <t>年份</t>
    <phoneticPr fontId="211" type="noConversion"/>
  </si>
  <si>
    <t>增长率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</si>
</sst>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quot;￥&quot;\-#,##0"/>
    <numFmt numFmtId="177" formatCode="0;_쐀"/>
    <numFmt numFmtId="178" formatCode="yyyy/m/d;@"/>
    <numFmt numFmtId="179" formatCode="[$-F800]dddd\,\ mmmm\ dd\,\ yyyy"/>
    <numFmt numFmtId="180" formatCode="0.0_);[Red]\(0.0\)"/>
    <numFmt numFmtId="181" formatCode="0_ "/>
    <numFmt numFmtId="182" formatCode="0.0000_ "/>
    <numFmt numFmtId="183" formatCode="yyyy&quot;年&quot;m&quot;月&quot;d&quot;日&quot;;@"/>
    <numFmt numFmtId="184" formatCode="0.0000%"/>
    <numFmt numFmtId="185" formatCode="0.00_ "/>
    <numFmt numFmtId="186" formatCode="0_ ;[Red]\-0\ "/>
    <numFmt numFmtId="187" formatCode="0.0_ "/>
    <numFmt numFmtId="188" formatCode="[DBNum1][$-804]yyyy&quot;年&quot;m&quot;月&quot;d&quot;日&quot;;@"/>
    <numFmt numFmtId="189" formatCode="0.000_ "/>
    <numFmt numFmtId="190" formatCode="0.0%"/>
    <numFmt numFmtId="191" formatCode="0.000%"/>
    <numFmt numFmtId="192" formatCode="yyyy&quot;年&quot;m&quot;月&quot;;@"/>
    <numFmt numFmtId="193" formatCode="0.000_);[Red]\(0.000\)"/>
    <numFmt numFmtId="194" formatCode="0_);[Red]\(0\)"/>
    <numFmt numFmtId="195" formatCode="[DBNum1][$-804]General"/>
    <numFmt numFmtId="196" formatCode="0.00_);[Red]\(0.00\)"/>
    <numFmt numFmtId="197"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176"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5"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1"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4"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4"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4" fontId="45" fillId="10" borderId="84" xfId="4" applyNumberFormat="1" applyFont="1" applyFill="1" applyBorder="1" applyAlignment="1" applyProtection="1">
      <alignment horizontal="center" vertical="center" wrapText="1"/>
    </xf>
    <xf numFmtId="194"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4" fontId="45" fillId="10" borderId="84" xfId="4" applyNumberFormat="1" applyFont="1" applyFill="1" applyBorder="1" applyAlignment="1">
      <alignment horizontal="center" vertical="center" wrapText="1"/>
    </xf>
    <xf numFmtId="194"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4" fontId="45" fillId="10" borderId="83" xfId="4" applyNumberFormat="1" applyFont="1" applyFill="1" applyBorder="1" applyAlignment="1">
      <alignment horizontal="center" vertical="center" wrapText="1"/>
    </xf>
    <xf numFmtId="194"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4"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4" fontId="45" fillId="10" borderId="90" xfId="4" applyNumberFormat="1" applyFont="1" applyFill="1" applyBorder="1" applyAlignment="1">
      <alignment horizontal="center" vertical="center" wrapText="1"/>
    </xf>
    <xf numFmtId="194" fontId="45" fillId="10" borderId="92" xfId="4" applyNumberFormat="1" applyFont="1" applyFill="1" applyBorder="1" applyAlignment="1">
      <alignment horizontal="center" vertical="center" wrapText="1"/>
    </xf>
    <xf numFmtId="194" fontId="6" fillId="9" borderId="0" xfId="4" applyNumberFormat="1" applyFont="1" applyFill="1" applyAlignment="1">
      <alignment horizontal="center" vertical="center"/>
    </xf>
    <xf numFmtId="194"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90" fontId="6" fillId="0" borderId="80" xfId="4" applyNumberFormat="1" applyFont="1" applyBorder="1">
      <alignment vertical="center"/>
    </xf>
    <xf numFmtId="190" fontId="6" fillId="0" borderId="0" xfId="4" applyNumberFormat="1" applyFont="1">
      <alignment vertical="center"/>
    </xf>
    <xf numFmtId="181"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1"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9" fontId="6" fillId="0" borderId="0" xfId="4" applyNumberFormat="1" applyFont="1" applyAlignment="1">
      <alignment horizontal="center" vertical="center"/>
    </xf>
    <xf numFmtId="189" fontId="6" fillId="0" borderId="80"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80" xfId="4" applyFont="1" applyFill="1" applyBorder="1">
      <alignment vertical="center"/>
    </xf>
    <xf numFmtId="189" fontId="47" fillId="0" borderId="0" xfId="4" applyNumberFormat="1" applyFont="1" applyAlignment="1">
      <alignment horizontal="center" vertical="center"/>
    </xf>
    <xf numFmtId="189" fontId="47" fillId="0" borderId="80"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5"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5"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0" fontId="65" fillId="0" borderId="0" xfId="0" applyNumberFormat="1" applyFont="1" applyFill="1" applyAlignment="1" applyProtection="1">
      <alignment horizontal="center" vertical="center"/>
      <protection locked="0"/>
    </xf>
    <xf numFmtId="190"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3"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4"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4"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4"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90" fontId="65" fillId="2" borderId="2" xfId="0" applyNumberFormat="1" applyFont="1" applyFill="1" applyBorder="1" applyAlignment="1" applyProtection="1">
      <alignment horizontal="center" vertical="center"/>
    </xf>
    <xf numFmtId="190"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6"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6"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4"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6"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0" fontId="66" fillId="2" borderId="100" xfId="0" applyNumberFormat="1" applyFont="1" applyFill="1" applyBorder="1" applyAlignment="1" applyProtection="1">
      <alignment horizontal="center" vertical="center"/>
    </xf>
    <xf numFmtId="190"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0" fontId="66" fillId="2" borderId="0" xfId="0" applyNumberFormat="1"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0" fontId="60" fillId="2" borderId="4" xfId="0" applyNumberFormat="1" applyFont="1" applyFill="1" applyBorder="1" applyAlignment="1" applyProtection="1">
      <alignment horizontal="center" vertical="center" wrapText="1"/>
    </xf>
    <xf numFmtId="190"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9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0"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0" fontId="65" fillId="2" borderId="4" xfId="0" applyNumberFormat="1" applyFont="1" applyFill="1" applyBorder="1" applyAlignment="1" applyProtection="1">
      <alignment horizontal="center" vertical="center"/>
    </xf>
    <xf numFmtId="190" fontId="65" fillId="2" borderId="0" xfId="0" applyNumberFormat="1" applyFont="1" applyFill="1" applyBorder="1" applyAlignment="1" applyProtection="1">
      <alignment vertical="center" wrapText="1"/>
      <protection locked="0"/>
    </xf>
    <xf numFmtId="180" fontId="65" fillId="2" borderId="4" xfId="0" applyNumberFormat="1" applyFont="1" applyFill="1" applyBorder="1" applyAlignment="1" applyProtection="1">
      <alignment horizontal="center" vertical="center" wrapText="1"/>
    </xf>
    <xf numFmtId="180"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80" fontId="65" fillId="2" borderId="0" xfId="0" applyNumberFormat="1" applyFont="1" applyFill="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xf>
    <xf numFmtId="190"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3"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protection locked="0"/>
    </xf>
    <xf numFmtId="190"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2" fontId="60" fillId="2" borderId="114"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80" fontId="66" fillId="2" borderId="131" xfId="0" applyNumberFormat="1" applyFont="1" applyFill="1" applyBorder="1" applyAlignment="1" applyProtection="1">
      <alignment horizontal="center" vertical="center"/>
    </xf>
    <xf numFmtId="190"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80" fontId="65" fillId="0" borderId="0" xfId="0" applyNumberFormat="1" applyFont="1" applyFill="1" applyAlignment="1" applyProtection="1">
      <alignment horizontal="center" vertical="center"/>
    </xf>
    <xf numFmtId="190"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80" fontId="66" fillId="2" borderId="131" xfId="0" applyNumberFormat="1" applyFont="1" applyFill="1" applyBorder="1" applyAlignment="1" applyProtection="1">
      <alignment horizontal="center" vertical="center"/>
      <protection locked="0"/>
    </xf>
    <xf numFmtId="190"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80" fontId="65" fillId="4" borderId="4" xfId="0" applyNumberFormat="1" applyFont="1" applyFill="1" applyBorder="1" applyAlignment="1" applyProtection="1">
      <alignment horizontal="center" vertical="center"/>
      <protection locked="0"/>
    </xf>
    <xf numFmtId="180" fontId="65" fillId="4" borderId="4" xfId="0" applyNumberFormat="1" applyFont="1" applyFill="1" applyBorder="1" applyAlignment="1" applyProtection="1">
      <alignment horizontal="center" vertical="center" wrapText="1"/>
      <protection locked="0"/>
    </xf>
    <xf numFmtId="180"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2"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80" fontId="27" fillId="2" borderId="0" xfId="0" applyNumberFormat="1" applyFont="1" applyFill="1" applyBorder="1" applyAlignment="1" applyProtection="1">
      <alignment horizontal="center" vertical="center"/>
      <protection locked="0"/>
    </xf>
    <xf numFmtId="19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0" fontId="60" fillId="2" borderId="39" xfId="0" applyNumberFormat="1" applyFont="1" applyFill="1" applyBorder="1" applyAlignment="1" applyProtection="1">
      <alignment horizontal="center" vertical="center" wrapText="1"/>
    </xf>
    <xf numFmtId="18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80" fontId="65" fillId="2" borderId="42" xfId="0" applyNumberFormat="1" applyFont="1" applyFill="1" applyBorder="1" applyAlignment="1" applyProtection="1">
      <alignment horizontal="center" vertical="center"/>
    </xf>
    <xf numFmtId="180" fontId="65" fillId="2" borderId="42" xfId="0" applyNumberFormat="1" applyFont="1" applyFill="1" applyBorder="1" applyAlignment="1" applyProtection="1">
      <alignment horizontal="center" vertical="center" wrapText="1"/>
    </xf>
    <xf numFmtId="180"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2"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90"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9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1"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5"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90"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90"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0"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2"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2"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2" fontId="29" fillId="2" borderId="69" xfId="0" applyNumberFormat="1" applyFont="1" applyFill="1" applyBorder="1" applyAlignment="1" applyProtection="1">
      <alignment horizontal="center" vertical="center" wrapText="1"/>
    </xf>
    <xf numFmtId="182"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2"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2"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1"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4"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5"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7" fillId="0" borderId="1" xfId="11" applyNumberFormat="1" applyFont="1" applyFill="1" applyBorder="1" applyAlignment="1" applyProtection="1">
      <alignment horizontal="center" vertical="center"/>
      <protection locked="0"/>
    </xf>
    <xf numFmtId="181" fontId="47" fillId="2" borderId="1" xfId="11" applyNumberFormat="1" applyFont="1" applyFill="1" applyBorder="1" applyAlignment="1" applyProtection="1">
      <alignment horizontal="center" vertical="center"/>
    </xf>
    <xf numFmtId="182"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xf>
    <xf numFmtId="182" fontId="47"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5"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5"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4"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4"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1"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1"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4"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5"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90"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0"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90"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9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5"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5"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65" fillId="2" borderId="7" xfId="12" applyNumberFormat="1" applyFont="1" applyFill="1" applyBorder="1" applyAlignment="1" applyProtection="1">
      <alignment horizontal="center" vertical="center" wrapText="1"/>
    </xf>
    <xf numFmtId="185" fontId="60"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60" fillId="2" borderId="1" xfId="12" applyNumberFormat="1" applyFont="1" applyFill="1" applyBorder="1" applyAlignment="1" applyProtection="1">
      <alignment vertical="center"/>
    </xf>
    <xf numFmtId="181" fontId="60"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5" fontId="65" fillId="2" borderId="1" xfId="12" applyNumberFormat="1" applyFont="1" applyFill="1" applyBorder="1" applyAlignment="1" applyProtection="1">
      <alignment horizontal="center" vertical="center"/>
    </xf>
    <xf numFmtId="189" fontId="65"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2" borderId="10" xfId="12" applyNumberFormat="1" applyFont="1" applyFill="1" applyBorder="1" applyAlignment="1" applyProtection="1">
      <alignment horizontal="left" vertical="center" wrapText="1"/>
      <protection locked="0"/>
    </xf>
    <xf numFmtId="181" fontId="60" fillId="2" borderId="2" xfId="12" applyNumberFormat="1" applyFont="1" applyFill="1" applyBorder="1" applyAlignment="1" applyProtection="1">
      <alignment vertical="center"/>
    </xf>
    <xf numFmtId="190"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90"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6" fontId="65" fillId="2" borderId="7" xfId="12" applyNumberFormat="1" applyFont="1" applyFill="1" applyBorder="1" applyAlignment="1" applyProtection="1">
      <alignment vertical="center" wrapText="1"/>
    </xf>
    <xf numFmtId="196" fontId="65" fillId="0" borderId="9" xfId="12" applyNumberFormat="1" applyFont="1" applyFill="1" applyBorder="1" applyAlignment="1" applyProtection="1">
      <alignment horizontal="center" vertical="center"/>
      <protection locked="0"/>
    </xf>
    <xf numFmtId="196" fontId="65" fillId="2" borderId="10" xfId="12" applyNumberFormat="1" applyFont="1" applyFill="1" applyBorder="1" applyAlignment="1" applyProtection="1">
      <alignment vertical="center" wrapText="1"/>
    </xf>
    <xf numFmtId="196" fontId="60" fillId="0" borderId="11" xfId="12" applyNumberFormat="1" applyFont="1" applyFill="1" applyBorder="1" applyAlignment="1" applyProtection="1">
      <alignment horizontal="center" vertical="center"/>
      <protection locked="0"/>
    </xf>
    <xf numFmtId="196" fontId="60" fillId="2" borderId="10" xfId="12" applyNumberFormat="1" applyFont="1" applyFill="1" applyBorder="1" applyAlignment="1" applyProtection="1">
      <alignment vertical="center" wrapText="1"/>
    </xf>
    <xf numFmtId="196" fontId="65" fillId="2" borderId="11" xfId="12" applyNumberFormat="1" applyFont="1" applyFill="1" applyBorder="1" applyAlignment="1" applyProtection="1">
      <alignment horizontal="center" vertical="center"/>
    </xf>
    <xf numFmtId="196" fontId="65" fillId="2" borderId="12" xfId="12" applyNumberFormat="1" applyFont="1" applyFill="1" applyBorder="1" applyAlignment="1" applyProtection="1">
      <alignment vertical="center" wrapText="1"/>
    </xf>
    <xf numFmtId="196"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5"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0" fontId="51" fillId="2" borderId="0" xfId="0" applyNumberFormat="1" applyFont="1" applyFill="1" applyAlignment="1" applyProtection="1">
      <alignment horizontal="center" vertical="center"/>
    </xf>
    <xf numFmtId="191"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1"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5"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1"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6"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60" fillId="2" borderId="10" xfId="12" applyNumberFormat="1" applyFont="1" applyFill="1" applyBorder="1" applyAlignment="1" applyProtection="1">
      <alignment horizontal="center" vertical="center"/>
    </xf>
    <xf numFmtId="185"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0" fontId="60" fillId="0" borderId="1" xfId="0" applyNumberFormat="1" applyFont="1" applyBorder="1" applyAlignment="1" applyProtection="1">
      <alignment vertical="center"/>
      <protection locked="0"/>
    </xf>
    <xf numFmtId="19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0" fontId="60" fillId="2" borderId="1" xfId="0" applyNumberFormat="1" applyFont="1" applyFill="1" applyBorder="1" applyAlignment="1" applyProtection="1">
      <alignment vertical="center"/>
    </xf>
    <xf numFmtId="19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5" fontId="60" fillId="2" borderId="12" xfId="12" applyNumberFormat="1" applyFont="1" applyFill="1" applyBorder="1" applyAlignment="1" applyProtection="1">
      <alignment horizontal="center" vertical="center"/>
    </xf>
    <xf numFmtId="185"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9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0"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1"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1" fontId="60" fillId="0" borderId="1" xfId="0" applyNumberFormat="1" applyFont="1" applyFill="1" applyBorder="1" applyAlignment="1" applyProtection="1">
      <alignment horizontal="center" vertical="center"/>
      <protection locked="0"/>
    </xf>
    <xf numFmtId="19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19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60" fillId="0" borderId="0" xfId="0" applyFont="1" applyProtection="1">
      <alignment vertical="center"/>
      <protection locked="0"/>
    </xf>
    <xf numFmtId="196"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6"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6"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6"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6" fontId="68" fillId="2" borderId="17" xfId="12" applyNumberFormat="1" applyFont="1" applyFill="1" applyBorder="1" applyAlignment="1" applyProtection="1">
      <alignment horizontal="center" vertical="center"/>
    </xf>
    <xf numFmtId="196" fontId="68" fillId="2" borderId="38" xfId="12" applyNumberFormat="1" applyFont="1" applyFill="1" applyBorder="1" applyAlignment="1" applyProtection="1">
      <alignment horizontal="center" vertical="center"/>
    </xf>
    <xf numFmtId="196"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6"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6"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12" applyNumberFormat="1" applyFont="1" applyFill="1" applyBorder="1" applyAlignment="1" applyProtection="1">
      <alignment vertical="center"/>
      <protection locked="0"/>
    </xf>
    <xf numFmtId="196" fontId="70" fillId="2" borderId="1" xfId="0" applyNumberFormat="1"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196" fontId="70" fillId="2" borderId="11" xfId="0" applyNumberFormat="1" applyFont="1" applyFill="1" applyBorder="1" applyAlignment="1" applyProtection="1">
      <alignment vertical="center"/>
    </xf>
    <xf numFmtId="196"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5" fontId="70" fillId="2" borderId="67" xfId="0" applyNumberFormat="1" applyFont="1" applyFill="1" applyBorder="1" applyAlignment="1" applyProtection="1">
      <alignment vertical="center"/>
    </xf>
    <xf numFmtId="185" fontId="70" fillId="2" borderId="13" xfId="0" applyNumberFormat="1" applyFont="1" applyFill="1" applyBorder="1" applyAlignment="1" applyProtection="1">
      <alignment vertical="center"/>
    </xf>
    <xf numFmtId="185" fontId="70" fillId="2" borderId="14" xfId="0" applyNumberFormat="1" applyFont="1" applyFill="1" applyBorder="1" applyAlignment="1" applyProtection="1">
      <alignment vertical="center"/>
    </xf>
    <xf numFmtId="185" fontId="60" fillId="2" borderId="16" xfId="0" applyNumberFormat="1" applyFont="1" applyFill="1" applyBorder="1" applyProtection="1">
      <alignment vertical="center"/>
    </xf>
    <xf numFmtId="196"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5" fontId="70" fillId="7" borderId="11" xfId="0" applyNumberFormat="1" applyFont="1" applyFill="1" applyBorder="1" applyAlignment="1" applyProtection="1">
      <alignment horizontal="center" vertical="center"/>
      <protection locked="0"/>
    </xf>
    <xf numFmtId="185"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6"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6"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41"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6" fontId="60" fillId="2" borderId="1" xfId="0" applyNumberFormat="1" applyFont="1" applyFill="1" applyBorder="1" applyAlignment="1" applyProtection="1">
      <alignment horizontal="center" vertical="center" wrapText="1"/>
    </xf>
    <xf numFmtId="196" fontId="60" fillId="0" borderId="16" xfId="0" applyNumberFormat="1" applyFont="1" applyFill="1" applyBorder="1" applyAlignment="1" applyProtection="1">
      <alignment horizontal="center" vertical="center" wrapText="1"/>
      <protection locked="0"/>
    </xf>
    <xf numFmtId="196" fontId="60" fillId="2" borderId="16" xfId="0" applyNumberFormat="1" applyFont="1" applyFill="1" applyBorder="1" applyAlignment="1" applyProtection="1">
      <alignment horizontal="center" vertical="center" wrapText="1"/>
    </xf>
    <xf numFmtId="196"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60"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13"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6" fontId="60" fillId="2" borderId="11" xfId="0" applyNumberFormat="1" applyFont="1" applyFill="1" applyBorder="1" applyAlignment="1" applyProtection="1">
      <alignment horizontal="center" vertical="center" wrapText="1"/>
    </xf>
    <xf numFmtId="196"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6"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3" fontId="75" fillId="0" borderId="1" xfId="0" applyNumberFormat="1" applyFont="1" applyFill="1" applyBorder="1" applyAlignment="1" applyProtection="1">
      <alignment horizontal="center" vertical="center" shrinkToFit="1"/>
      <protection locked="0"/>
    </xf>
    <xf numFmtId="181"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5"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3"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3"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3" fontId="35" fillId="0" borderId="1" xfId="0" applyNumberFormat="1" applyFont="1" applyFill="1" applyBorder="1" applyAlignment="1" applyProtection="1">
      <alignment horizontal="center" vertical="center" shrinkToFit="1"/>
      <protection locked="0"/>
    </xf>
    <xf numFmtId="181" fontId="75" fillId="2" borderId="55" xfId="0" applyNumberFormat="1" applyFont="1" applyFill="1" applyBorder="1" applyAlignment="1" applyProtection="1">
      <alignment horizontal="center" vertical="center" wrapText="1"/>
    </xf>
    <xf numFmtId="185"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5"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9" fontId="117" fillId="0" borderId="2" xfId="15" applyNumberFormat="1" applyFont="1" applyFill="1" applyBorder="1" applyAlignment="1">
      <alignment horizontal="right" vertical="center"/>
    </xf>
    <xf numFmtId="0" fontId="117" fillId="0" borderId="155" xfId="15" applyFont="1" applyFill="1" applyBorder="1">
      <alignment vertical="center"/>
    </xf>
    <xf numFmtId="183" fontId="117" fillId="0" borderId="1" xfId="15" applyNumberFormat="1" applyFont="1" applyFill="1" applyBorder="1" applyAlignment="1">
      <alignment horizontal="right" vertical="center"/>
    </xf>
    <xf numFmtId="179"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3"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3" fontId="117" fillId="0" borderId="2" xfId="15" applyNumberFormat="1" applyFont="1" applyFill="1" applyBorder="1" applyAlignment="1">
      <alignment horizontal="right" vertical="center"/>
    </xf>
    <xf numFmtId="0" fontId="113" fillId="0" borderId="155" xfId="15" applyFont="1" applyBorder="1">
      <alignment vertical="center"/>
    </xf>
    <xf numFmtId="183"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3"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3"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7" fontId="75" fillId="0" borderId="1" xfId="0" applyNumberFormat="1" applyFont="1" applyFill="1" applyBorder="1" applyAlignment="1" applyProtection="1">
      <alignment horizontal="center" vertical="center" wrapText="1"/>
    </xf>
    <xf numFmtId="197" fontId="75" fillId="0" borderId="2" xfId="0" applyNumberFormat="1" applyFont="1" applyFill="1" applyBorder="1" applyAlignment="1" applyProtection="1">
      <alignment horizontal="center" vertical="center" wrapText="1"/>
    </xf>
    <xf numFmtId="197" fontId="75" fillId="0" borderId="3" xfId="0" applyNumberFormat="1" applyFont="1" applyFill="1" applyBorder="1" applyAlignment="1" applyProtection="1">
      <alignment horizontal="center" vertical="center" wrapText="1"/>
    </xf>
    <xf numFmtId="197" fontId="75"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188" fontId="130"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36"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197" fontId="60" fillId="2" borderId="2" xfId="0" applyNumberFormat="1" applyFont="1" applyFill="1" applyBorder="1" applyAlignment="1" applyProtection="1">
      <alignment horizontal="center" vertical="center" wrapText="1"/>
    </xf>
    <xf numFmtId="197" fontId="60" fillId="2" borderId="3" xfId="0" applyNumberFormat="1" applyFont="1" applyFill="1" applyBorder="1" applyAlignment="1" applyProtection="1">
      <alignment horizontal="center" vertical="center" wrapText="1"/>
    </xf>
    <xf numFmtId="197"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6"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9" fontId="99"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0" fontId="65"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4" fontId="65" fillId="2" borderId="1" xfId="0" applyNumberFormat="1" applyFont="1" applyFill="1" applyBorder="1" applyAlignment="1" applyProtection="1">
      <alignment horizontal="center" vertical="center"/>
    </xf>
    <xf numFmtId="194" fontId="68" fillId="2" borderId="1" xfId="0" applyNumberFormat="1" applyFont="1" applyFill="1" applyBorder="1" applyAlignment="1" applyProtection="1">
      <alignment horizontal="center" vertical="center"/>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52" fillId="10" borderId="89" xfId="4" applyFont="1" applyFill="1" applyBorder="1" applyAlignment="1" applyProtection="1">
      <alignment horizontal="center" vertical="center" wrapText="1"/>
    </xf>
    <xf numFmtId="0" fontId="52" fillId="10" borderId="82"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10" fillId="0" borderId="0" xfId="4" applyFont="1" applyAlignment="1">
      <alignment horizontal="center" vertical="center"/>
    </xf>
    <xf numFmtId="0" fontId="45" fillId="0" borderId="0" xfId="4" applyFont="1" applyAlignment="1">
      <alignment horizontal="center" vertical="center"/>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48" fillId="0" borderId="0" xfId="4" applyFont="1" applyAlignment="1">
      <alignment horizontal="center" vertical="center"/>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53" customWidth="1"/>
    <col min="2" max="2" width="81" style="2954" customWidth="1"/>
    <col min="3" max="16384" width="9" style="2955"/>
  </cols>
  <sheetData>
    <row r="1" spans="1:2" s="2950" customFormat="1">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271310</v>
      </c>
    </row>
    <row r="21" spans="1:2" s="2952" customFormat="1">
      <c r="A21" s="2960" t="s">
        <v>21</v>
      </c>
      <c r="B21" s="2961">
        <f ca="1">'预评函-2'!D7</f>
        <v>26139</v>
      </c>
    </row>
    <row r="22" spans="1:2" s="2952" customFormat="1">
      <c r="A22" s="2960" t="s">
        <v>22</v>
      </c>
      <c r="B22" s="2961" t="str">
        <f ca="1">'预评函-2'!D6</f>
        <v>贰拾柒亿壹仟叁佰壹拾万元整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271310</v>
      </c>
    </row>
    <row r="31" spans="1:2" s="2952" customFormat="1">
      <c r="A31" s="2960" t="s">
        <v>31</v>
      </c>
      <c r="B31" s="2961">
        <f ca="1">'预评函-2'!D15</f>
        <v>26139</v>
      </c>
    </row>
    <row r="32" spans="1:2" s="2952" customFormat="1">
      <c r="A32" s="2960" t="s">
        <v>32</v>
      </c>
      <c r="B32" s="2961" t="str">
        <f ca="1">'预评函-2'!D14</f>
        <v>贰拾柒亿壹仟叁佰壹拾万元整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ht="31.2">
      <c r="A42" s="2960" t="s">
        <v>42</v>
      </c>
      <c r="B42" s="2961" t="str">
        <f>'预评函-3'!B2</f>
        <v>建筑面积</v>
      </c>
    </row>
    <row r="43" spans="1:2" s="2952" customFormat="1">
      <c r="A43" s="2960" t="s">
        <v>43</v>
      </c>
      <c r="B43" s="2961">
        <f>'预评函-3'!B4</f>
        <v>103793.58</v>
      </c>
    </row>
    <row r="44" spans="1:2" s="2952" customFormat="1" ht="31.2">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217591</v>
      </c>
    </row>
    <row r="48" spans="1:2" s="2952" customFormat="1">
      <c r="A48" s="2960" t="s">
        <v>48</v>
      </c>
      <c r="B48" s="2961">
        <f ca="1">'预评函-3'!E4</f>
        <v>20963</v>
      </c>
    </row>
    <row r="49" spans="1:2" s="2952" customFormat="1">
      <c r="A49" s="2960" t="s">
        <v>49</v>
      </c>
      <c r="B49" s="2961" t="str">
        <f ca="1">'预评函-3'!D5</f>
        <v>贰拾壹亿柒仟伍佰玖拾壹万元整</v>
      </c>
    </row>
    <row r="50" spans="1:2" s="2952" customFormat="1">
      <c r="A50" s="2960" t="s">
        <v>50</v>
      </c>
      <c r="B50" s="2961" t="str">
        <f>'预评函-3'!F2</f>
        <v>建筑物价值</v>
      </c>
    </row>
    <row r="51" spans="1:2" s="2952" customFormat="1">
      <c r="A51" s="2960" t="s">
        <v>51</v>
      </c>
      <c r="B51" s="2961">
        <f ca="1">'预评函-3'!F4</f>
        <v>53719</v>
      </c>
    </row>
    <row r="52" spans="1:2" s="2952" customFormat="1">
      <c r="A52" s="2960" t="s">
        <v>52</v>
      </c>
      <c r="B52" s="2961">
        <f ca="1">'预评函-3'!G4</f>
        <v>5176</v>
      </c>
    </row>
    <row r="53" spans="1:2" s="2952" customFormat="1">
      <c r="A53" s="2960" t="s">
        <v>53</v>
      </c>
      <c r="B53" s="2961" t="str">
        <f ca="1">'预评函-3'!F5</f>
        <v>伍亿叁仟柒佰壹拾玖万元整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4.4"/>
  <cols>
    <col min="1" max="1" width="13.44140625" style="2827" customWidth="1"/>
    <col min="2" max="2" width="23.21875" style="2828" customWidth="1"/>
    <col min="3" max="3" width="13" style="2829" customWidth="1"/>
    <col min="4" max="4" width="5.77734375" style="2830" customWidth="1"/>
    <col min="5" max="5" width="7.109375" style="2830" customWidth="1"/>
    <col min="6" max="6" width="10.6640625" style="2830" customWidth="1"/>
    <col min="7" max="7" width="7.44140625" style="2830" customWidth="1"/>
    <col min="8" max="8" width="9" style="2829" customWidth="1"/>
    <col min="9" max="9" width="11.6640625" style="2829" customWidth="1"/>
    <col min="10" max="10" width="9" style="2829" customWidth="1"/>
    <col min="11" max="19" width="9" style="2830" customWidth="1"/>
    <col min="20" max="23" width="9" style="2829" customWidth="1"/>
    <col min="24" max="24" width="21.109375" style="2828" customWidth="1"/>
    <col min="25" max="16384" width="9" style="2828"/>
  </cols>
  <sheetData>
    <row r="1" spans="1:23" s="2826" customFormat="1" ht="28.8">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8671875" style="2336" customWidth="1"/>
    <col min="2" max="2" width="10" style="2336" customWidth="1"/>
    <col min="3" max="3" width="11.44140625" style="2336" customWidth="1"/>
    <col min="4" max="6" width="10" style="2336" customWidth="1"/>
    <col min="7" max="7" width="10.77734375" style="2336" customWidth="1"/>
    <col min="8" max="8" width="10" style="2336" customWidth="1"/>
    <col min="9" max="9" width="11.10937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40"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41"/>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28"/>
      <c r="C16" s="3029"/>
      <c r="D16" s="3030"/>
      <c r="E16" s="2744" t="s">
        <v>359</v>
      </c>
      <c r="F16" s="3031"/>
      <c r="G16" s="3032"/>
      <c r="H16" s="3032"/>
      <c r="I16" s="3033"/>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34" t="s">
        <v>362</v>
      </c>
      <c r="F17" s="3035"/>
      <c r="G17" s="3035"/>
      <c r="H17" s="3035"/>
      <c r="I17" s="3036"/>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37" t="s">
        <v>365</v>
      </c>
      <c r="F18" s="3038"/>
      <c r="G18" s="3038"/>
      <c r="H18" s="3038"/>
      <c r="I18" s="3039"/>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14" t="s">
        <v>370</v>
      </c>
      <c r="C20" s="3015"/>
      <c r="D20" s="3016" t="s">
        <v>371</v>
      </c>
      <c r="E20" s="3017"/>
      <c r="F20" s="2757" t="s">
        <v>372</v>
      </c>
      <c r="G20" s="2711"/>
      <c r="H20" s="2711"/>
      <c r="I20" s="2711"/>
      <c r="J20" s="2711"/>
      <c r="K20" s="3012"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12"/>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12"/>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21"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21"/>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21"/>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22"/>
      <c r="B30" s="2699" t="s">
        <v>388</v>
      </c>
      <c r="C30" s="3018"/>
      <c r="D30" s="3019"/>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23"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24"/>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24"/>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13" t="s">
        <v>398</v>
      </c>
      <c r="T34" s="2824" t="str">
        <f>NUMBERSTRING(7-K34,1)&amp;"通"</f>
        <v>七通</v>
      </c>
      <c r="U34" s="2349"/>
      <c r="V34" s="2349"/>
    </row>
    <row r="35" spans="1:22" ht="18" customHeight="1">
      <c r="A35" s="2792"/>
      <c r="B35" s="3020" t="s">
        <v>399</v>
      </c>
      <c r="C35" s="3020"/>
      <c r="D35" s="3020"/>
      <c r="E35" s="3020"/>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13"/>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8671875" defaultRowHeight="13.8"/>
  <cols>
    <col min="1" max="1" width="10.6640625" style="2604" customWidth="1"/>
    <col min="2" max="2" width="11" style="2604" customWidth="1"/>
    <col min="3" max="3" width="10.33203125" style="2604" customWidth="1"/>
    <col min="4" max="4" width="9.109375" style="2604" customWidth="1"/>
    <col min="5" max="6" width="10" style="2602" customWidth="1"/>
    <col min="7" max="8" width="10" style="2604" customWidth="1"/>
    <col min="9" max="9" width="10.6640625" style="2604" customWidth="1"/>
    <col min="10" max="10" width="9.44140625" style="2604" customWidth="1"/>
    <col min="11" max="11" width="11" style="2604" customWidth="1"/>
    <col min="12" max="14" width="9.44140625" style="2604" customWidth="1"/>
    <col min="15" max="15" width="9.88671875" style="2604" hidden="1" customWidth="1"/>
    <col min="16" max="16" width="9.77734375" style="2604" hidden="1" customWidth="1"/>
    <col min="17" max="17" width="9.33203125" style="2604" hidden="1" customWidth="1"/>
    <col min="18" max="18" width="9.21875" style="2604" hidden="1" customWidth="1"/>
    <col min="19" max="19" width="10.88671875" style="2604" hidden="1" customWidth="1"/>
    <col min="20" max="21" width="10.77734375" style="2604" hidden="1" customWidth="1"/>
    <col min="22" max="22" width="10.88671875" style="2604" hidden="1" customWidth="1"/>
    <col min="23" max="27" width="10.77734375" style="2604" hidden="1" customWidth="1"/>
    <col min="28" max="28" width="10.88671875" style="2604" hidden="1" customWidth="1"/>
    <col min="29" max="29" width="11" style="2604" customWidth="1"/>
    <col min="30" max="30" width="10" style="2604" hidden="1" customWidth="1"/>
    <col min="31" max="31" width="9.77734375" style="2604" hidden="1" customWidth="1"/>
    <col min="32" max="37" width="9.44140625" style="2604" hidden="1" customWidth="1"/>
    <col min="38" max="46" width="9.44140625" style="2604" customWidth="1"/>
    <col min="47" max="47" width="18.109375" style="2604" customWidth="1"/>
    <col min="48" max="50" width="9.77734375" style="2604" customWidth="1"/>
    <col min="51" max="55" width="10.44140625" style="2604" customWidth="1"/>
    <col min="56" max="56" width="9.44140625" style="2604" customWidth="1"/>
    <col min="57" max="63" width="9.109375" style="2604" customWidth="1"/>
    <col min="64" max="64" width="9.44140625" style="2604" customWidth="1"/>
    <col min="65" max="65" width="9.109375" style="2604" customWidth="1"/>
    <col min="66" max="66" width="9.44140625" style="2604" customWidth="1"/>
    <col min="67" max="69" width="9.109375" style="2604" customWidth="1"/>
    <col min="70" max="70" width="9.44140625" style="2604" customWidth="1"/>
    <col min="71" max="71" width="9" style="2604" customWidth="1"/>
    <col min="72" max="72" width="9.109375" style="2604" customWidth="1"/>
    <col min="73" max="16384" width="8.88671875" style="2604"/>
  </cols>
  <sheetData>
    <row r="1" spans="1:72" ht="21">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3.2">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3.2">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3.2">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3.2">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5.2">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3.2">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3.2">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3.2">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3.2">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3.2">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3.2">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3.2">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3.2">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3.2">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596" customWidth="1"/>
    <col min="2" max="2" width="10.6640625" style="2596" customWidth="1"/>
    <col min="3" max="3" width="15.77734375" style="2596" customWidth="1"/>
    <col min="4" max="7" width="9.44140625" style="2596" customWidth="1"/>
    <col min="8" max="13" width="9.109375" style="2596" customWidth="1"/>
    <col min="14" max="16384" width="9" style="2596"/>
  </cols>
  <sheetData>
    <row r="1" spans="1:13" ht="15.6">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46.8">
      <c r="A3" s="3043"/>
      <c r="B3" s="3043"/>
      <c r="C3" s="3043"/>
      <c r="D3" s="3042"/>
      <c r="E3" s="3042"/>
      <c r="F3" s="2598" t="s">
        <v>479</v>
      </c>
      <c r="G3" s="2598" t="s">
        <v>480</v>
      </c>
      <c r="H3" s="2598" t="s">
        <v>481</v>
      </c>
      <c r="I3" s="2598" t="s">
        <v>482</v>
      </c>
      <c r="J3" s="2598" t="s">
        <v>479</v>
      </c>
      <c r="K3" s="2598" t="s">
        <v>483</v>
      </c>
      <c r="L3" s="2598" t="s">
        <v>484</v>
      </c>
      <c r="M3" s="2598" t="s">
        <v>485</v>
      </c>
    </row>
    <row r="4" spans="1:13" ht="46.8">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6.8">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6.8">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6.8">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6.8">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1875" defaultRowHeight="13.8"/>
  <cols>
    <col min="1" max="1" width="12.109375" style="2518" customWidth="1"/>
    <col min="2" max="2" width="10.21875" style="2518" customWidth="1"/>
    <col min="3" max="3" width="18.44140625" style="2518" customWidth="1"/>
    <col min="4" max="4" width="11.6640625" style="2518" customWidth="1"/>
    <col min="5" max="5" width="13.33203125" style="2518" customWidth="1"/>
    <col min="6" max="8" width="11.44140625" style="2518" customWidth="1"/>
    <col min="9" max="9" width="11.109375" style="2518" customWidth="1"/>
    <col min="10" max="10" width="3.109375" style="2518" customWidth="1"/>
    <col min="11" max="16" width="10" style="2518" customWidth="1"/>
    <col min="17" max="17" width="2.6640625" style="2518" customWidth="1"/>
    <col min="18" max="18" width="9.33203125" style="2518" customWidth="1"/>
    <col min="19" max="19" width="10.44140625" style="2518" customWidth="1"/>
    <col min="20" max="16384" width="9.21875" style="2518"/>
  </cols>
  <sheetData>
    <row r="1" spans="1:16" ht="17.399999999999999">
      <c r="A1" s="1983" t="s">
        <v>494</v>
      </c>
      <c r="B1" s="2055"/>
      <c r="C1" s="2055"/>
      <c r="D1" s="2055"/>
      <c r="E1" s="2055"/>
      <c r="F1" s="2055"/>
      <c r="G1" s="2055"/>
      <c r="H1" s="2055"/>
      <c r="I1" s="2055"/>
      <c r="J1" s="2055"/>
      <c r="K1" s="2055"/>
      <c r="L1" s="2055"/>
      <c r="M1" s="2055"/>
      <c r="N1" s="2055"/>
      <c r="O1" s="2055"/>
      <c r="P1" s="2055"/>
    </row>
    <row r="2" spans="1:16" ht="14.4">
      <c r="A2" s="3053" t="s">
        <v>495</v>
      </c>
      <c r="B2" s="3053"/>
      <c r="C2" s="3053"/>
      <c r="D2" s="1901" t="s">
        <v>496</v>
      </c>
      <c r="E2" s="2519" t="s">
        <v>497</v>
      </c>
      <c r="F2" s="2055"/>
      <c r="G2" s="2520"/>
      <c r="H2" s="2521"/>
      <c r="I2" s="2234" t="s">
        <v>498</v>
      </c>
      <c r="J2" s="2055"/>
      <c r="K2" s="2055"/>
      <c r="L2" s="2055"/>
      <c r="M2" s="2055"/>
      <c r="N2" s="1076"/>
      <c r="O2" s="2055"/>
      <c r="P2" s="2055"/>
    </row>
    <row r="3" spans="1:16" ht="14.4">
      <c r="A3" s="3054" t="s">
        <v>499</v>
      </c>
      <c r="B3" s="3054"/>
      <c r="C3" s="3054"/>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4.4">
      <c r="A4" s="3055"/>
      <c r="B4" s="3056"/>
      <c r="C4" s="3057"/>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ht="14.4">
      <c r="A5" s="2527" t="s">
        <v>503</v>
      </c>
      <c r="B5" s="3058" t="s">
        <v>349</v>
      </c>
      <c r="C5" s="3058"/>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ht="14.4">
      <c r="A6" s="2530"/>
      <c r="B6" s="3058" t="s">
        <v>504</v>
      </c>
      <c r="C6" s="3058"/>
      <c r="D6" s="2528">
        <f>ROUND($D$3*E6/$E$3,2)</f>
        <v>29715.57</v>
      </c>
      <c r="E6" s="2529">
        <f>E3-E5</f>
        <v>103793.58</v>
      </c>
      <c r="F6" s="2055"/>
      <c r="G6" s="2531" t="s">
        <v>398</v>
      </c>
      <c r="H6" s="2523" t="s">
        <v>502</v>
      </c>
      <c r="I6" s="2578">
        <f>ROUND(F31/D31,2)</f>
        <v>2.73</v>
      </c>
      <c r="J6" s="2055"/>
      <c r="K6" s="2055"/>
      <c r="L6" s="2055"/>
      <c r="M6" s="2055"/>
      <c r="N6" s="2055"/>
      <c r="O6" s="2055"/>
      <c r="P6" s="2055"/>
    </row>
    <row r="7" spans="1:16" ht="14.4">
      <c r="A7" s="3044"/>
      <c r="B7" s="3045"/>
      <c r="C7" s="3046"/>
      <c r="D7" s="2524" t="s">
        <v>496</v>
      </c>
      <c r="E7" s="2532" t="s">
        <v>505</v>
      </c>
      <c r="F7" s="2055"/>
      <c r="G7" s="2520" t="s">
        <v>506</v>
      </c>
      <c r="H7" s="1997"/>
      <c r="I7" s="2579">
        <v>3.49</v>
      </c>
      <c r="J7" s="2055"/>
      <c r="K7" s="2055"/>
      <c r="L7" s="2055"/>
      <c r="M7" s="2055"/>
      <c r="N7" s="2055"/>
      <c r="O7" s="2055"/>
      <c r="P7" s="2055"/>
    </row>
    <row r="8" spans="1:16" ht="14.4">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ht="14.4">
      <c r="A9" s="2536"/>
      <c r="B9" s="2537"/>
      <c r="C9" s="2528" t="s">
        <v>510</v>
      </c>
      <c r="D9" s="2528">
        <f t="shared" si="0"/>
        <v>0</v>
      </c>
      <c r="E9" s="2538">
        <v>0</v>
      </c>
      <c r="F9" s="2055"/>
      <c r="G9" s="2535"/>
      <c r="H9" s="2535"/>
      <c r="I9" s="2055"/>
      <c r="J9" s="2055"/>
      <c r="K9" s="2055"/>
      <c r="L9" s="2055"/>
      <c r="M9" s="2055"/>
      <c r="N9" s="2055"/>
      <c r="O9" s="2055"/>
      <c r="P9" s="2055"/>
    </row>
    <row r="10" spans="1:16" ht="14.4">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ht="14.4">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ht="14.4">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ht="14.4">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ht="14.4">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ht="14.4">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4.4">
      <c r="A16" s="2530"/>
      <c r="B16" s="2537"/>
      <c r="C16" s="2533" t="s">
        <v>517</v>
      </c>
      <c r="D16" s="2533">
        <f>SUM(D8:D15)</f>
        <v>28961.27</v>
      </c>
      <c r="E16" s="2539">
        <f>SUM(E8:E15)</f>
        <v>101158.87</v>
      </c>
      <c r="F16" s="2055"/>
      <c r="G16" s="2535"/>
      <c r="H16" s="2540" t="s">
        <v>518</v>
      </c>
      <c r="I16" s="2580"/>
      <c r="J16" s="2055"/>
      <c r="K16" s="3047" t="s">
        <v>518</v>
      </c>
      <c r="L16" s="3048"/>
      <c r="M16" s="3048"/>
      <c r="N16" s="3048"/>
      <c r="O16" s="3048"/>
      <c r="P16" s="3049"/>
    </row>
    <row r="17" spans="1:19" ht="14.4">
      <c r="A17" s="2479" t="s">
        <v>519</v>
      </c>
      <c r="B17" s="2541" t="s">
        <v>520</v>
      </c>
      <c r="C17" s="2478" t="s">
        <v>521</v>
      </c>
      <c r="D17" s="2542" t="s">
        <v>496</v>
      </c>
      <c r="E17" s="2543" t="s">
        <v>497</v>
      </c>
      <c r="F17" s="2544"/>
      <c r="G17" s="2545"/>
      <c r="H17" s="2546" t="s">
        <v>522</v>
      </c>
      <c r="I17" s="2581" t="s">
        <v>523</v>
      </c>
      <c r="J17" s="2055"/>
      <c r="K17" s="3050" t="s">
        <v>524</v>
      </c>
      <c r="L17" s="3051"/>
      <c r="M17" s="3052"/>
      <c r="N17" s="3050" t="s">
        <v>525</v>
      </c>
      <c r="O17" s="3051"/>
      <c r="P17" s="3052"/>
      <c r="R17" s="2520" t="s">
        <v>526</v>
      </c>
      <c r="S17" s="1997"/>
    </row>
    <row r="18" spans="1:19" ht="14.4">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ht="14.4">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ht="14.4">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ht="14.4">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ht="14.4">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ht="14.4">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ht="14.4">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ht="14.4">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ht="14.4">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4.4">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ht="14.4">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ht="14.4">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4.4">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4.4">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ht="14.4">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W6" activePane="bottomRight" state="frozen"/>
      <selection pane="topRight"/>
      <selection pane="bottomLeft"/>
      <selection pane="bottomRight" activeCell="O24" sqref="O24"/>
    </sheetView>
  </sheetViews>
  <sheetFormatPr defaultColWidth="13.77734375" defaultRowHeight="13.2"/>
  <cols>
    <col min="1" max="1" width="20.88671875" style="2339" customWidth="1"/>
    <col min="2" max="2" width="12" style="2340" customWidth="1"/>
    <col min="3" max="3" width="10.77734375" style="2340" customWidth="1"/>
    <col min="4" max="4" width="9.109375" style="2341" customWidth="1"/>
    <col min="5" max="5" width="15" style="2340" customWidth="1"/>
    <col min="6" max="10" width="8.88671875" style="2340" customWidth="1"/>
    <col min="11" max="12" width="12.33203125" style="2342" customWidth="1"/>
    <col min="13" max="13" width="8.6640625" style="2340" customWidth="1"/>
    <col min="14" max="14" width="11.88671875" style="2340" customWidth="1"/>
    <col min="15" max="15" width="8.44140625" style="2340" customWidth="1"/>
    <col min="16" max="17" width="10.88671875" style="2340" customWidth="1"/>
    <col min="18" max="19" width="12.44140625" style="2340" customWidth="1"/>
    <col min="20" max="20" width="12.109375" style="2340" customWidth="1"/>
    <col min="21" max="21" width="7.44140625" style="2340" customWidth="1"/>
    <col min="22" max="22" width="6.33203125" style="2340" customWidth="1"/>
    <col min="23" max="30" width="6.77734375" style="2340" customWidth="1"/>
    <col min="31" max="31" width="8" style="2340" customWidth="1"/>
    <col min="32" max="34" width="7.21875" style="2340" customWidth="1"/>
    <col min="35" max="39" width="8" style="2340" customWidth="1"/>
    <col min="40" max="40" width="13.77734375" style="2338"/>
    <col min="41" max="41" width="11.6640625" style="2338" customWidth="1"/>
    <col min="42" max="42" width="9.77734375" style="2338" customWidth="1"/>
    <col min="43" max="67" width="13.77734375" style="2338"/>
    <col min="68" max="16384" width="13.77734375" style="2340"/>
  </cols>
  <sheetData>
    <row r="1" spans="1:67" ht="17.399999999999999">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4.4">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3.8">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4">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57.6">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3.8">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0.25</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5.47</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272187</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3.8">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3.8">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3.8">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3.8">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3.8">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3.8">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3.8">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4">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8.8">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4.4">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0.25</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4">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4">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4">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4">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4">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4">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4">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3.8">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4">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8.8">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8.8">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8.8">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8.8">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8.8">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8.8">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4">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4">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4">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4">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4">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4">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4">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4">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4">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4">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4">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4">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4">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4">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4">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4">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4">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4">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4">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4">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8.8">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4">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4">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4">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4">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4">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4">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4">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4">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4">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4">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1"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3.8"/>
  <cols>
    <col min="1" max="1" width="9.44140625" style="2272" customWidth="1"/>
    <col min="2" max="2" width="24.44140625" style="2273" customWidth="1"/>
    <col min="3" max="3" width="24.44140625" style="2274" customWidth="1"/>
    <col min="4" max="4" width="2.6640625" style="2274" customWidth="1"/>
    <col min="5" max="5" width="5.88671875" style="2274" customWidth="1"/>
    <col min="6" max="6" width="27" style="2273" customWidth="1"/>
    <col min="7" max="7" width="27" style="2275" customWidth="1"/>
    <col min="8" max="8" width="11.88671875" style="2276" customWidth="1"/>
    <col min="9" max="9" width="16.77734375" style="2277" customWidth="1"/>
    <col min="10" max="10" width="2.6640625" style="2276" customWidth="1"/>
    <col min="11" max="11" width="11.88671875" style="2276" customWidth="1"/>
    <col min="12" max="12" width="16.77734375" style="2277" customWidth="1"/>
    <col min="13" max="13" width="2.6640625" style="2276" customWidth="1"/>
    <col min="14" max="14" width="11.88671875" style="2276" customWidth="1"/>
    <col min="15" max="15" width="16.77734375" style="2277" customWidth="1"/>
    <col min="16" max="16" width="2.6640625" style="2276" customWidth="1"/>
    <col min="17" max="17" width="11.88671875" style="2276" customWidth="1"/>
    <col min="18" max="18" width="16.77734375" style="2278" customWidth="1"/>
    <col min="19" max="29" width="9" style="2271"/>
    <col min="30" max="16384" width="9" style="2272"/>
  </cols>
  <sheetData>
    <row r="1" spans="1:29" s="2270" customFormat="1" ht="17.399999999999999">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4.4">
      <c r="A2" s="2280"/>
      <c r="B2" s="2281"/>
      <c r="C2" s="2282" t="s">
        <v>652</v>
      </c>
      <c r="D2" s="2283"/>
      <c r="E2" s="2284"/>
      <c r="F2" s="2285"/>
      <c r="G2" s="2282" t="s">
        <v>653</v>
      </c>
      <c r="H2" s="2271"/>
      <c r="I2" s="2271"/>
      <c r="J2" s="2271"/>
      <c r="K2" s="2271"/>
      <c r="L2" s="2271"/>
      <c r="M2" s="2271"/>
      <c r="N2" s="2271"/>
      <c r="O2" s="2271"/>
      <c r="P2" s="2271"/>
      <c r="Q2" s="2271"/>
      <c r="R2" s="2271"/>
    </row>
    <row r="3" spans="1:29" ht="57.6">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3.2">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3.2">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7.6">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3.2">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8.8">
      <c r="A8" s="614"/>
      <c r="B8" s="784" t="s">
        <v>667</v>
      </c>
      <c r="C8" s="2293" t="s">
        <v>668</v>
      </c>
      <c r="D8" s="2294"/>
      <c r="E8" s="2294"/>
      <c r="F8" s="741"/>
      <c r="G8" s="741"/>
      <c r="H8" s="2271"/>
      <c r="I8" s="2271"/>
      <c r="J8" s="2271"/>
      <c r="K8" s="2271"/>
      <c r="L8" s="2271"/>
      <c r="M8" s="2271"/>
      <c r="N8" s="2271"/>
      <c r="O8" s="2271"/>
      <c r="P8" s="2271"/>
      <c r="Q8" s="2271"/>
      <c r="R8" s="2271"/>
    </row>
    <row r="9" spans="1:29" ht="43.2">
      <c r="A9" s="614"/>
      <c r="B9" s="784" t="s">
        <v>671</v>
      </c>
      <c r="C9" s="2291" t="s">
        <v>672</v>
      </c>
      <c r="D9" s="2288"/>
      <c r="E9" s="2294"/>
      <c r="F9" s="741"/>
      <c r="G9" s="741"/>
      <c r="H9" s="2271"/>
      <c r="I9" s="2271"/>
      <c r="J9" s="2271"/>
      <c r="K9" s="2271"/>
      <c r="L9" s="2271"/>
      <c r="M9" s="2271"/>
      <c r="N9" s="2271"/>
      <c r="O9" s="2271"/>
      <c r="P9" s="2271"/>
      <c r="Q9" s="2271"/>
      <c r="R9" s="2271"/>
    </row>
    <row r="10" spans="1:29" s="570" customFormat="1" ht="14.4">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7.399999999999999">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7.399999999999999">
      <c r="A13" s="2305" t="s">
        <v>674</v>
      </c>
      <c r="B13" s="2303"/>
      <c r="C13" s="2303"/>
      <c r="D13" s="2306"/>
      <c r="E13" s="2303"/>
      <c r="F13" s="2303"/>
      <c r="G13" s="2303"/>
    </row>
    <row r="14" spans="1:29" ht="14.4">
      <c r="A14" s="2307"/>
      <c r="B14" s="2308"/>
      <c r="C14" s="2309" t="s">
        <v>652</v>
      </c>
      <c r="D14" s="2288"/>
      <c r="E14" s="2310"/>
      <c r="F14" s="2310"/>
      <c r="G14" s="2282" t="s">
        <v>653</v>
      </c>
    </row>
    <row r="15" spans="1:29" ht="55.2">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1.4">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1.4">
      <c r="A17" s="1036"/>
      <c r="B17" s="2314" t="s">
        <v>663</v>
      </c>
      <c r="C17" s="2315" t="str">
        <f>C5</f>
        <v>估价对象位于XX商圈，周边办公楼项目较多，入驻率高，办公集聚程度较好</v>
      </c>
      <c r="D17" s="2294"/>
      <c r="E17" s="2316"/>
      <c r="F17" s="2317" t="s">
        <v>675</v>
      </c>
      <c r="G17" s="856"/>
    </row>
    <row r="18" spans="1:18" ht="55.2">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7.6">
      <c r="A19" s="1036"/>
      <c r="B19" s="2317" t="s">
        <v>675</v>
      </c>
      <c r="C19" s="856"/>
      <c r="D19" s="2288"/>
      <c r="E19" s="2316"/>
      <c r="F19" s="784" t="s">
        <v>665</v>
      </c>
      <c r="G19" s="610" t="str">
        <f>G5</f>
        <v>估价对象所在区域公共配套设施齐备情况</v>
      </c>
    </row>
    <row r="20" spans="1:18" ht="41.4">
      <c r="A20" s="1036"/>
      <c r="B20" s="2317" t="s">
        <v>676</v>
      </c>
      <c r="C20" s="2315" t="str">
        <f>C9</f>
        <v>区域自然环境：；人文环境；综合评价环境状况一般</v>
      </c>
      <c r="D20" s="2294"/>
      <c r="E20" s="2316"/>
      <c r="F20" s="784" t="s">
        <v>667</v>
      </c>
      <c r="G20" s="610" t="str">
        <f>G6</f>
        <v>估价对象所在区域基础设施水平</v>
      </c>
    </row>
    <row r="21" spans="1:18" ht="27.6">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4.4">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4.4">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9" sqref="E9"/>
    </sheetView>
  </sheetViews>
  <sheetFormatPr defaultColWidth="9" defaultRowHeight="14.4"/>
  <cols>
    <col min="1" max="1" width="23.33203125" style="2259" customWidth="1"/>
    <col min="2" max="9" width="15.77734375" style="2259" customWidth="1"/>
    <col min="10" max="16384" width="9" style="2259"/>
  </cols>
  <sheetData>
    <row r="1" spans="1:10" ht="16.2">
      <c r="A1" s="2260" t="s">
        <v>679</v>
      </c>
      <c r="B1" s="2260">
        <f>SUM(B14:B23)</f>
        <v>103793.58</v>
      </c>
      <c r="C1" s="2261"/>
      <c r="D1" s="2261"/>
      <c r="E1" s="2261"/>
      <c r="F1" s="2261"/>
      <c r="G1" s="2262"/>
    </row>
    <row r="2" spans="1:10" ht="16.2">
      <c r="A2" s="2260" t="s">
        <v>680</v>
      </c>
      <c r="B2" s="2260">
        <f>SUM(C14:C23)</f>
        <v>29715.57</v>
      </c>
      <c r="C2" s="2261"/>
      <c r="D2" s="2261"/>
      <c r="E2" s="2261"/>
      <c r="F2" s="2261"/>
      <c r="G2" s="2262"/>
    </row>
    <row r="3" spans="1:10" ht="15.6">
      <c r="A3" s="2260" t="s">
        <v>681</v>
      </c>
      <c r="B3" s="2263">
        <f>项目基本情况!D3</f>
        <v>43761</v>
      </c>
      <c r="C3" s="2261"/>
      <c r="D3" s="2261"/>
      <c r="E3" s="2261"/>
      <c r="F3" s="2261"/>
      <c r="G3" s="2262"/>
    </row>
    <row r="4" spans="1:10" ht="31.2">
      <c r="A4" s="2260" t="s">
        <v>682</v>
      </c>
      <c r="B4" s="2260" t="s">
        <v>683</v>
      </c>
      <c r="C4" s="2260" t="s">
        <v>684</v>
      </c>
      <c r="D4" s="2260" t="s">
        <v>685</v>
      </c>
      <c r="E4" s="2261"/>
      <c r="F4" s="2262"/>
      <c r="G4" s="2262"/>
    </row>
    <row r="5" spans="1:10" ht="15.6">
      <c r="A5" s="2260" t="s">
        <v>686</v>
      </c>
      <c r="B5" s="2260">
        <f ca="1">SUM(D14:D23)</f>
        <v>271310</v>
      </c>
      <c r="C5" s="2260">
        <f ca="1">ROUND(B5*10000/$B$1,0)</f>
        <v>26139</v>
      </c>
      <c r="D5" s="2260">
        <f ca="1">ROUND(B5*10000/$B$2,0)</f>
        <v>91302</v>
      </c>
      <c r="E5" s="2261"/>
      <c r="F5" s="2262"/>
      <c r="G5" s="2262"/>
    </row>
    <row r="6" spans="1:10" ht="15.6">
      <c r="A6" s="2260" t="s">
        <v>687</v>
      </c>
      <c r="B6" s="2260">
        <f ca="1">SUM(G14:G23)</f>
        <v>271310</v>
      </c>
      <c r="C6" s="2260">
        <f ca="1">ROUND(B6*10000/$B$1,0)</f>
        <v>26139</v>
      </c>
      <c r="D6" s="2260">
        <f ca="1">ROUND(B6*10000/$B$2,0)</f>
        <v>91302</v>
      </c>
      <c r="E6" s="2261"/>
      <c r="F6" s="2262"/>
      <c r="G6" s="2262"/>
    </row>
    <row r="7" spans="1:10" ht="15.6">
      <c r="A7" s="2260" t="s">
        <v>688</v>
      </c>
      <c r="B7" s="2260">
        <f>SUM(H14:H23)</f>
        <v>0</v>
      </c>
      <c r="C7" s="2260">
        <f>ROUND(B7*10000/$B$1,0)</f>
        <v>0</v>
      </c>
      <c r="D7" s="2260">
        <f>ROUND(B7*10000/$B$2,0)</f>
        <v>0</v>
      </c>
      <c r="E7" s="2261"/>
      <c r="F7" s="2262"/>
      <c r="G7" s="2262"/>
    </row>
    <row r="8" spans="1:10" ht="15.6">
      <c r="A8" s="2260" t="s">
        <v>328</v>
      </c>
      <c r="B8" s="2260">
        <f>SUM(I14:I23)</f>
        <v>0</v>
      </c>
      <c r="C8" s="2260">
        <f>ROUND(B8*10000/$B$1,0)</f>
        <v>0</v>
      </c>
      <c r="D8" s="2260">
        <f>ROUND(B8*10000/$B$2,0)</f>
        <v>0</v>
      </c>
      <c r="E8" s="2261"/>
      <c r="F8" s="2262"/>
      <c r="G8" s="2262"/>
    </row>
    <row r="9" spans="1:10" ht="15.6">
      <c r="A9" s="2260" t="s">
        <v>689</v>
      </c>
      <c r="B9" s="2264"/>
      <c r="C9" s="2261"/>
      <c r="D9" s="2261"/>
      <c r="E9" s="2261"/>
      <c r="F9" s="2262"/>
      <c r="G9" s="2262"/>
    </row>
    <row r="10" spans="1:10" ht="15.6">
      <c r="A10" s="2260" t="s">
        <v>690</v>
      </c>
      <c r="B10" s="2264"/>
      <c r="C10" s="2261"/>
      <c r="D10" s="2261"/>
      <c r="E10" s="2261"/>
      <c r="F10" s="2262"/>
      <c r="G10" s="2262"/>
    </row>
    <row r="11" spans="1:10" ht="15.6">
      <c r="A11" s="2260" t="s">
        <v>691</v>
      </c>
      <c r="B11" s="2264"/>
      <c r="C11" s="2261"/>
      <c r="D11" s="2261"/>
      <c r="E11" s="2261"/>
      <c r="F11" s="2262"/>
      <c r="G11" s="2262"/>
    </row>
    <row r="12" spans="1:10" ht="15.6">
      <c r="A12" s="2261"/>
      <c r="B12" s="2261"/>
      <c r="C12" s="2261"/>
      <c r="D12" s="2261"/>
      <c r="E12" s="2261"/>
      <c r="F12" s="2262"/>
      <c r="G12" s="2262"/>
    </row>
    <row r="13" spans="1:10" ht="31.8">
      <c r="A13" s="2265" t="s">
        <v>692</v>
      </c>
      <c r="B13" s="2266" t="s">
        <v>679</v>
      </c>
      <c r="C13" s="2266" t="s">
        <v>680</v>
      </c>
      <c r="D13" s="2266" t="s">
        <v>693</v>
      </c>
      <c r="E13" s="2260" t="s">
        <v>684</v>
      </c>
      <c r="F13" s="2260" t="s">
        <v>685</v>
      </c>
      <c r="G13" s="2266" t="s">
        <v>694</v>
      </c>
      <c r="H13" s="2266" t="s">
        <v>695</v>
      </c>
      <c r="I13" s="2266" t="s">
        <v>696</v>
      </c>
      <c r="J13" s="2262"/>
    </row>
    <row r="14" spans="1:10" ht="15.6">
      <c r="A14" s="2267" t="s">
        <v>697</v>
      </c>
      <c r="B14" s="2266">
        <f>结果表!B118</f>
        <v>103793.58</v>
      </c>
      <c r="C14" s="2266">
        <f>结果表!C118</f>
        <v>29715.57</v>
      </c>
      <c r="D14" s="2266">
        <f ca="1">结果表!H118</f>
        <v>271310</v>
      </c>
      <c r="E14" s="2266">
        <f ca="1">ROUND(D14*10000/B14,0)</f>
        <v>26139</v>
      </c>
      <c r="F14" s="2266">
        <f ca="1">ROUND(D14*10000/C14,0)</f>
        <v>91302</v>
      </c>
      <c r="G14" s="2266">
        <f ca="1">结果表!D122</f>
        <v>271310</v>
      </c>
      <c r="H14" s="2266" t="str">
        <f>结果表!D124</f>
        <v>——</v>
      </c>
      <c r="I14" s="2266" t="str">
        <f>结果表!D126</f>
        <v>——</v>
      </c>
      <c r="J14" s="2262"/>
    </row>
    <row r="15" spans="1:10" ht="15.6">
      <c r="A15" s="2267" t="s">
        <v>698</v>
      </c>
      <c r="B15" s="2268"/>
      <c r="C15" s="2268"/>
      <c r="D15" s="2268"/>
      <c r="E15" s="2266" t="e">
        <f t="shared" ref="E15:E23" si="0">ROUND(D15*10000/B15,0)</f>
        <v>#DIV/0!</v>
      </c>
      <c r="F15" s="2266" t="e">
        <f t="shared" ref="F15:F23" si="1">ROUND(D15*10000/C15,0)</f>
        <v>#DIV/0!</v>
      </c>
      <c r="G15" s="2269"/>
      <c r="H15" s="2269"/>
      <c r="I15" s="2268"/>
      <c r="J15" s="2262"/>
    </row>
    <row r="16" spans="1:10" ht="15.6">
      <c r="A16" s="2267" t="s">
        <v>699</v>
      </c>
      <c r="B16" s="2268"/>
      <c r="C16" s="2268"/>
      <c r="D16" s="2268"/>
      <c r="E16" s="2266" t="e">
        <f t="shared" si="0"/>
        <v>#DIV/0!</v>
      </c>
      <c r="F16" s="2266" t="e">
        <f t="shared" si="1"/>
        <v>#DIV/0!</v>
      </c>
      <c r="G16" s="2269"/>
      <c r="H16" s="2269"/>
      <c r="I16" s="2268"/>
    </row>
    <row r="17" spans="1:9" ht="15.6">
      <c r="A17" s="2267" t="s">
        <v>700</v>
      </c>
      <c r="B17" s="2268"/>
      <c r="C17" s="2268"/>
      <c r="D17" s="2268"/>
      <c r="E17" s="2266" t="e">
        <f t="shared" si="0"/>
        <v>#DIV/0!</v>
      </c>
      <c r="F17" s="2266" t="e">
        <f t="shared" si="1"/>
        <v>#DIV/0!</v>
      </c>
      <c r="G17" s="2269"/>
      <c r="H17" s="2269"/>
      <c r="I17" s="2268"/>
    </row>
    <row r="18" spans="1:9" ht="15.6">
      <c r="A18" s="2267" t="s">
        <v>701</v>
      </c>
      <c r="B18" s="2268"/>
      <c r="C18" s="2268"/>
      <c r="D18" s="2268"/>
      <c r="E18" s="2266" t="e">
        <f t="shared" si="0"/>
        <v>#DIV/0!</v>
      </c>
      <c r="F18" s="2266" t="e">
        <f t="shared" si="1"/>
        <v>#DIV/0!</v>
      </c>
      <c r="G18" s="2268"/>
      <c r="H18" s="2268"/>
      <c r="I18" s="2268"/>
    </row>
    <row r="19" spans="1:9" ht="15.6">
      <c r="A19" s="2267" t="s">
        <v>702</v>
      </c>
      <c r="B19" s="2268"/>
      <c r="C19" s="2268"/>
      <c r="D19" s="2268"/>
      <c r="E19" s="2266" t="e">
        <f t="shared" si="0"/>
        <v>#DIV/0!</v>
      </c>
      <c r="F19" s="2266" t="e">
        <f t="shared" si="1"/>
        <v>#DIV/0!</v>
      </c>
      <c r="G19" s="2268"/>
      <c r="H19" s="2268"/>
      <c r="I19" s="2268"/>
    </row>
    <row r="20" spans="1:9" ht="15.6">
      <c r="A20" s="2267" t="s">
        <v>703</v>
      </c>
      <c r="B20" s="2268"/>
      <c r="C20" s="2268"/>
      <c r="D20" s="2268"/>
      <c r="E20" s="2266" t="e">
        <f t="shared" si="0"/>
        <v>#DIV/0!</v>
      </c>
      <c r="F20" s="2266" t="e">
        <f t="shared" si="1"/>
        <v>#DIV/0!</v>
      </c>
      <c r="G20" s="2268"/>
      <c r="H20" s="2268"/>
      <c r="I20" s="2268"/>
    </row>
    <row r="21" spans="1:9" ht="15.6">
      <c r="A21" s="2267" t="s">
        <v>704</v>
      </c>
      <c r="B21" s="2268"/>
      <c r="C21" s="2268"/>
      <c r="D21" s="2268"/>
      <c r="E21" s="2266" t="e">
        <f t="shared" si="0"/>
        <v>#DIV/0!</v>
      </c>
      <c r="F21" s="2266" t="e">
        <f t="shared" si="1"/>
        <v>#DIV/0!</v>
      </c>
      <c r="G21" s="2268"/>
      <c r="H21" s="2268"/>
      <c r="I21" s="2268"/>
    </row>
    <row r="22" spans="1:9" ht="15.6">
      <c r="A22" s="2267" t="s">
        <v>705</v>
      </c>
      <c r="B22" s="2268"/>
      <c r="C22" s="2268"/>
      <c r="D22" s="2268"/>
      <c r="E22" s="2266" t="e">
        <f t="shared" si="0"/>
        <v>#DIV/0!</v>
      </c>
      <c r="F22" s="2266" t="e">
        <f t="shared" si="1"/>
        <v>#DIV/0!</v>
      </c>
      <c r="G22" s="2268"/>
      <c r="H22" s="2268"/>
      <c r="I22" s="2268"/>
    </row>
    <row r="23" spans="1:9" ht="15.6">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F24" sqref="F24"/>
    </sheetView>
  </sheetViews>
  <sheetFormatPr defaultColWidth="12.6640625" defaultRowHeight="21.75" customHeight="1"/>
  <cols>
    <col min="1" max="2" width="12.6640625" style="1982"/>
    <col min="3" max="4" width="12.6640625" style="1982" customWidth="1"/>
    <col min="5" max="9" width="12.6640625" style="1982"/>
    <col min="10" max="11" width="12.6640625" style="241" customWidth="1"/>
    <col min="12" max="12" width="12.6640625" style="241"/>
    <col min="13" max="13" width="14.109375" style="241" customWidth="1"/>
    <col min="14" max="26" width="12.6640625" style="241"/>
    <col min="27" max="35" width="12.6640625" style="1981"/>
    <col min="36" max="16384" width="12.6640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140" t="str">
        <f>项目基本情况!S2</f>
        <v>北京市房地产</v>
      </c>
      <c r="B2" s="3141"/>
      <c r="C2" s="3141"/>
      <c r="D2" s="3141"/>
      <c r="E2" s="3141"/>
      <c r="F2" s="3141"/>
      <c r="G2" s="3141"/>
      <c r="H2" s="3141"/>
      <c r="I2" s="3142"/>
    </row>
    <row r="3" spans="1:12" ht="13.2">
      <c r="A3" s="3143" t="s">
        <v>710</v>
      </c>
      <c r="B3" s="3144"/>
      <c r="C3" s="3144"/>
      <c r="D3" s="3144"/>
      <c r="E3" s="3144"/>
      <c r="F3" s="3144"/>
      <c r="G3" s="3144"/>
      <c r="H3" s="3144"/>
      <c r="I3" s="3144"/>
    </row>
    <row r="4" spans="1:12" ht="14.4">
      <c r="A4" s="1989" t="s">
        <v>711</v>
      </c>
      <c r="B4" s="1990" t="s">
        <v>712</v>
      </c>
      <c r="C4" s="1991" t="s">
        <v>713</v>
      </c>
      <c r="D4" s="1991" t="s">
        <v>584</v>
      </c>
      <c r="E4" s="3119" t="s">
        <v>714</v>
      </c>
      <c r="F4" s="3121"/>
      <c r="G4" s="3121"/>
      <c r="H4" s="3121"/>
      <c r="I4" s="3120"/>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3.2">
      <c r="A5" s="3069" t="s">
        <v>715</v>
      </c>
      <c r="B5" s="3013">
        <v>25</v>
      </c>
      <c r="C5" s="3079">
        <v>20</v>
      </c>
      <c r="D5" s="3153">
        <v>20</v>
      </c>
      <c r="E5" s="1353" t="s">
        <v>716</v>
      </c>
      <c r="F5" s="1995"/>
      <c r="G5" s="1995"/>
      <c r="H5" s="1995"/>
      <c r="I5" s="1564"/>
    </row>
    <row r="6" spans="1:12" ht="13.2">
      <c r="A6" s="3069"/>
      <c r="B6" s="3013"/>
      <c r="C6" s="3080"/>
      <c r="D6" s="3153"/>
      <c r="E6" s="1353" t="s">
        <v>717</v>
      </c>
      <c r="F6" s="1995"/>
      <c r="G6" s="1995"/>
      <c r="H6" s="1995"/>
      <c r="I6" s="1564"/>
    </row>
    <row r="7" spans="1:12" ht="13.2">
      <c r="A7" s="3069"/>
      <c r="B7" s="3013"/>
      <c r="C7" s="3081"/>
      <c r="D7" s="3153"/>
      <c r="E7" s="1353" t="s">
        <v>718</v>
      </c>
      <c r="F7" s="1995"/>
      <c r="G7" s="1995"/>
      <c r="H7" s="1995"/>
      <c r="I7" s="1564"/>
    </row>
    <row r="8" spans="1:12" ht="13.2">
      <c r="A8" s="3069" t="s">
        <v>719</v>
      </c>
      <c r="B8" s="3013">
        <v>15</v>
      </c>
      <c r="C8" s="3079">
        <v>10</v>
      </c>
      <c r="D8" s="3153">
        <v>10</v>
      </c>
      <c r="E8" s="1353" t="s">
        <v>720</v>
      </c>
      <c r="F8" s="1995"/>
      <c r="G8" s="1995"/>
      <c r="H8" s="1995"/>
      <c r="I8" s="1564"/>
    </row>
    <row r="9" spans="1:12" ht="13.2">
      <c r="A9" s="3069"/>
      <c r="B9" s="3013"/>
      <c r="C9" s="3081"/>
      <c r="D9" s="3153"/>
      <c r="E9" s="1353" t="s">
        <v>721</v>
      </c>
      <c r="F9" s="1995"/>
      <c r="G9" s="1995"/>
      <c r="H9" s="1995"/>
      <c r="I9" s="1564"/>
    </row>
    <row r="10" spans="1:12" ht="13.2">
      <c r="A10" s="3069" t="s">
        <v>722</v>
      </c>
      <c r="B10" s="3013">
        <v>15</v>
      </c>
      <c r="C10" s="3079">
        <v>9</v>
      </c>
      <c r="D10" s="3153">
        <v>9</v>
      </c>
      <c r="E10" s="1353" t="s">
        <v>723</v>
      </c>
      <c r="F10" s="1995"/>
      <c r="G10" s="1995"/>
      <c r="H10" s="1995"/>
      <c r="I10" s="1564"/>
    </row>
    <row r="11" spans="1:12" ht="13.2">
      <c r="A11" s="3069"/>
      <c r="B11" s="3013"/>
      <c r="C11" s="3081"/>
      <c r="D11" s="3153"/>
      <c r="E11" s="1353" t="s">
        <v>724</v>
      </c>
      <c r="F11" s="1995"/>
      <c r="G11" s="1995"/>
      <c r="H11" s="1995"/>
      <c r="I11" s="1564"/>
    </row>
    <row r="12" spans="1:12" ht="13.2">
      <c r="A12" s="3069" t="s">
        <v>725</v>
      </c>
      <c r="B12" s="3013">
        <v>15</v>
      </c>
      <c r="C12" s="3079">
        <v>10</v>
      </c>
      <c r="D12" s="3153">
        <v>10</v>
      </c>
      <c r="E12" s="1353" t="s">
        <v>726</v>
      </c>
      <c r="F12" s="1995"/>
      <c r="G12" s="1995"/>
      <c r="H12" s="1995"/>
      <c r="I12" s="1564"/>
    </row>
    <row r="13" spans="1:12" ht="13.2">
      <c r="A13" s="3069"/>
      <c r="B13" s="3013"/>
      <c r="C13" s="3081"/>
      <c r="D13" s="3153"/>
      <c r="E13" s="1353" t="s">
        <v>727</v>
      </c>
      <c r="F13" s="1995"/>
      <c r="G13" s="1995"/>
      <c r="H13" s="1995"/>
      <c r="I13" s="1564"/>
    </row>
    <row r="14" spans="1:12" ht="13.2">
      <c r="A14" s="3069" t="s">
        <v>728</v>
      </c>
      <c r="B14" s="3013">
        <v>30</v>
      </c>
      <c r="C14" s="3079">
        <v>20</v>
      </c>
      <c r="D14" s="3153">
        <v>20</v>
      </c>
      <c r="E14" s="1353" t="s">
        <v>729</v>
      </c>
      <c r="F14" s="1995"/>
      <c r="G14" s="1995"/>
      <c r="H14" s="1995"/>
      <c r="I14" s="1564"/>
    </row>
    <row r="15" spans="1:12" ht="13.2">
      <c r="A15" s="3069"/>
      <c r="B15" s="3013"/>
      <c r="C15" s="3080"/>
      <c r="D15" s="3153"/>
      <c r="E15" s="1353" t="s">
        <v>730</v>
      </c>
      <c r="F15" s="1995"/>
      <c r="G15" s="1995"/>
      <c r="H15" s="1995"/>
      <c r="I15" s="1564"/>
    </row>
    <row r="16" spans="1:12" ht="13.2">
      <c r="A16" s="3069"/>
      <c r="B16" s="3013"/>
      <c r="C16" s="3081"/>
      <c r="D16" s="3153"/>
      <c r="E16" s="1353" t="s">
        <v>731</v>
      </c>
      <c r="F16" s="1995"/>
      <c r="G16" s="1995"/>
      <c r="H16" s="1995"/>
      <c r="I16" s="1564"/>
    </row>
    <row r="17" spans="1:35" ht="14.4">
      <c r="A17" s="1996" t="s">
        <v>732</v>
      </c>
      <c r="B17" s="1997"/>
      <c r="C17" s="1998">
        <f>SUM(C5:C16)</f>
        <v>69</v>
      </c>
      <c r="D17" s="1998">
        <f>SUM(D5:D16)</f>
        <v>69</v>
      </c>
      <c r="E17" s="282"/>
      <c r="F17" s="282"/>
      <c r="G17" s="282"/>
      <c r="H17" s="282"/>
      <c r="I17" s="282"/>
      <c r="K17" s="2125"/>
      <c r="L17" s="2126" t="s">
        <v>733</v>
      </c>
      <c r="M17" s="2126" t="s">
        <v>734</v>
      </c>
    </row>
    <row r="18" spans="1:35" ht="14.4">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4.4">
      <c r="A19" s="2002" t="s">
        <v>736</v>
      </c>
      <c r="B19" s="2003" t="s">
        <v>737</v>
      </c>
      <c r="C19" s="2004">
        <f ca="1">SUMIF(INDIRECT("'"&amp;C4&amp;"'"&amp;"!A:A"),结果表!B19,INDIRECT("'"&amp;C4&amp;"'"&amp;"!B:B"))</f>
        <v>270432</v>
      </c>
      <c r="D19" s="932">
        <f ca="1">SUMIF(INDIRECT("'"&amp;D4&amp;"'"&amp;"!A:A"),结果表!B19,INDIRECT("'"&amp;D4&amp;"'"&amp;"!B:B"))</f>
        <v>272187</v>
      </c>
      <c r="E19" s="2002" t="s">
        <v>738</v>
      </c>
      <c r="F19" s="2003" t="s">
        <v>737</v>
      </c>
      <c r="G19" s="2005">
        <f ca="1">ROUND(C19*$C$18+D19*$D$18,0)</f>
        <v>271310</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4.4">
      <c r="A20" s="2007"/>
      <c r="B20" s="2008" t="s">
        <v>740</v>
      </c>
      <c r="C20" s="1195">
        <f ca="1">SUMIF(INDIRECT("'"&amp;C4&amp;"'"&amp;"!A:A"),结果表!B20,INDIRECT("'"&amp;C4&amp;"'"&amp;"!B:B"))</f>
        <v>26055</v>
      </c>
      <c r="D20" s="1198">
        <f ca="1">SUMIF(INDIRECT("'"&amp;D4&amp;"'"&amp;"!A:A"),结果表!B20,INDIRECT("'"&amp;D4&amp;"'"&amp;"!B:B"))</f>
        <v>26907</v>
      </c>
      <c r="E20" s="2007"/>
      <c r="F20" s="2008" t="s">
        <v>740</v>
      </c>
      <c r="G20" s="2009">
        <f ca="1">ROUND(C20*$C$18+D20*$D$18,0)</f>
        <v>26481</v>
      </c>
      <c r="H20" s="1464" t="s">
        <v>741</v>
      </c>
      <c r="I20" s="282"/>
    </row>
    <row r="21" spans="1:35" ht="15" customHeight="1">
      <c r="A21" s="1949"/>
      <c r="B21" s="2010" t="s">
        <v>742</v>
      </c>
      <c r="C21" s="2011">
        <f ca="1">ROUND(C19*10000/L19,0)</f>
        <v>91007</v>
      </c>
      <c r="D21" s="2012">
        <f ca="1">ROUND(D19*10000/L19,0)</f>
        <v>91597</v>
      </c>
      <c r="E21" s="1949"/>
      <c r="F21" s="2010" t="s">
        <v>742</v>
      </c>
      <c r="G21" s="2013">
        <f ca="1">ROUND(G19*10000/L19,0)</f>
        <v>91302</v>
      </c>
      <c r="H21" s="2014" t="s">
        <v>741</v>
      </c>
      <c r="I21" s="282"/>
    </row>
    <row r="22" spans="1:35" ht="14.4">
      <c r="A22" s="2015" t="s">
        <v>743</v>
      </c>
      <c r="B22" s="2016"/>
      <c r="C22" s="2017"/>
      <c r="D22" s="2018">
        <f ca="1">IF(C19&lt;D19,D19/C19-1,C19/D19-1)</f>
        <v>6.489616613418514E-3</v>
      </c>
      <c r="E22" s="282"/>
      <c r="F22" s="282"/>
      <c r="G22" s="282"/>
      <c r="H22" s="282"/>
      <c r="I22" s="282"/>
    </row>
    <row r="23" spans="1:35" ht="13.2">
      <c r="A23" s="1984"/>
      <c r="B23" s="1984"/>
      <c r="C23" s="1984"/>
      <c r="D23" s="1984"/>
      <c r="E23" s="282"/>
      <c r="F23" s="282"/>
      <c r="G23" s="282"/>
      <c r="H23" s="282"/>
      <c r="I23" s="282"/>
    </row>
    <row r="24" spans="1:35" ht="14.4">
      <c r="A24" s="3070" t="s">
        <v>744</v>
      </c>
      <c r="B24" s="2003" t="s">
        <v>737</v>
      </c>
      <c r="C24" s="2005">
        <f>IF(B30=0,0,D30)</f>
        <v>0</v>
      </c>
      <c r="D24" s="2019"/>
      <c r="E24" s="282"/>
      <c r="F24" s="282"/>
      <c r="G24" s="282"/>
      <c r="H24" s="282"/>
      <c r="I24" s="282"/>
    </row>
    <row r="25" spans="1:35" ht="14.4">
      <c r="A25" s="3071"/>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3.8">
      <c r="A27" s="2022"/>
      <c r="B27" s="2023">
        <v>0</v>
      </c>
      <c r="C27" s="2023">
        <v>0</v>
      </c>
      <c r="D27" s="2024">
        <f>ROUND(C27*B27/10000,0)</f>
        <v>0</v>
      </c>
      <c r="E27" s="282"/>
      <c r="F27" s="282"/>
      <c r="G27" s="282"/>
      <c r="H27" s="282"/>
      <c r="I27" s="282"/>
    </row>
    <row r="28" spans="1:35" ht="13.8">
      <c r="A28" s="2022"/>
      <c r="B28" s="2023"/>
      <c r="C28" s="2023"/>
      <c r="D28" s="2024"/>
      <c r="E28" s="282"/>
      <c r="F28" s="282"/>
      <c r="G28" s="282"/>
      <c r="H28" s="282"/>
      <c r="I28" s="282"/>
    </row>
    <row r="29" spans="1:35" ht="13.8">
      <c r="A29" s="2022"/>
      <c r="B29" s="2023"/>
      <c r="C29" s="2023"/>
      <c r="D29" s="2024"/>
      <c r="E29" s="282"/>
      <c r="F29" s="282"/>
      <c r="G29" s="282"/>
      <c r="H29" s="282"/>
      <c r="I29" s="282"/>
    </row>
    <row r="30" spans="1:35" ht="14.4">
      <c r="A30" s="2023" t="s">
        <v>749</v>
      </c>
      <c r="B30" s="2023"/>
      <c r="C30" s="2023"/>
      <c r="D30" s="2023"/>
      <c r="E30" s="2025" t="s">
        <v>750</v>
      </c>
      <c r="F30" s="282"/>
      <c r="G30" s="282"/>
      <c r="H30" s="282"/>
      <c r="I30" s="282"/>
    </row>
    <row r="31" spans="1:35" s="1979" customFormat="1" ht="13.8">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4.4">
      <c r="A32" s="2027" t="s">
        <v>751</v>
      </c>
      <c r="B32" s="2028"/>
      <c r="C32" s="2029">
        <f ca="1">IF(D32="总价",G19-C24,G20-C25)</f>
        <v>271310</v>
      </c>
      <c r="D32" s="2030" t="s">
        <v>752</v>
      </c>
      <c r="E32" s="282"/>
      <c r="F32" s="282"/>
      <c r="G32" s="282"/>
      <c r="H32" s="282"/>
      <c r="I32" s="282"/>
    </row>
    <row r="33" spans="1:15" ht="14.4">
      <c r="A33" s="1889" t="s">
        <v>753</v>
      </c>
      <c r="B33" s="2031"/>
      <c r="C33" s="2032" t="s">
        <v>754</v>
      </c>
      <c r="D33" s="2033" t="s">
        <v>713</v>
      </c>
      <c r="E33" s="2034" t="s">
        <v>755</v>
      </c>
      <c r="F33" s="2035" t="str">
        <f>IF(D32="楼面单价","取值（单价）","取值（总价）")</f>
        <v>取值（总价）</v>
      </c>
      <c r="G33" s="282"/>
      <c r="H33" s="282"/>
      <c r="I33" s="282"/>
    </row>
    <row r="34" spans="1:15" ht="14.4">
      <c r="A34" s="2036"/>
      <c r="B34" s="2037" t="s">
        <v>756</v>
      </c>
      <c r="C34" s="2038">
        <f ca="1">IF(C33="自定义",F34,C32-C35)</f>
        <v>217591</v>
      </c>
      <c r="D34" s="2039">
        <f ca="1">IF(C33="自定义",ROUND(C34/C32,3),IF(C33="收益比率",SUMIF(INDIRECT("'"&amp;D33&amp;"'"&amp;"!b:b"),"土地收益比率",INDIRECT("'"&amp;D33&amp;"'"&amp;"!c:c")),SUMIF(INDIRECT("'"&amp;D33&amp;"'"&amp;"!b:b"),"土地成本比率",INDIRECT("'"&amp;D33&amp;"'"&amp;"!c:c"))))</f>
        <v>0.80200000000000005</v>
      </c>
      <c r="E34" s="2040" t="s">
        <v>757</v>
      </c>
      <c r="F34" s="2041"/>
      <c r="G34" s="282"/>
      <c r="H34" s="282"/>
      <c r="I34" s="282"/>
    </row>
    <row r="35" spans="1:15" ht="14.4">
      <c r="A35" s="2042"/>
      <c r="B35" s="2043" t="s">
        <v>758</v>
      </c>
      <c r="C35" s="2044">
        <f ca="1">IF(C33="自定义",F35,ROUND(C32*D35,0))</f>
        <v>53719</v>
      </c>
      <c r="D35" s="2045">
        <f ca="1">IF(C33="自定义",ROUND(C35/C32,3),IF(C33="收益比率",SUMIF(INDIRECT("'"&amp;D33&amp;"'"&amp;"!b:b"),"建筑物收益比率",INDIRECT("'"&amp;D33&amp;"'"&amp;"!c:c")),SUMIF(INDIRECT("'"&amp;D33&amp;"'"&amp;"!b:b"),"建筑物成本比率",INDIRECT("'"&amp;D33&amp;"'"&amp;"!c:c"))))</f>
        <v>0.19800000000000001</v>
      </c>
      <c r="E35" s="2046" t="s">
        <v>759</v>
      </c>
      <c r="F35" s="2047"/>
      <c r="G35" s="282"/>
      <c r="H35" s="282"/>
      <c r="I35" s="282"/>
    </row>
    <row r="36" spans="1:15" ht="14.4">
      <c r="A36" s="3072" t="s">
        <v>760</v>
      </c>
      <c r="B36" s="2048" t="s">
        <v>761</v>
      </c>
      <c r="C36" s="2049"/>
      <c r="D36" s="2050"/>
      <c r="E36" s="2051"/>
      <c r="F36" s="2052"/>
      <c r="G36" s="282"/>
      <c r="H36" s="282"/>
      <c r="I36" s="282"/>
    </row>
    <row r="37" spans="1:15" ht="14.4">
      <c r="A37" s="3073"/>
      <c r="B37" s="2053" t="s">
        <v>762</v>
      </c>
      <c r="C37" s="2054"/>
      <c r="D37" s="2055"/>
      <c r="E37" s="2055"/>
      <c r="F37" s="2052"/>
      <c r="G37" s="282"/>
      <c r="H37" s="282"/>
      <c r="I37" s="282"/>
    </row>
    <row r="38" spans="1:15" ht="14.4">
      <c r="A38" s="3074"/>
      <c r="B38" s="2056" t="s">
        <v>763</v>
      </c>
      <c r="C38" s="2057"/>
      <c r="D38" s="2058" t="s">
        <v>764</v>
      </c>
      <c r="E38" s="2055"/>
      <c r="F38" s="2052"/>
      <c r="G38" s="282"/>
      <c r="H38" s="282"/>
      <c r="I38" s="282"/>
    </row>
    <row r="39" spans="1:15" ht="14.4">
      <c r="A39" s="2007" t="s">
        <v>765</v>
      </c>
      <c r="B39" s="2059" t="s">
        <v>746</v>
      </c>
      <c r="C39" s="2060" t="s">
        <v>747</v>
      </c>
      <c r="D39" s="2060" t="s">
        <v>766</v>
      </c>
      <c r="E39" s="2061" t="s">
        <v>748</v>
      </c>
      <c r="F39" s="2052"/>
      <c r="G39" s="282"/>
      <c r="H39" s="282"/>
      <c r="I39" s="282"/>
    </row>
    <row r="40" spans="1:15" ht="13.8">
      <c r="A40" s="2062" t="s">
        <v>767</v>
      </c>
      <c r="B40" s="2063"/>
      <c r="C40" s="300"/>
      <c r="D40" s="300"/>
      <c r="E40" s="2064"/>
      <c r="F40" s="2052"/>
      <c r="G40" s="282"/>
      <c r="H40" s="282"/>
      <c r="I40" s="282"/>
    </row>
    <row r="41" spans="1:15" ht="13.8">
      <c r="A41" s="2062" t="s">
        <v>768</v>
      </c>
      <c r="B41" s="2063"/>
      <c r="C41" s="300"/>
      <c r="D41" s="300"/>
      <c r="E41" s="2064"/>
      <c r="F41" s="2052"/>
      <c r="G41" s="282"/>
      <c r="H41" s="282"/>
      <c r="I41" s="282"/>
    </row>
    <row r="42" spans="1:15" ht="13.8">
      <c r="A42" s="2065"/>
      <c r="B42" s="2066"/>
      <c r="C42" s="2067"/>
      <c r="D42" s="2067"/>
      <c r="E42" s="2047"/>
      <c r="F42" s="2052"/>
      <c r="G42" s="282"/>
      <c r="H42" s="282"/>
      <c r="I42" s="282"/>
    </row>
    <row r="43" spans="1:15" ht="13.2">
      <c r="A43" s="2068"/>
      <c r="B43" s="2068"/>
      <c r="C43" s="2068"/>
      <c r="D43" s="2068"/>
      <c r="E43" s="2068"/>
      <c r="F43" s="2069"/>
      <c r="G43" s="2069"/>
      <c r="H43" s="2069"/>
      <c r="I43" s="2127"/>
    </row>
    <row r="44" spans="1:15" ht="17.399999999999999">
      <c r="A44" s="2070" t="s">
        <v>769</v>
      </c>
      <c r="B44" s="2071"/>
      <c r="C44" s="2071"/>
      <c r="D44" s="2072"/>
      <c r="E44" s="2072"/>
      <c r="F44" s="2073"/>
      <c r="G44" s="2073"/>
      <c r="H44" s="2073"/>
      <c r="I44" s="2073"/>
      <c r="J44" s="2128" t="s">
        <v>770</v>
      </c>
      <c r="K44" s="2129"/>
      <c r="L44" s="2129"/>
      <c r="M44" s="2129"/>
      <c r="N44" s="2129"/>
      <c r="O44" s="2129"/>
    </row>
    <row r="45" spans="1:15" ht="14.25" customHeight="1">
      <c r="A45" s="3145" t="s">
        <v>771</v>
      </c>
      <c r="B45" s="3146"/>
      <c r="C45" s="3147"/>
      <c r="D45" s="1312">
        <f ca="1">ROUND(H101*F45,0)</f>
        <v>271310</v>
      </c>
      <c r="E45" s="2074" t="s">
        <v>772</v>
      </c>
      <c r="F45" s="2075">
        <v>1</v>
      </c>
      <c r="G45" s="2076" t="s">
        <v>773</v>
      </c>
      <c r="H45" s="282"/>
      <c r="I45" s="282"/>
      <c r="J45" s="3135" t="s">
        <v>774</v>
      </c>
      <c r="K45" s="3135"/>
      <c r="L45" s="3135"/>
      <c r="M45" s="3135"/>
      <c r="N45" s="3135"/>
      <c r="O45" s="3135"/>
    </row>
    <row r="46" spans="1:15" ht="14.25" customHeight="1">
      <c r="A46" s="3148" t="s">
        <v>775</v>
      </c>
      <c r="B46" s="3149"/>
      <c r="C46" s="3149"/>
      <c r="D46" s="3149"/>
      <c r="E46" s="3149"/>
      <c r="F46" s="3149"/>
      <c r="G46" s="3150"/>
      <c r="H46" s="2077"/>
      <c r="I46" s="283"/>
      <c r="J46" s="1718">
        <v>1</v>
      </c>
      <c r="K46" s="3135" t="s">
        <v>776</v>
      </c>
      <c r="L46" s="3135"/>
      <c r="M46" s="3151"/>
      <c r="N46" s="3151"/>
      <c r="O46" s="3151"/>
    </row>
    <row r="47" spans="1:15" ht="12" customHeight="1">
      <c r="A47" s="2078" t="s">
        <v>777</v>
      </c>
      <c r="B47" s="2079"/>
      <c r="C47" s="2080"/>
      <c r="D47" s="2081" t="s">
        <v>778</v>
      </c>
      <c r="E47" s="293" t="s">
        <v>779</v>
      </c>
      <c r="F47" s="2082" t="s">
        <v>780</v>
      </c>
      <c r="G47" s="2083" t="s">
        <v>781</v>
      </c>
      <c r="H47" s="2077"/>
      <c r="I47" s="283"/>
      <c r="J47" s="1718">
        <v>2</v>
      </c>
      <c r="K47" s="3135" t="s">
        <v>782</v>
      </c>
      <c r="L47" s="3135"/>
      <c r="M47" s="3152">
        <f>'数据-取费表'!B2</f>
        <v>43761</v>
      </c>
      <c r="N47" s="3152"/>
      <c r="O47" s="3152"/>
    </row>
    <row r="48" spans="1:15" ht="26.4">
      <c r="A48" s="3134" t="s">
        <v>783</v>
      </c>
      <c r="B48" s="3131"/>
      <c r="C48" s="3131"/>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135" t="s">
        <v>786</v>
      </c>
      <c r="L48" s="3135"/>
      <c r="M48" s="3136">
        <f ca="1">H101</f>
        <v>271310</v>
      </c>
      <c r="N48" s="3136"/>
      <c r="O48" s="3136"/>
    </row>
    <row r="49" spans="1:35" ht="25.5" customHeight="1">
      <c r="A49" s="2087" t="s">
        <v>787</v>
      </c>
      <c r="B49" s="3104" t="s">
        <v>788</v>
      </c>
      <c r="C49" s="3104"/>
      <c r="D49" s="1896">
        <v>0</v>
      </c>
      <c r="E49" s="2088" t="s">
        <v>789</v>
      </c>
      <c r="F49" s="2089" t="s">
        <v>124</v>
      </c>
      <c r="G49" s="3137"/>
      <c r="H49" s="282"/>
      <c r="I49" s="2131"/>
      <c r="J49" s="1718">
        <v>4</v>
      </c>
      <c r="K49" s="3135" t="str">
        <f>IF(项目基本情况!E8="房地产抵押价值","房地产抵押价值","抵押担保权已注销时的房地产抵押价值")</f>
        <v>房地产抵押价值</v>
      </c>
      <c r="L49" s="3135"/>
      <c r="M49" s="3136">
        <f ca="1">IF(项目基本情况!E8="房地产抵押价值",H107,H109)</f>
        <v>271310</v>
      </c>
      <c r="N49" s="3136"/>
      <c r="O49" s="3136"/>
    </row>
    <row r="50" spans="1:35" ht="25.5" customHeight="1">
      <c r="A50" s="2091"/>
      <c r="B50" s="3104" t="s">
        <v>790</v>
      </c>
      <c r="C50" s="3104"/>
      <c r="D50" s="2092"/>
      <c r="E50" s="2093"/>
      <c r="F50" s="2094"/>
      <c r="G50" s="3138"/>
      <c r="H50" s="282"/>
      <c r="I50" s="2131"/>
      <c r="J50" s="3135" t="s">
        <v>791</v>
      </c>
      <c r="K50" s="3135"/>
      <c r="L50" s="3135"/>
      <c r="M50" s="3135"/>
      <c r="N50" s="3135"/>
      <c r="O50" s="3135"/>
    </row>
    <row r="51" spans="1:35" ht="12" customHeight="1">
      <c r="A51" s="2095"/>
      <c r="B51" s="3104" t="s">
        <v>792</v>
      </c>
      <c r="C51" s="3104"/>
      <c r="D51" s="2096"/>
      <c r="E51" s="1618"/>
      <c r="F51" s="2094"/>
      <c r="G51" s="3139"/>
      <c r="H51" s="282"/>
      <c r="I51" s="2131"/>
      <c r="J51" s="2130" t="s">
        <v>793</v>
      </c>
      <c r="K51" s="3135" t="s">
        <v>794</v>
      </c>
      <c r="L51" s="3135"/>
      <c r="M51" s="2130" t="s">
        <v>795</v>
      </c>
      <c r="N51" s="2130" t="s">
        <v>796</v>
      </c>
      <c r="O51" s="2130" t="s">
        <v>797</v>
      </c>
    </row>
    <row r="52" spans="1:35" ht="24" customHeight="1">
      <c r="A52" s="2098" t="s">
        <v>798</v>
      </c>
      <c r="B52" s="3104" t="s">
        <v>799</v>
      </c>
      <c r="C52" s="3104"/>
      <c r="D52" s="2096">
        <f ca="1">ROUND(D45*'数据-取费表'!B41/(1+'数据-取费表'!C42),0)</f>
        <v>14470</v>
      </c>
      <c r="E52" s="296" t="s">
        <v>800</v>
      </c>
      <c r="F52" s="2099">
        <f>'数据-取费表'!B41</f>
        <v>5.6000000000000001E-2</v>
      </c>
      <c r="G52" s="2100"/>
      <c r="H52" s="282"/>
      <c r="I52" s="2131"/>
      <c r="J52" s="1718">
        <v>1</v>
      </c>
      <c r="K52" s="3125" t="s">
        <v>801</v>
      </c>
      <c r="L52" s="3125"/>
      <c r="M52" s="2132">
        <f>D48</f>
        <v>0</v>
      </c>
      <c r="N52" s="1718" t="str">
        <f>E48</f>
        <v>销售额×税（费）率</v>
      </c>
      <c r="O52" s="2133" t="str">
        <f>F48</f>
        <v>免征</v>
      </c>
    </row>
    <row r="53" spans="1:35" ht="12" customHeight="1">
      <c r="A53" s="2098" t="s">
        <v>802</v>
      </c>
      <c r="B53" s="3103" t="s">
        <v>803</v>
      </c>
      <c r="C53" s="3129"/>
      <c r="D53" s="2096">
        <f ca="1">ROUND(D45*'数据-取费表'!B41/(1+'数据-取费表'!C42),0)</f>
        <v>14470</v>
      </c>
      <c r="E53" s="296" t="s">
        <v>800</v>
      </c>
      <c r="F53" s="2099">
        <f>'数据-取费表'!B41</f>
        <v>5.6000000000000001E-2</v>
      </c>
      <c r="G53" s="2100"/>
      <c r="H53" s="282"/>
      <c r="I53" s="2131"/>
      <c r="J53" s="1718">
        <v>2</v>
      </c>
      <c r="K53" s="3125" t="s">
        <v>804</v>
      </c>
      <c r="L53" s="3125"/>
      <c r="M53" s="2132">
        <f t="shared" ref="M53:O54" ca="1" si="0">D55</f>
        <v>136</v>
      </c>
      <c r="N53" s="1718" t="str">
        <f t="shared" si="0"/>
        <v>销售额×税（费）率</v>
      </c>
      <c r="O53" s="2133">
        <f t="shared" si="0"/>
        <v>5.0000000000000001E-4</v>
      </c>
    </row>
    <row r="54" spans="1:35" ht="12" customHeight="1">
      <c r="A54" s="2098" t="s">
        <v>805</v>
      </c>
      <c r="B54" s="3103" t="s">
        <v>806</v>
      </c>
      <c r="C54" s="3129"/>
      <c r="D54" s="2096">
        <f ca="1">C68</f>
        <v>14470</v>
      </c>
      <c r="E54" s="1618" t="s">
        <v>807</v>
      </c>
      <c r="F54" s="2099">
        <f>'数据-取费表'!B41</f>
        <v>5.6000000000000001E-2</v>
      </c>
      <c r="G54" s="2100"/>
      <c r="H54" s="2101"/>
      <c r="I54" s="2131"/>
      <c r="J54" s="1718">
        <v>3</v>
      </c>
      <c r="K54" s="3125" t="s">
        <v>808</v>
      </c>
      <c r="L54" s="3125"/>
      <c r="M54" s="2132">
        <f t="shared" ca="1" si="0"/>
        <v>153562</v>
      </c>
      <c r="N54" s="1718" t="str">
        <f t="shared" si="0"/>
        <v>增值额×税（费）率</v>
      </c>
      <c r="O54" s="2134" t="str">
        <f t="shared" si="0"/>
        <v>——</v>
      </c>
    </row>
    <row r="55" spans="1:35" ht="24" customHeight="1">
      <c r="A55" s="3130" t="s">
        <v>809</v>
      </c>
      <c r="B55" s="3131"/>
      <c r="C55" s="3131"/>
      <c r="D55" s="2102">
        <f ca="1">IF(H55="个人住宅",0,ROUND(D45*I55,0))</f>
        <v>136</v>
      </c>
      <c r="E55" s="296" t="s">
        <v>810</v>
      </c>
      <c r="F55" s="2099">
        <f>IF(H55="正常",I55,"免征")</f>
        <v>5.0000000000000001E-4</v>
      </c>
      <c r="G55" s="2100"/>
      <c r="H55" s="2086" t="s">
        <v>811</v>
      </c>
      <c r="I55" s="2135">
        <f>'数据-取费表'!B49</f>
        <v>5.0000000000000001E-4</v>
      </c>
      <c r="J55" s="1718" t="str">
        <f>IF(H59="非个人房产","",4)</f>
        <v/>
      </c>
      <c r="K55" s="3125" t="str">
        <f>IF(H59="非个人房产","——","个人所得税")</f>
        <v>——</v>
      </c>
      <c r="L55" s="3125"/>
      <c r="M55" s="2136" t="str">
        <f>D59</f>
        <v>——</v>
      </c>
      <c r="N55" s="1848" t="str">
        <f>E59</f>
        <v>——</v>
      </c>
      <c r="O55" s="2137" t="str">
        <f>F59</f>
        <v>——</v>
      </c>
    </row>
    <row r="56" spans="1:35" ht="25.2">
      <c r="A56" s="3130" t="s">
        <v>812</v>
      </c>
      <c r="B56" s="3131"/>
      <c r="C56" s="3131"/>
      <c r="D56" s="2102">
        <f ca="1">IF(H56="个人住宅",D57,D58)</f>
        <v>153562</v>
      </c>
      <c r="E56" s="296" t="s">
        <v>813</v>
      </c>
      <c r="F56" s="2099" t="str">
        <f>IF(H56="正常",F58,"免征")</f>
        <v>——</v>
      </c>
      <c r="G56" s="2103" t="s">
        <v>814</v>
      </c>
      <c r="H56" s="2104" t="s">
        <v>811</v>
      </c>
      <c r="I56" s="2107"/>
      <c r="J56" s="1718" t="str">
        <f>IF(项目基本情况!K6="上海银行",IF(J55="",4,J55+1),"")</f>
        <v/>
      </c>
      <c r="K56" s="3132" t="str">
        <f>IF(项目基本情况!K6="上海银行","其他处置费用","")</f>
        <v/>
      </c>
      <c r="L56" s="3133"/>
      <c r="M56" s="2132" t="str">
        <f>IF(项目基本情况!K6="上海银行",M69,"")</f>
        <v/>
      </c>
      <c r="N56" s="3117" t="str">
        <f>IF(项目基本情况!K6="上海银行","包含处置中涉及的律师、诉讼、拍卖、评估等费用","")</f>
        <v/>
      </c>
      <c r="O56" s="3118"/>
    </row>
    <row r="57" spans="1:35" ht="13.2">
      <c r="A57" s="2098" t="s">
        <v>787</v>
      </c>
      <c r="B57" s="3119" t="s">
        <v>815</v>
      </c>
      <c r="C57" s="3120"/>
      <c r="D57" s="2106">
        <v>0</v>
      </c>
      <c r="E57" s="2088" t="s">
        <v>789</v>
      </c>
      <c r="F57" s="242"/>
      <c r="G57" s="2100"/>
      <c r="H57" s="2107"/>
      <c r="I57" s="2107"/>
      <c r="J57" s="3125">
        <f>IF(AND(J55="",J56=""),4,IF(项目基本情况!K6="上海银行",结果表!J56+1,结果表!J55+1))</f>
        <v>4</v>
      </c>
      <c r="K57" s="3125" t="s">
        <v>816</v>
      </c>
      <c r="L57" s="2138" t="s">
        <v>817</v>
      </c>
      <c r="M57" s="2139"/>
      <c r="N57" s="2140">
        <f ca="1">SUMIF(M52:M56,"&lt;9e307")</f>
        <v>153698</v>
      </c>
      <c r="O57" s="2141"/>
      <c r="P57" s="2142">
        <f ca="1">N57/M49</f>
        <v>0.56650326195127343</v>
      </c>
    </row>
    <row r="58" spans="1:35" ht="25.2">
      <c r="A58" s="2098" t="s">
        <v>798</v>
      </c>
      <c r="B58" s="3119" t="s">
        <v>818</v>
      </c>
      <c r="C58" s="3121"/>
      <c r="D58" s="2102">
        <f ca="1">IF(H58="转让取得",C81,C97)</f>
        <v>153562</v>
      </c>
      <c r="E58" s="296" t="s">
        <v>813</v>
      </c>
      <c r="F58" s="293" t="s">
        <v>124</v>
      </c>
      <c r="G58" s="2100"/>
      <c r="H58" s="2104" t="s">
        <v>819</v>
      </c>
      <c r="I58" s="2107"/>
      <c r="J58" s="3125"/>
      <c r="K58" s="3125"/>
      <c r="L58" s="2138" t="s">
        <v>820</v>
      </c>
      <c r="M58" s="2143"/>
      <c r="N58" s="2144" t="str">
        <f ca="1">NUMBERSTRING(INT(N57*10000),2)&amp;"元整"</f>
        <v>壹拾伍亿叁仟陆佰玖拾捌万元整</v>
      </c>
      <c r="O58" s="2145"/>
    </row>
    <row r="59" spans="1:35" ht="24">
      <c r="A59" s="3122" t="s">
        <v>821</v>
      </c>
      <c r="B59" s="3123"/>
      <c r="C59" s="3123"/>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26">
        <f>J57+1</f>
        <v>5</v>
      </c>
      <c r="K59" s="3125" t="s">
        <v>823</v>
      </c>
      <c r="L59" s="1718" t="s">
        <v>817</v>
      </c>
      <c r="M59" s="2147"/>
      <c r="N59" s="2148">
        <f ca="1">M49-N57</f>
        <v>117612</v>
      </c>
      <c r="O59" s="2149"/>
    </row>
    <row r="60" spans="1:35" ht="12" customHeight="1">
      <c r="A60" s="2112"/>
      <c r="B60" s="1984"/>
      <c r="C60" s="1984"/>
      <c r="D60" s="1984"/>
      <c r="E60" s="2113"/>
      <c r="F60" s="2107"/>
      <c r="G60" s="2107"/>
      <c r="H60" s="2114"/>
      <c r="I60" s="282"/>
      <c r="J60" s="3127"/>
      <c r="K60" s="3125"/>
      <c r="L60" s="2138" t="s">
        <v>820</v>
      </c>
      <c r="M60" s="2143"/>
      <c r="N60" s="2144" t="str">
        <f ca="1">NUMBERSTRING(INT(N59*10000),2)&amp;"元整"</f>
        <v>壹拾壹亿柒仟陆佰壹拾贰万元整</v>
      </c>
      <c r="O60" s="2145"/>
    </row>
    <row r="61" spans="1:35" ht="13.2">
      <c r="A61" s="3124" t="s">
        <v>824</v>
      </c>
      <c r="B61" s="3124"/>
      <c r="C61" s="3124"/>
      <c r="D61" s="3124"/>
      <c r="E61" s="3124"/>
      <c r="F61" s="2107"/>
      <c r="G61" s="2107"/>
      <c r="H61" s="2114"/>
      <c r="I61" s="282"/>
      <c r="J61" s="1718">
        <f>J59+1</f>
        <v>6</v>
      </c>
      <c r="K61" s="3125" t="s">
        <v>825</v>
      </c>
      <c r="L61" s="3125"/>
      <c r="M61" s="2150"/>
      <c r="N61" s="2151">
        <f ca="1">ROUND(N59*10000/'数据-汇总表'!E3,0)</f>
        <v>11331</v>
      </c>
      <c r="O61" s="2152"/>
    </row>
    <row r="62" spans="1:35" ht="13.2">
      <c r="A62" s="3111" t="s">
        <v>826</v>
      </c>
      <c r="B62" s="3112"/>
      <c r="C62" s="1629"/>
      <c r="D62" s="1629" t="s">
        <v>827</v>
      </c>
      <c r="E62" s="2115" t="s">
        <v>781</v>
      </c>
      <c r="F62" s="2107"/>
      <c r="G62" s="2107"/>
      <c r="H62" s="2114"/>
      <c r="I62" s="282"/>
    </row>
    <row r="63" spans="1:35" ht="13.2">
      <c r="A63" s="2116" t="s">
        <v>828</v>
      </c>
      <c r="B63" s="2117" t="s">
        <v>829</v>
      </c>
      <c r="C63" s="2118">
        <f ca="1">ROUND((C64+C65)/(1+'数据-取费表'!C42),0)</f>
        <v>258390</v>
      </c>
      <c r="D63" s="2119"/>
      <c r="E63" s="2120"/>
      <c r="F63" s="2107"/>
      <c r="G63" s="2107"/>
      <c r="H63" s="2114"/>
      <c r="I63" s="282"/>
      <c r="J63" s="3128" t="s">
        <v>830</v>
      </c>
      <c r="K63" s="2153" t="s">
        <v>831</v>
      </c>
      <c r="L63" s="2154">
        <f ca="1">IF(M49&gt;10000,M49*0.5%,IF(AND(M49&gt;1000,M49&lt;=10000),M49*1%,IF(AND(M49&gt;100,M49&lt;=1000),M49*3%,IF(AND(M49&gt;10,M49&lt;=100),M49*5%,M49*8%))))</f>
        <v>1356.55</v>
      </c>
      <c r="M63" s="293">
        <f ca="1">ROUND(L63,1)</f>
        <v>1356.6</v>
      </c>
      <c r="Z63" s="1981"/>
      <c r="AI63" s="1982"/>
    </row>
    <row r="64" spans="1:35" ht="14.25" customHeight="1">
      <c r="A64" s="2121" t="s">
        <v>832</v>
      </c>
      <c r="B64" s="1582" t="s">
        <v>833</v>
      </c>
      <c r="C64" s="2122">
        <f ca="1">D45</f>
        <v>271310</v>
      </c>
      <c r="D64" s="711" t="s">
        <v>124</v>
      </c>
      <c r="E64" s="2123"/>
      <c r="F64" s="2107"/>
      <c r="G64" s="2107"/>
      <c r="H64" s="2114"/>
      <c r="I64" s="282"/>
      <c r="J64" s="3128"/>
      <c r="K64" s="2153" t="s">
        <v>834</v>
      </c>
      <c r="L64" s="2154">
        <f ca="1">IF(M49&gt;2000,M49*0.5%,IF(AND(M49&gt;1000,M49&lt;=2000),M49*0.6%,IF(AND(M49&gt;500,M49&lt;=1000),M49*0.7%,IF(AND(M49&gt;200,M49&lt;=500),M49*0.8%,IF(AND(M49&gt;100,M49&lt;=200),M49*0.9%,IF(AND(M49&gt;50,M49&lt;=100),M49*1%,IF(AND(M49&gt;20,M49&lt;=50),M49*1.5%,IF(AND(M49&gt;10,M49&lt;=20),M49*2%,IF(AND(M49&gt;1,M49&lt;=10),M49*2.5%)))))))))</f>
        <v>1356.55</v>
      </c>
      <c r="M64" s="293">
        <f t="shared" ref="M64:M65" ca="1" si="1">ROUND(L64,1)</f>
        <v>1356.6</v>
      </c>
      <c r="N64" s="282" t="s">
        <v>835</v>
      </c>
      <c r="Z64" s="1981"/>
      <c r="AI64" s="1982"/>
    </row>
    <row r="65" spans="1:35" ht="14.25" customHeight="1">
      <c r="A65" s="2121" t="s">
        <v>836</v>
      </c>
      <c r="B65" s="1582" t="s">
        <v>837</v>
      </c>
      <c r="C65" s="2155"/>
      <c r="D65" s="711"/>
      <c r="E65" s="2123"/>
      <c r="F65" s="2107"/>
      <c r="G65" s="2107"/>
      <c r="H65" s="2114"/>
      <c r="I65" s="282"/>
      <c r="J65" s="3128"/>
      <c r="K65" s="2153" t="s">
        <v>838</v>
      </c>
      <c r="L65" s="2154">
        <f ca="1">IF(M49&gt;1000,M49*0.1%,IF(AND(M49&gt;500,M49&lt;=1000),M49*0.5%,IF(AND(M49&gt;50,M49&lt;=500),M49*1%,IF(AND(M49&gt;1,M49&lt;=50),M49*1.5%))))</f>
        <v>271.31</v>
      </c>
      <c r="M65" s="293">
        <f t="shared" ca="1" si="1"/>
        <v>271.3</v>
      </c>
      <c r="N65" s="282" t="s">
        <v>835</v>
      </c>
      <c r="Z65" s="1981"/>
      <c r="AI65" s="1982"/>
    </row>
    <row r="66" spans="1:35" ht="14.25" customHeight="1">
      <c r="A66" s="2116" t="s">
        <v>839</v>
      </c>
      <c r="B66" s="2156" t="s">
        <v>840</v>
      </c>
      <c r="C66" s="2157"/>
      <c r="D66" s="1670" t="s">
        <v>124</v>
      </c>
      <c r="E66" s="2158" t="s">
        <v>841</v>
      </c>
      <c r="F66" s="2107"/>
      <c r="G66" s="2107"/>
      <c r="H66" s="2114"/>
      <c r="I66" s="282"/>
      <c r="J66" s="3128"/>
      <c r="K66" s="2153" t="s">
        <v>842</v>
      </c>
      <c r="L66" s="2154">
        <f ca="1">M49*0.5%</f>
        <v>1356.55</v>
      </c>
      <c r="M66" s="293">
        <f ca="1">IF(L66&gt;0.5,0.5,ROUND(L66,0))</f>
        <v>0.5</v>
      </c>
      <c r="N66" s="282" t="s">
        <v>843</v>
      </c>
      <c r="Z66" s="1981"/>
      <c r="AI66" s="1982"/>
    </row>
    <row r="67" spans="1:35" ht="14.25" customHeight="1">
      <c r="A67" s="2116" t="s">
        <v>844</v>
      </c>
      <c r="B67" s="2156" t="s">
        <v>845</v>
      </c>
      <c r="C67" s="2159">
        <f ca="1">C63-C66</f>
        <v>258390</v>
      </c>
      <c r="D67" s="711" t="s">
        <v>124</v>
      </c>
      <c r="E67" s="2123"/>
      <c r="F67" s="2107"/>
      <c r="G67" s="2107"/>
      <c r="H67" s="2114"/>
      <c r="I67" s="282"/>
      <c r="J67" s="3128"/>
      <c r="K67" s="2153" t="s">
        <v>846</v>
      </c>
      <c r="L67" s="2154">
        <f ca="1">IF(M49&gt;=10000,(8.25+(M49-10000)*0.01%),IF(AND(M49&gt;=8000,M49&lt;10000),(7.85+(M49-8000)*0.02%),IF(AND(M49&gt;=5000,M49&lt;8000),(6.65+(M49-5000)*0.04%),IF(AND(M49&gt;=2000,M49&lt;5000),(4.25+(PM49-2000)*0.08%),IF(AND(M49&gt;=1000,M49&lt;2000),(2.75+(M49-1000)*0.15%),IF(AND(M49&gt;=100,M49&lt;1000),(0.5+(M49-100)*0.25%),IF(AND(M49&gt;0,M49&lt;100),M49*0.5%)))))))</f>
        <v>34.381</v>
      </c>
      <c r="M67" s="293">
        <f ca="1">ROUND(L67*0.9,1)</f>
        <v>30.9</v>
      </c>
      <c r="Z67" s="1981"/>
      <c r="AI67" s="1982"/>
    </row>
    <row r="68" spans="1:35" ht="14.25" customHeight="1">
      <c r="A68" s="2160" t="s">
        <v>847</v>
      </c>
      <c r="B68" s="2161" t="s">
        <v>848</v>
      </c>
      <c r="C68" s="2162">
        <f ca="1">IF(C67&lt;=0,0,ROUND(C67*D68,0))</f>
        <v>14470</v>
      </c>
      <c r="D68" s="1796">
        <f>'数据-取费表'!B41</f>
        <v>5.6000000000000001E-2</v>
      </c>
      <c r="E68" s="2163"/>
      <c r="F68" s="2107"/>
      <c r="G68" s="2107"/>
      <c r="H68" s="2114"/>
      <c r="I68" s="282"/>
      <c r="J68" s="3128"/>
      <c r="K68" s="2153" t="s">
        <v>849</v>
      </c>
      <c r="L68" s="2154">
        <f ca="1">IF(M49&gt;10000,M49*0.5%,IF(AND(M49&gt;5000,M49&lt;=10000),M49*1%,IF(AND(M49&gt;1000,M49&lt;=5000),M49*2%,IF(AND(M49&gt;200,M49&lt;=1000),M49*3%,M49*5%))))</f>
        <v>1356.55</v>
      </c>
      <c r="M68" s="293">
        <f ca="1">ROUND(L68,1)</f>
        <v>1356.6</v>
      </c>
      <c r="Z68" s="1981"/>
      <c r="AI68" s="1982"/>
    </row>
    <row r="69" spans="1:35" s="1979" customFormat="1" ht="16.5" customHeight="1">
      <c r="A69" s="2164"/>
      <c r="B69" s="2165"/>
      <c r="C69" s="2166"/>
      <c r="D69" s="1725"/>
      <c r="E69" s="2167"/>
      <c r="F69" s="2113"/>
      <c r="G69" s="2113"/>
      <c r="H69" s="2068"/>
      <c r="I69" s="1984"/>
      <c r="J69" s="3128"/>
      <c r="K69" s="2153" t="s">
        <v>850</v>
      </c>
      <c r="L69" s="2227"/>
      <c r="M69" s="293">
        <f ca="1">ROUND(SUM(M63:M68),0)</f>
        <v>4373</v>
      </c>
      <c r="N69" s="2142">
        <f ca="1">M69/M49</f>
        <v>1.6118093693560872E-2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3.8">
      <c r="A70" s="3109" t="s">
        <v>851</v>
      </c>
      <c r="B70" s="3110"/>
      <c r="C70" s="3110"/>
      <c r="D70" s="3110"/>
      <c r="E70" s="3110"/>
      <c r="F70" s="3110"/>
      <c r="G70" s="3110"/>
      <c r="H70" s="3110"/>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3.8">
      <c r="A71" s="3111" t="s">
        <v>826</v>
      </c>
      <c r="B71" s="3112"/>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3.8">
      <c r="A72" s="2116" t="s">
        <v>828</v>
      </c>
      <c r="B72" s="2156" t="s">
        <v>852</v>
      </c>
      <c r="C72" s="2159">
        <f ca="1">ROUND(D45/(1+'数据-取费表'!C42),0)</f>
        <v>258390</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3.8">
      <c r="A73" s="2116" t="s">
        <v>839</v>
      </c>
      <c r="B73" s="2082" t="s">
        <v>853</v>
      </c>
      <c r="C73" s="2159">
        <f ca="1">C74+C78</f>
        <v>1550</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28.8">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103" t="s">
        <v>862</v>
      </c>
      <c r="F76" s="3104"/>
      <c r="G76" s="3104"/>
      <c r="H76" s="3105"/>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1550</v>
      </c>
      <c r="D78" s="2183">
        <f>'数据-取费表'!B43</f>
        <v>6.0000000000000001E-3</v>
      </c>
      <c r="E78" s="3106" t="s">
        <v>868</v>
      </c>
      <c r="F78" s="3107"/>
      <c r="G78" s="3107"/>
      <c r="H78" s="3108"/>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3.8">
      <c r="A79" s="2187" t="s">
        <v>844</v>
      </c>
      <c r="B79" s="2156" t="s">
        <v>869</v>
      </c>
      <c r="C79" s="2159">
        <f ca="1">C72-C73</f>
        <v>256840</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165.70322580645163</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153562</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3.8">
      <c r="A83" s="3109" t="s">
        <v>873</v>
      </c>
      <c r="B83" s="3110"/>
      <c r="C83" s="3110"/>
      <c r="D83" s="3110"/>
      <c r="E83" s="3110"/>
      <c r="F83" s="3110"/>
      <c r="G83" s="3110"/>
      <c r="H83" s="3110"/>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3.8">
      <c r="A84" s="3111" t="s">
        <v>826</v>
      </c>
      <c r="B84" s="3112"/>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3.8">
      <c r="A85" s="2116" t="s">
        <v>828</v>
      </c>
      <c r="B85" s="2156" t="s">
        <v>852</v>
      </c>
      <c r="C85" s="2159">
        <f ca="1">ROUND(D45/(1+'数据-取费表'!C42),0)</f>
        <v>258390</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3.8">
      <c r="A86" s="2116" t="s">
        <v>839</v>
      </c>
      <c r="B86" s="2082" t="s">
        <v>853</v>
      </c>
      <c r="C86" s="2159">
        <f ca="1">IF(H88="仅含出让金",C87+C90+C91+C92+C93+C94,C87+C91+C92+C93+C94)</f>
        <v>1550</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3.8">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3.8">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3.8">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3.8">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106" t="s">
        <v>882</v>
      </c>
      <c r="F91" s="3107"/>
      <c r="G91" s="3107"/>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106" t="s">
        <v>886</v>
      </c>
      <c r="F92" s="3107"/>
      <c r="G92" s="3107"/>
      <c r="H92" s="3108"/>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1550</v>
      </c>
      <c r="D93" s="2183">
        <f>'数据-取费表'!B43</f>
        <v>6.0000000000000001E-3</v>
      </c>
      <c r="E93" s="3106" t="s">
        <v>868</v>
      </c>
      <c r="F93" s="3107"/>
      <c r="G93" s="3107"/>
      <c r="H93" s="3108"/>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13" t="s">
        <v>890</v>
      </c>
      <c r="F94" s="3114"/>
      <c r="G94" s="3114"/>
      <c r="H94" s="3115"/>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3.8">
      <c r="A95" s="2187" t="s">
        <v>844</v>
      </c>
      <c r="B95" s="2156" t="s">
        <v>869</v>
      </c>
      <c r="C95" s="2159">
        <f ca="1">ROUND(C85-C86,0)</f>
        <v>256840</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165.70322580645163</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153562</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55" t="s">
        <v>892</v>
      </c>
      <c r="B100" s="3056"/>
      <c r="C100" s="3056"/>
      <c r="D100" s="3116"/>
      <c r="E100" s="3056" t="s">
        <v>893</v>
      </c>
      <c r="F100" s="3056"/>
      <c r="G100" s="3056"/>
      <c r="H100" s="3116"/>
      <c r="I100" s="282"/>
    </row>
    <row r="101" spans="1:35" ht="18.75" customHeight="1">
      <c r="A101" s="3085" t="s">
        <v>894</v>
      </c>
      <c r="B101" s="3086"/>
      <c r="C101" s="2206" t="str">
        <f>C4</f>
        <v>成本法</v>
      </c>
      <c r="D101" s="2207" t="str">
        <f>D4</f>
        <v>收益法</v>
      </c>
      <c r="E101" s="3102" t="s">
        <v>895</v>
      </c>
      <c r="F101" s="3097"/>
      <c r="G101" s="2209" t="s">
        <v>896</v>
      </c>
      <c r="H101" s="2210">
        <f ca="1">H118</f>
        <v>271310</v>
      </c>
      <c r="I101" s="282"/>
    </row>
    <row r="102" spans="1:35" ht="18.75" customHeight="1">
      <c r="A102" s="3075" t="s">
        <v>897</v>
      </c>
      <c r="B102" s="2209" t="s">
        <v>896</v>
      </c>
      <c r="C102" s="2206">
        <f ca="1">C19</f>
        <v>270432</v>
      </c>
      <c r="D102" s="2207">
        <f ca="1">D19</f>
        <v>272187</v>
      </c>
      <c r="E102" s="3102"/>
      <c r="F102" s="3097"/>
      <c r="G102" s="2209" t="s">
        <v>99</v>
      </c>
      <c r="H102" s="1357">
        <f ca="1">I118</f>
        <v>26139</v>
      </c>
      <c r="I102" s="282"/>
    </row>
    <row r="103" spans="1:35" ht="42.75" customHeight="1">
      <c r="A103" s="3075"/>
      <c r="B103" s="2209" t="s">
        <v>99</v>
      </c>
      <c r="C103" s="2211">
        <f ca="1">C20</f>
        <v>26055</v>
      </c>
      <c r="D103" s="2212">
        <f ca="1">D20</f>
        <v>26907</v>
      </c>
      <c r="E103" s="3087" t="s">
        <v>898</v>
      </c>
      <c r="F103" s="3088"/>
      <c r="G103" s="2213" t="s">
        <v>102</v>
      </c>
      <c r="H103" s="2210">
        <f>IF(D36="正常操作",H104+H105+H106,H105+H106)</f>
        <v>0</v>
      </c>
      <c r="I103" s="282"/>
    </row>
    <row r="104" spans="1:35" ht="18.75" customHeight="1">
      <c r="A104" s="3075" t="s">
        <v>899</v>
      </c>
      <c r="B104" s="2214" t="s">
        <v>896</v>
      </c>
      <c r="C104" s="2215">
        <f ca="1">H118</f>
        <v>271310</v>
      </c>
      <c r="D104" s="2216"/>
      <c r="E104" s="2053" t="s">
        <v>900</v>
      </c>
      <c r="F104" s="2217"/>
      <c r="G104" s="2213" t="s">
        <v>102</v>
      </c>
      <c r="H104" s="2218">
        <f>IF(D36="同一抵押权人同一抵押物续贷",C36&amp;"（未扣减，详见特别提示）",C36)</f>
        <v>0</v>
      </c>
      <c r="I104" s="282"/>
    </row>
    <row r="105" spans="1:35" ht="18.75" customHeight="1">
      <c r="A105" s="3076"/>
      <c r="B105" s="2219" t="s">
        <v>99</v>
      </c>
      <c r="C105" s="2220">
        <f ca="1">I118</f>
        <v>26139</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096" t="str">
        <f>IF(项目基本情况!E8="已注销","——","3.房地产抵押价值")</f>
        <v>3.房地产抵押价值</v>
      </c>
      <c r="F107" s="3097"/>
      <c r="G107" s="2209" t="s">
        <v>896</v>
      </c>
      <c r="H107" s="2210">
        <f ca="1">IF(E107="——","——",H101-H103)</f>
        <v>271310</v>
      </c>
      <c r="I107" s="282"/>
    </row>
    <row r="108" spans="1:35" ht="18.75" customHeight="1">
      <c r="A108" s="282"/>
      <c r="B108" s="282"/>
      <c r="C108" s="282"/>
      <c r="D108" s="282"/>
      <c r="E108" s="3096"/>
      <c r="F108" s="3097"/>
      <c r="G108" s="2209" t="s">
        <v>99</v>
      </c>
      <c r="H108" s="1357">
        <f ca="1">ROUND(H107*10000/'数据-汇总表'!E3,0)</f>
        <v>26139</v>
      </c>
      <c r="I108" s="282"/>
    </row>
    <row r="109" spans="1:35" ht="18.75" customHeight="1">
      <c r="A109" s="282"/>
      <c r="B109" s="282"/>
      <c r="C109" s="282"/>
      <c r="D109" s="282"/>
      <c r="E109" s="3096" t="str">
        <f>IF(项目基本情况!E8="已注销及未注销","4.抵押担保权已注销时的房地产抵押价值",IF(项目基本情况!E8="已注销","3.抵押担保权已注销时的房地产抵押价值","——"))</f>
        <v>——</v>
      </c>
      <c r="F109" s="3097"/>
      <c r="G109" s="2209" t="s">
        <v>896</v>
      </c>
      <c r="H109" s="1314" t="str">
        <f>IF(E109="——","——",H101-H105-H106)</f>
        <v>——</v>
      </c>
      <c r="I109" s="282"/>
    </row>
    <row r="110" spans="1:35" ht="18.75" customHeight="1">
      <c r="A110" s="282"/>
      <c r="B110" s="282"/>
      <c r="C110" s="282"/>
      <c r="D110" s="282"/>
      <c r="E110" s="3096"/>
      <c r="F110" s="3097"/>
      <c r="G110" s="2209" t="s">
        <v>99</v>
      </c>
      <c r="H110" s="1357" t="str">
        <f>IF(H109="——","——",ROUND(H109*10000/'数据-汇总表'!E3,0))</f>
        <v>——</v>
      </c>
      <c r="I110" s="282"/>
    </row>
    <row r="111" spans="1:35" ht="18.75" customHeight="1">
      <c r="A111" s="282"/>
      <c r="B111" s="282"/>
      <c r="C111" s="282"/>
      <c r="D111" s="282"/>
      <c r="E111" s="3098" t="str">
        <f>IF(项目基本情况!E9="抵押净值",IF(OR(项目基本情况!E8="已注销",项目基本情况!E8="房地产抵押价值"),"4.抵押净值","5.抵押净值"),"——")</f>
        <v>——</v>
      </c>
      <c r="F111" s="3099"/>
      <c r="G111" s="2209" t="s">
        <v>896</v>
      </c>
      <c r="H111" s="2210" t="str">
        <f>IF(E111="——","——",N59)</f>
        <v>——</v>
      </c>
      <c r="I111" s="282"/>
    </row>
    <row r="112" spans="1:35" ht="18.75" customHeight="1">
      <c r="A112" s="282"/>
      <c r="B112" s="282"/>
      <c r="C112" s="282"/>
      <c r="D112" s="282"/>
      <c r="E112" s="3100"/>
      <c r="F112" s="3101"/>
      <c r="G112" s="2223" t="s">
        <v>99</v>
      </c>
      <c r="H112" s="2012" t="str">
        <f>IF(E111="——","——",N61)</f>
        <v>——</v>
      </c>
      <c r="I112" s="282"/>
    </row>
    <row r="113" spans="1:11" ht="18.75" customHeight="1">
      <c r="A113" s="282"/>
      <c r="B113" s="282"/>
      <c r="C113" s="282"/>
      <c r="D113" s="282"/>
      <c r="E113" s="3089" t="s">
        <v>902</v>
      </c>
      <c r="F113" s="3089"/>
      <c r="G113" s="3089"/>
      <c r="H113" s="3089"/>
      <c r="I113" s="282"/>
    </row>
    <row r="114" spans="1:11" ht="3.75" customHeight="1">
      <c r="A114" s="1984"/>
      <c r="B114" s="1984"/>
      <c r="C114" s="1984"/>
      <c r="D114" s="1984"/>
      <c r="E114" s="2112"/>
      <c r="F114" s="2112"/>
      <c r="G114" s="2112"/>
      <c r="H114" s="2112"/>
      <c r="I114" s="1984"/>
    </row>
    <row r="115" spans="1:11" ht="18.75" customHeight="1">
      <c r="A115" s="3090" t="s">
        <v>904</v>
      </c>
      <c r="B115" s="3091"/>
      <c r="C115" s="3091"/>
      <c r="D115" s="3091"/>
      <c r="E115" s="3091"/>
      <c r="F115" s="3091"/>
      <c r="G115" s="3091"/>
      <c r="H115" s="3091"/>
      <c r="I115" s="3092"/>
    </row>
    <row r="116" spans="1:11" ht="27" customHeight="1">
      <c r="A116" s="3013" t="s">
        <v>905</v>
      </c>
      <c r="B116" s="3077" t="s">
        <v>906</v>
      </c>
      <c r="C116" s="3077" t="s">
        <v>907</v>
      </c>
      <c r="D116" s="3093" t="s">
        <v>908</v>
      </c>
      <c r="E116" s="3094"/>
      <c r="F116" s="3095" t="s">
        <v>909</v>
      </c>
      <c r="G116" s="3095"/>
      <c r="H116" s="3013" t="s">
        <v>910</v>
      </c>
      <c r="I116" s="3013"/>
    </row>
    <row r="117" spans="1:11" ht="18.75" customHeight="1">
      <c r="A117" s="3013"/>
      <c r="B117" s="3078"/>
      <c r="C117" s="3078"/>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217591</v>
      </c>
      <c r="E118" s="784">
        <f ca="1">ROUND(IF(C33="自定义",IF(D32="楼面单价",C34,D118*10000/B118),I118-G118),0)</f>
        <v>20963</v>
      </c>
      <c r="F118" s="784">
        <f ca="1">ROUND(IF(D32="总价",C35,G118*B118/10000),0)</f>
        <v>53719</v>
      </c>
      <c r="G118" s="784">
        <f ca="1">ROUND(IF(D32="楼面单价",C35,F118*10000/B118),0)</f>
        <v>5176</v>
      </c>
      <c r="H118" s="784">
        <f ca="1">ROUND(IF(D32="总价",C32,I118*B118/10000),0)</f>
        <v>271310</v>
      </c>
      <c r="I118" s="784">
        <f ca="1">ROUND(IF(D32="楼面单价",C32,H118*10000/B118),0)</f>
        <v>26139</v>
      </c>
    </row>
    <row r="119" spans="1:11" ht="18.75" customHeight="1">
      <c r="A119" s="3013" t="s">
        <v>912</v>
      </c>
      <c r="B119" s="3013"/>
      <c r="C119" s="3013"/>
      <c r="D119" s="3061" t="str">
        <f ca="1">NUMBERSTRING(INT(D118*10000),2)&amp;"元整"</f>
        <v>贰拾壹亿柒仟伍佰玖拾壹万元整</v>
      </c>
      <c r="E119" s="3063"/>
      <c r="F119" s="3061" t="str">
        <f ca="1">NUMBERSTRING(INT(F118*10000),2)&amp;"元整"</f>
        <v>伍亿叁仟柒佰壹拾玖万元整</v>
      </c>
      <c r="G119" s="3063"/>
      <c r="H119" s="3061" t="str">
        <f ca="1">NUMBERSTRING(INT(H118*10000),2)&amp;"元整"</f>
        <v>贰拾柒亿壹仟叁佰壹拾万元整</v>
      </c>
      <c r="I119" s="3063"/>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1981" t="str">
        <f>IF(D120=0,"故，本次评估不存在"&amp;A120,"故，本次评估"&amp;A120&amp;"为人民币"&amp;D120&amp;"万元整。")</f>
        <v>故，本次评估不存在估价师知悉的法定优先受偿款</v>
      </c>
    </row>
    <row r="121" spans="1:11" ht="18.75" customHeight="1">
      <c r="A121" s="3082" t="s">
        <v>912</v>
      </c>
      <c r="B121" s="3083"/>
      <c r="C121" s="3084"/>
      <c r="D121" s="3061" t="str">
        <f>IF(D120=0,"零元整",NUMBERSTRING(INT(D120*10000),2)&amp;"元整")</f>
        <v>零元整</v>
      </c>
      <c r="E121" s="3062"/>
      <c r="F121" s="3062"/>
      <c r="G121" s="3062"/>
      <c r="H121" s="3062"/>
      <c r="I121" s="3063"/>
    </row>
    <row r="122" spans="1:11" ht="18.75" customHeight="1">
      <c r="A122" s="3064" t="str">
        <f>IF(项目基本情况!B9="房地产市场价值","",MID(E107,3,LEN(E107)-2))</f>
        <v>房地产抵押价值</v>
      </c>
      <c r="B122" s="3064"/>
      <c r="C122" s="3064"/>
      <c r="D122" s="3065">
        <f ca="1">H107</f>
        <v>271310</v>
      </c>
      <c r="E122" s="3066"/>
      <c r="F122" s="3066"/>
      <c r="G122" s="3066"/>
      <c r="H122" s="3066"/>
      <c r="I122" s="3067"/>
    </row>
    <row r="123" spans="1:11" ht="18.75" customHeight="1">
      <c r="A123" s="3013" t="s">
        <v>912</v>
      </c>
      <c r="B123" s="3013"/>
      <c r="C123" s="3013"/>
      <c r="D123" s="3061" t="str">
        <f ca="1">NUMBERSTRING(INT(D122*10000),2)&amp;"元整"</f>
        <v>贰拾柒亿壹仟叁佰壹拾万元整</v>
      </c>
      <c r="E123" s="3062"/>
      <c r="F123" s="3062"/>
      <c r="G123" s="3062"/>
      <c r="H123" s="3062"/>
      <c r="I123" s="3063"/>
    </row>
    <row r="124" spans="1:11" ht="18.75" customHeight="1">
      <c r="A124" s="3064" t="str">
        <f>IF(项目基本情况!B9="房地产市场价值","",MID(E109,3,LEN(E109)-2))</f>
        <v/>
      </c>
      <c r="B124" s="3064"/>
      <c r="C124" s="3064"/>
      <c r="D124" s="3065" t="str">
        <f>H109</f>
        <v>——</v>
      </c>
      <c r="E124" s="3066"/>
      <c r="F124" s="3066"/>
      <c r="G124" s="3066"/>
      <c r="H124" s="3066"/>
      <c r="I124" s="3067"/>
    </row>
    <row r="125" spans="1:11" ht="18.75" customHeight="1">
      <c r="A125" s="3013" t="s">
        <v>912</v>
      </c>
      <c r="B125" s="3013"/>
      <c r="C125" s="3013"/>
      <c r="D125" s="3061" t="e">
        <f>NUMBERSTRING(INT(D124*10000),2)&amp;"元整"</f>
        <v>#VALUE!</v>
      </c>
      <c r="E125" s="3062"/>
      <c r="F125" s="3062"/>
      <c r="G125" s="3062"/>
      <c r="H125" s="3062"/>
      <c r="I125" s="3063"/>
    </row>
    <row r="126" spans="1:11" ht="18.75" customHeight="1">
      <c r="A126" s="3064" t="str">
        <f>IF(项目基本情况!B9="房地产市场价值","",MID(E111,3,LEN(E111)-2))</f>
        <v/>
      </c>
      <c r="B126" s="3064"/>
      <c r="C126" s="3064"/>
      <c r="D126" s="3065" t="str">
        <f>H111</f>
        <v>——</v>
      </c>
      <c r="E126" s="3066"/>
      <c r="F126" s="3066"/>
      <c r="G126" s="3066"/>
      <c r="H126" s="3066"/>
      <c r="I126" s="3067"/>
    </row>
    <row r="127" spans="1:11" ht="18.75" customHeight="1">
      <c r="A127" s="3013" t="s">
        <v>912</v>
      </c>
      <c r="B127" s="3013"/>
      <c r="C127" s="3013"/>
      <c r="D127" s="3061" t="e">
        <f>NUMBERSTRING(INT(D126*10000),2)&amp;"元整"</f>
        <v>#VALUE!</v>
      </c>
      <c r="E127" s="3062"/>
      <c r="F127" s="3062"/>
      <c r="G127" s="3062"/>
      <c r="H127" s="3062"/>
      <c r="I127" s="3063"/>
    </row>
    <row r="128" spans="1:11" ht="21.75" customHeight="1">
      <c r="A128" s="3068" t="s">
        <v>113</v>
      </c>
      <c r="B128" s="3068"/>
      <c r="C128" s="3068"/>
      <c r="D128" s="3068"/>
      <c r="E128" s="3068"/>
      <c r="F128" s="3068"/>
      <c r="G128" s="3068"/>
      <c r="H128" s="3068"/>
      <c r="I128" s="3068"/>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3203125" defaultRowHeight="13.2"/>
  <cols>
    <col min="1" max="1" width="10.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9" s="132" customFormat="1" ht="21">
      <c r="A1" s="140" t="s">
        <v>920</v>
      </c>
      <c r="B1" s="1965"/>
      <c r="C1" s="142"/>
      <c r="D1" s="142"/>
      <c r="E1" s="142"/>
      <c r="F1" s="142"/>
      <c r="G1" s="1967">
        <f>MATCH(B1,'数据-取费表'!A6:A16,0)+5</f>
        <v>7</v>
      </c>
    </row>
    <row r="2" spans="1:9" s="132" customFormat="1" ht="18" customHeight="1">
      <c r="A2" s="144" t="s">
        <v>921</v>
      </c>
      <c r="B2" s="145">
        <f ca="1">IF(D2="——",C52,C52-E2)</f>
        <v>270432</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26055</v>
      </c>
      <c r="C3" s="143" t="s">
        <v>924</v>
      </c>
      <c r="D3" s="143"/>
      <c r="E3" s="143"/>
      <c r="F3" s="143"/>
      <c r="G3" s="143"/>
    </row>
    <row r="4" spans="1:9" s="133" customFormat="1" ht="16.2">
      <c r="A4" s="149" t="s">
        <v>925</v>
      </c>
      <c r="B4" s="150"/>
      <c r="C4" s="150"/>
      <c r="D4" s="150"/>
      <c r="E4" s="150"/>
      <c r="F4" s="150"/>
      <c r="G4" s="151"/>
    </row>
    <row r="5" spans="1:9" s="134" customFormat="1" ht="13.5" customHeight="1">
      <c r="A5" s="152" t="s">
        <v>926</v>
      </c>
      <c r="B5" s="153" t="s">
        <v>927</v>
      </c>
      <c r="C5" s="154">
        <f ca="1">C6+C7+C8</f>
        <v>139951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133794</v>
      </c>
      <c r="D6" s="160"/>
      <c r="E6" s="161"/>
      <c r="F6" s="161"/>
      <c r="G6" s="162"/>
    </row>
    <row r="7" spans="1:9" s="134" customFormat="1" ht="13.5" customHeight="1">
      <c r="A7" s="157" t="s">
        <v>932</v>
      </c>
      <c r="B7" s="158" t="s">
        <v>933</v>
      </c>
      <c r="C7" s="163">
        <f ca="1">ROUND(C6*F7,0)</f>
        <v>4081</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2799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21107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20905</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202</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6.4">
      <c r="A27" s="152" t="s">
        <v>979</v>
      </c>
      <c r="B27" s="196" t="s">
        <v>980</v>
      </c>
      <c r="C27" s="197">
        <f ca="1">C28</f>
        <v>35688</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ROUND((C5+C19+C20)*F27*'数据-取费表'!B21/'数据-取费表'!B20,0)</f>
        <v>35688</v>
      </c>
      <c r="D28" s="183"/>
      <c r="E28" s="184"/>
      <c r="F28" s="198"/>
      <c r="G28" s="199"/>
    </row>
    <row r="29" spans="1:7" s="134" customFormat="1" ht="13.5" customHeight="1">
      <c r="A29" s="188" t="s">
        <v>932</v>
      </c>
      <c r="B29" s="200" t="s">
        <v>983</v>
      </c>
      <c r="C29" s="190">
        <f ca="1">ROUND(C21*F27*'数据-取费表'!B21/'数据-取费表'!B20,4)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216826</v>
      </c>
      <c r="D31" s="203"/>
      <c r="E31" s="154"/>
      <c r="F31" s="204"/>
      <c r="G31" s="185" t="s">
        <v>988</v>
      </c>
    </row>
    <row r="32" spans="1:7" s="133" customFormat="1" ht="16.2">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10140</v>
      </c>
      <c r="D45" s="183">
        <f ca="1">C47</f>
        <v>5.0000000000000001E-3</v>
      </c>
      <c r="E45" s="184" t="s">
        <v>1001</v>
      </c>
      <c r="F45" s="198"/>
      <c r="G45" s="199" t="s">
        <v>1004</v>
      </c>
    </row>
    <row r="46" spans="1:7" s="134" customFormat="1" ht="13.5" customHeight="1">
      <c r="A46" s="188" t="s">
        <v>930</v>
      </c>
      <c r="B46" s="200" t="s">
        <v>1005</v>
      </c>
      <c r="C46" s="201">
        <f ca="1">ROUND((C33+C39)*F27,0)</f>
        <v>10140</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58267</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53606</v>
      </c>
      <c r="D51" s="180"/>
      <c r="E51" s="180"/>
      <c r="F51" s="215"/>
      <c r="G51" s="185" t="s">
        <v>1015</v>
      </c>
    </row>
    <row r="52" spans="1:7" s="133" customFormat="1" ht="16.2">
      <c r="A52" s="216" t="s">
        <v>1016</v>
      </c>
      <c r="B52" s="217"/>
      <c r="C52" s="218">
        <f ca="1">C31+C51</f>
        <v>270432</v>
      </c>
      <c r="D52" s="217"/>
      <c r="E52" s="217"/>
      <c r="F52" s="217"/>
      <c r="G52" s="219"/>
    </row>
    <row r="55" spans="1:7" ht="15">
      <c r="B55" s="220" t="s">
        <v>1017</v>
      </c>
      <c r="C55" s="221"/>
    </row>
    <row r="56" spans="1:7">
      <c r="B56" s="222" t="s">
        <v>1018</v>
      </c>
      <c r="C56" s="224">
        <f ca="1">1-C57</f>
        <v>0.80200000000000005</v>
      </c>
    </row>
    <row r="57" spans="1:7">
      <c r="B57" s="222" t="s">
        <v>1019</v>
      </c>
      <c r="C57" s="223">
        <f ca="1">ROUND(C51/C52,3)</f>
        <v>0.19800000000000001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4.4"/>
  <cols>
    <col min="1" max="1" width="3.4414062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8" width="10.77734375" style="138" customWidth="1"/>
    <col min="9" max="254" width="9" style="138" customWidth="1"/>
    <col min="255" max="16384" width="8.33203125" style="138"/>
  </cols>
  <sheetData>
    <row r="1" spans="1:8" s="132" customFormat="1" ht="21">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60037</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5784</v>
      </c>
      <c r="C3" s="143" t="s">
        <v>924</v>
      </c>
      <c r="D3" s="143"/>
      <c r="E3" s="143"/>
      <c r="F3" s="143"/>
      <c r="G3" s="143"/>
    </row>
    <row r="4" spans="1:8" s="133" customFormat="1" ht="16.2">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6.4">
      <c r="A27" s="152" t="s">
        <v>979</v>
      </c>
      <c r="B27" s="196" t="s">
        <v>980</v>
      </c>
      <c r="C27" s="197">
        <f ca="1">C28</f>
        <v>10586945</v>
      </c>
      <c r="D27" s="183">
        <f ca="1">C29</f>
        <v>5.0000000000000001E-3</v>
      </c>
      <c r="E27" s="184" t="s">
        <v>967</v>
      </c>
      <c r="F27" s="198">
        <f ca="1">IF(B1="",'数据-取费表'!Q16,INDIRECT("'数据-取费表'!q"&amp;$G$1))</f>
        <v>0.25</v>
      </c>
      <c r="G27" s="199" t="s">
        <v>981</v>
      </c>
    </row>
    <row r="28" spans="1:7" s="134" customFormat="1" ht="13.5" customHeight="1">
      <c r="A28" s="188" t="s">
        <v>930</v>
      </c>
      <c r="B28" s="200" t="s">
        <v>982</v>
      </c>
      <c r="C28" s="201">
        <f ca="1">ROUND((C5+C19+C20)*F27,0)</f>
        <v>10586945</v>
      </c>
      <c r="D28" s="183"/>
      <c r="E28" s="184"/>
      <c r="F28" s="198"/>
      <c r="G28" s="199"/>
    </row>
    <row r="29" spans="1:7" s="134" customFormat="1" ht="13.5" customHeight="1">
      <c r="A29" s="188" t="s">
        <v>932</v>
      </c>
      <c r="B29" s="200" t="s">
        <v>983</v>
      </c>
      <c r="C29" s="190">
        <f ca="1">ROUND(C21*F27,4)</f>
        <v>5.0000000000000001E-3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64322818</v>
      </c>
      <c r="D31" s="203"/>
      <c r="E31" s="154"/>
      <c r="F31" s="204"/>
      <c r="G31" s="185" t="s">
        <v>988</v>
      </c>
    </row>
    <row r="32" spans="1:7" s="133" customFormat="1" ht="16.2">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101395768</v>
      </c>
      <c r="D45" s="183">
        <f ca="1">C47</f>
        <v>5.0000000000000001E-3</v>
      </c>
      <c r="E45" s="184" t="s">
        <v>1001</v>
      </c>
      <c r="F45" s="198"/>
      <c r="G45" s="199" t="s">
        <v>1004</v>
      </c>
    </row>
    <row r="46" spans="1:7" s="134" customFormat="1" ht="13.5" customHeight="1">
      <c r="A46" s="188" t="s">
        <v>930</v>
      </c>
      <c r="B46" s="200" t="s">
        <v>1005</v>
      </c>
      <c r="C46" s="201">
        <f ca="1">ROUND((C33+C39)*F27,0)</f>
        <v>101395768</v>
      </c>
      <c r="D46" s="214"/>
      <c r="E46" s="184"/>
      <c r="F46" s="198"/>
      <c r="G46" s="199"/>
    </row>
    <row r="47" spans="1:7" s="134" customFormat="1" ht="13.5" customHeight="1">
      <c r="A47" s="188" t="s">
        <v>932</v>
      </c>
      <c r="B47" s="200" t="s">
        <v>1006</v>
      </c>
      <c r="C47" s="190">
        <f ca="1">ROUND(C40*F27,4)</f>
        <v>5.0000000000000001E-3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582654706</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536042330</v>
      </c>
      <c r="D51" s="180"/>
      <c r="E51" s="180"/>
      <c r="F51" s="215"/>
      <c r="G51" s="185" t="s">
        <v>1015</v>
      </c>
    </row>
    <row r="52" spans="1:7" s="133" customFormat="1" ht="16.2">
      <c r="A52" s="216" t="s">
        <v>1016</v>
      </c>
      <c r="B52" s="217"/>
      <c r="C52" s="218">
        <f ca="1">C31+C51</f>
        <v>600365148</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640625" defaultRowHeight="13.2"/>
  <cols>
    <col min="1" max="1" width="9.77734375" style="336" customWidth="1"/>
    <col min="2" max="2" width="25.77734375" style="1880" customWidth="1"/>
    <col min="3" max="3" width="10.33203125" style="1881" customWidth="1"/>
    <col min="4" max="4" width="9.88671875" style="1880" customWidth="1"/>
    <col min="5" max="5" width="9.44140625" style="336" customWidth="1"/>
    <col min="6" max="6" width="10.109375" style="1880" customWidth="1"/>
    <col min="7" max="7" width="10.77734375" style="1880" customWidth="1"/>
    <col min="8" max="8" width="10" style="1880" customWidth="1"/>
    <col min="9" max="11" width="9.44140625" style="1880" customWidth="1"/>
    <col min="12" max="12" width="9" style="1880" customWidth="1"/>
    <col min="13" max="13" width="10.44140625" style="1880" customWidth="1"/>
    <col min="14" max="254" width="9" style="1880" customWidth="1"/>
    <col min="255" max="16384" width="6.6640625" style="1880"/>
  </cols>
  <sheetData>
    <row r="1" spans="1:33" ht="21">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5.2">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0.25</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workbookViewId="0">
      <selection activeCell="G19" sqref="G19"/>
    </sheetView>
  </sheetViews>
  <sheetFormatPr defaultColWidth="12" defaultRowHeight="13.2"/>
  <cols>
    <col min="1" max="1" width="9.77734375" style="1569" customWidth="1"/>
    <col min="2" max="2" width="19.21875" style="1570" customWidth="1"/>
    <col min="3" max="4" width="12" style="1571"/>
    <col min="5" max="5" width="14.6640625" style="1571" customWidth="1"/>
    <col min="6" max="8" width="12" style="1571"/>
    <col min="9" max="9" width="12.21875" style="1571" customWidth="1"/>
    <col min="10" max="10" width="12" style="1571"/>
    <col min="11" max="11" width="8.109375" style="1572" customWidth="1"/>
    <col min="12" max="12" width="12" style="1571"/>
    <col min="13" max="13" width="8.44140625" style="1571" customWidth="1"/>
    <col min="14" max="14" width="9.77734375" style="1571" customWidth="1"/>
    <col min="15" max="25" width="12" style="1571"/>
    <col min="26" max="26" width="9.33203125" style="1569" customWidth="1"/>
    <col min="27" max="32" width="9.33203125" style="1573" customWidth="1"/>
    <col min="33" max="36" width="9.33203125" style="1569" customWidth="1"/>
    <col min="37" max="38" width="9.33203125" style="1571" customWidth="1"/>
    <col min="39" max="16384" width="12" style="1571"/>
  </cols>
  <sheetData>
    <row r="1" spans="1:36" ht="31.2">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6">
      <c r="A2" s="144" t="s">
        <v>921</v>
      </c>
      <c r="B2" s="148">
        <f ca="1">C26</f>
        <v>13092</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22979</v>
      </c>
      <c r="U2" s="1813">
        <f>Sheet2!H2</f>
        <v>17081.98</v>
      </c>
      <c r="V2" s="1811">
        <f ca="1">ROUND(T2*U2/10000,0)</f>
        <v>39253</v>
      </c>
      <c r="W2" s="1812"/>
      <c r="X2" s="1812"/>
      <c r="Y2" s="1812"/>
      <c r="Z2" s="1812"/>
      <c r="AA2" s="1812"/>
      <c r="AB2" s="1812"/>
      <c r="AC2" s="1820"/>
      <c r="AD2" s="1821"/>
      <c r="AE2" s="1821"/>
      <c r="AF2" s="1821"/>
      <c r="AG2" s="1821"/>
      <c r="AH2" s="1821"/>
      <c r="AI2" s="1821"/>
      <c r="AJ2" s="1832"/>
    </row>
    <row r="3" spans="1:36" ht="15.6">
      <c r="A3" s="147" t="s">
        <v>923</v>
      </c>
      <c r="B3" s="148">
        <f ca="1">ROUND(B2*10000/D1,0)</f>
        <v>6546</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16495</v>
      </c>
      <c r="U3" s="1813">
        <f>Sheet2!H3</f>
        <v>17947.78</v>
      </c>
      <c r="V3" s="1811">
        <f t="shared" ref="V3:V16" ca="1" si="1">ROUND(T3*U3/10000,0)</f>
        <v>29605</v>
      </c>
      <c r="W3" s="1812"/>
      <c r="X3" s="1812"/>
      <c r="Y3" s="1812"/>
      <c r="Z3" s="1812"/>
      <c r="AA3" s="1812"/>
      <c r="AB3" s="1812"/>
      <c r="AC3" s="1820"/>
      <c r="AD3" s="1821"/>
      <c r="AE3" s="1821"/>
      <c r="AF3" s="1821"/>
      <c r="AG3" s="1821"/>
      <c r="AH3" s="1821"/>
      <c r="AI3" s="1821"/>
      <c r="AJ3" s="1832"/>
    </row>
    <row r="4" spans="1:36" ht="15.6">
      <c r="A4" s="3170"/>
      <c r="B4" s="3171"/>
      <c r="C4" s="3171"/>
      <c r="D4" s="3172"/>
      <c r="E4" s="3172"/>
      <c r="F4" s="3172"/>
      <c r="G4" s="3172"/>
      <c r="H4" s="3172"/>
      <c r="I4" s="3172"/>
      <c r="J4" s="3173"/>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13307</v>
      </c>
      <c r="U4" s="1813">
        <f>Sheet2!H4</f>
        <v>17125.5</v>
      </c>
      <c r="V4" s="1811">
        <f t="shared" ca="1" si="1"/>
        <v>22789</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10677</v>
      </c>
      <c r="U5" s="1813">
        <f>Sheet2!H5</f>
        <v>16939.89</v>
      </c>
      <c r="V5" s="1811">
        <f t="shared" ca="1" si="1"/>
        <v>18087</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9092</v>
      </c>
      <c r="U6" s="1813">
        <f>Sheet2!H6</f>
        <v>12063.72</v>
      </c>
      <c r="V6" s="1811">
        <f t="shared" ca="1" si="1"/>
        <v>10968</v>
      </c>
      <c r="W6" s="1812"/>
      <c r="X6" s="1812"/>
      <c r="Y6" s="1812"/>
      <c r="Z6" s="1812"/>
      <c r="AA6" s="1812"/>
      <c r="AB6" s="1812"/>
      <c r="AC6" s="1822"/>
      <c r="AD6" s="1823"/>
      <c r="AE6" s="1823"/>
      <c r="AF6" s="1823"/>
      <c r="AG6" s="1823"/>
      <c r="AH6" s="1823"/>
      <c r="AI6" s="1823"/>
      <c r="AJ6" s="1833"/>
    </row>
    <row r="7" spans="1:36" ht="24">
      <c r="A7" s="3158"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7996</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6.4">
      <c r="A8" s="3159"/>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74" t="s">
        <v>1117</v>
      </c>
      <c r="X8" s="3175"/>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59"/>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79"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59"/>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79"/>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59"/>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79"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5.2">
      <c r="A12" s="3158"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79"/>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60"/>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79"/>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60"/>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61"/>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58" t="s">
        <v>1158</v>
      </c>
      <c r="B16" s="1595" t="s">
        <v>1159</v>
      </c>
      <c r="C16" s="1629">
        <f>ROUND(IF(F17="与级别开发程度一致",0,(G17-E17)/C17),0)</f>
        <v>-20</v>
      </c>
      <c r="D16" s="3176" t="s">
        <v>1160</v>
      </c>
      <c r="E16" s="3177"/>
      <c r="F16" s="3176" t="s">
        <v>1161</v>
      </c>
      <c r="G16" s="3177"/>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6.4">
      <c r="A17" s="3162"/>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4.4">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8.8">
      <c r="A19" s="1642" t="s">
        <v>844</v>
      </c>
      <c r="B19" s="1643" t="s">
        <v>1172</v>
      </c>
      <c r="C19" s="1644">
        <f>ROUND(IF(H19="按公示增长率计算",SUMPRODUCT((地价!A3:A28=YEAR(G19)&amp;"-"&amp;ROUNDUP(MONTH(G19)/3,0))*(地价!X2:AB2=E2)*(地价!X3:AB28)),IF(H19="地价指数",M20/M19,(1+I19)^O19)),4)</f>
        <v>1.3643000000000001</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8.8">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352</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4.4">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1.41E-2</v>
      </c>
      <c r="R21" s="1819"/>
      <c r="S21" s="1819"/>
      <c r="T21" s="1702"/>
      <c r="U21" s="1702"/>
      <c r="V21" s="1702"/>
      <c r="W21" s="1567"/>
      <c r="X21" s="1567"/>
      <c r="Y21" s="1567"/>
      <c r="Z21" s="1761"/>
      <c r="AA21" s="1830"/>
      <c r="AB21" s="1830"/>
      <c r="AC21" s="1830"/>
      <c r="AD21" s="1830"/>
      <c r="AE21" s="1830"/>
      <c r="AF21" s="1830"/>
    </row>
    <row r="22" spans="1:37" s="1566" customFormat="1" ht="14.4">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1.41E-2</v>
      </c>
      <c r="R22" s="1819"/>
      <c r="S22" s="1819"/>
      <c r="T22" s="1702"/>
      <c r="U22" s="1702"/>
      <c r="V22" s="1702"/>
      <c r="W22" s="1567"/>
      <c r="X22" s="1567"/>
      <c r="Y22" s="1567"/>
      <c r="Z22" s="1761"/>
      <c r="AA22" s="1830"/>
      <c r="AB22" s="1830"/>
      <c r="AC22" s="1830"/>
      <c r="AD22" s="1830"/>
      <c r="AE22" s="1830"/>
      <c r="AF22" s="1830"/>
    </row>
    <row r="23" spans="1:37" ht="28.8">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2.1600000000000001E-2</v>
      </c>
      <c r="R23" s="1819"/>
      <c r="S23" s="1819"/>
      <c r="T23" s="1702"/>
      <c r="U23" s="1702"/>
      <c r="V23" s="1702"/>
      <c r="W23" s="1567"/>
      <c r="X23" s="1567"/>
      <c r="Y23" s="1567"/>
      <c r="Z23" s="1761"/>
      <c r="AA23" s="1830"/>
      <c r="AB23" s="1830"/>
      <c r="AC23" s="1830"/>
      <c r="AD23" s="1830"/>
      <c r="AK23" s="1569"/>
    </row>
    <row r="24" spans="1:37" s="1566" customFormat="1" ht="14.4">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1.38E-2</v>
      </c>
      <c r="R24" s="1819"/>
      <c r="S24" s="1819"/>
      <c r="T24" s="1702"/>
      <c r="U24" s="1702"/>
      <c r="V24" s="1702"/>
      <c r="W24" s="1567"/>
      <c r="X24" s="1567"/>
      <c r="Y24" s="1567"/>
      <c r="Z24" s="1761"/>
      <c r="AA24" s="1830"/>
      <c r="AB24" s="1830"/>
      <c r="AC24" s="1830"/>
      <c r="AD24" s="1830"/>
      <c r="AE24" s="1830"/>
      <c r="AF24" s="1830"/>
    </row>
    <row r="25" spans="1:37" ht="14.4">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1.9800000000000002E-2</v>
      </c>
      <c r="R25" s="1819"/>
      <c r="S25" s="1819"/>
      <c r="T25" s="1702"/>
      <c r="U25" s="1702"/>
      <c r="V25" s="1702"/>
      <c r="W25" s="1567"/>
      <c r="X25" s="1567"/>
      <c r="Y25" s="1567"/>
      <c r="Z25" s="1761"/>
      <c r="AA25" s="1830"/>
      <c r="AB25" s="1830"/>
      <c r="AC25" s="1830"/>
      <c r="AD25" s="1830"/>
    </row>
    <row r="26" spans="1:37" ht="14.4">
      <c r="A26" s="1669"/>
      <c r="B26" s="1658" t="s">
        <v>1202</v>
      </c>
      <c r="C26" s="1670">
        <f ca="1">E29+SUM(E33:E39)</f>
        <v>13092</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4.4">
      <c r="A27" s="1669"/>
      <c r="B27" s="1673" t="s">
        <v>1207</v>
      </c>
      <c r="C27" s="1674">
        <f ca="1">E30+SUM(I33:I39)</f>
        <v>3274</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4.4">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22979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5.2">
      <c r="A30" s="1688"/>
      <c r="B30" s="1689" t="s">
        <v>1214</v>
      </c>
      <c r="C30" s="1627">
        <f ca="1">ROUND(IF(E2="工业",C29*M39,C29*M38),0)</f>
        <v>5745</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3.8">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36">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63" t="s">
        <v>1219</v>
      </c>
      <c r="B33" s="1698" t="s">
        <v>1220</v>
      </c>
      <c r="C33" s="1670">
        <f ca="1">ROUND(D5*C19*C20*C24*F33,0)</f>
        <v>8635</v>
      </c>
      <c r="D33" s="1685">
        <f>Sheet2!H7</f>
        <v>9331.2900000000009</v>
      </c>
      <c r="E33" s="711">
        <f ca="1">ROUND(C33*D33/10000,0)</f>
        <v>8058</v>
      </c>
      <c r="F33" s="711">
        <f>SUMIF(修正!A45:A56,G2,修正!B45:B56)</f>
        <v>0.7</v>
      </c>
      <c r="G33" s="711">
        <f t="shared" ref="G33" ca="1" si="6">ROUND(IF(E2="工业",C33*$M$39,C33*$M$38),0)</f>
        <v>2159</v>
      </c>
      <c r="H33" s="711">
        <f>D33</f>
        <v>9331.2900000000009</v>
      </c>
      <c r="I33" s="711">
        <f ca="1">ROUND(G33*H33/10000,0)</f>
        <v>2015</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3.8">
      <c r="A34" s="3164"/>
      <c r="B34" s="1616" t="s">
        <v>1221</v>
      </c>
      <c r="C34" s="1670">
        <f ca="1">ROUND(D5*C19*C20*C24*F34,0)</f>
        <v>4934</v>
      </c>
      <c r="D34" s="1685">
        <f>Sheet2!H8</f>
        <v>9331.2900000000009</v>
      </c>
      <c r="E34" s="711">
        <f t="shared" ref="E34:E39" ca="1" si="7">ROUND(C34*D34/10000,0)</f>
        <v>4604</v>
      </c>
      <c r="F34" s="711">
        <f>SUMIF(修正!A45:A56,G2,修正!C45:C56)</f>
        <v>0.4</v>
      </c>
      <c r="G34" s="711">
        <f ca="1">ROUND(IF(E2="工业",C34*$M$39,C34*$M$38),0)</f>
        <v>1234</v>
      </c>
      <c r="H34" s="711">
        <f t="shared" ref="H34:H39" si="8">D34</f>
        <v>9331.2900000000009</v>
      </c>
      <c r="I34" s="711">
        <f t="shared" ref="I34:I39" ca="1" si="9">ROUND(G34*H34/10000,0)</f>
        <v>1151</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64"/>
      <c r="B35" s="1616" t="s">
        <v>1222</v>
      </c>
      <c r="C35" s="1670">
        <f ca="1">ROUND(D5*C19*C20*C24*F35,0)</f>
        <v>3454</v>
      </c>
      <c r="D35" s="1685"/>
      <c r="E35" s="711">
        <f t="shared" ca="1" si="7"/>
        <v>0</v>
      </c>
      <c r="F35" s="711">
        <f>SUMIF(修正!A45:A56,G2,修正!D45:D56)</f>
        <v>0.28000000000000003</v>
      </c>
      <c r="G35" s="711">
        <f ca="1">ROUND(IF(E2="工业",C35*$M$39,C35*$M$38),0)</f>
        <v>864</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65"/>
      <c r="B36" s="1616" t="s">
        <v>1223</v>
      </c>
      <c r="C36" s="1670">
        <f ca="1">ROUND(D5*C19*C20*C24*F36,0)</f>
        <v>3084</v>
      </c>
      <c r="D36" s="1685"/>
      <c r="E36" s="711">
        <f t="shared" ca="1" si="7"/>
        <v>0</v>
      </c>
      <c r="F36" s="711">
        <f>SUMIF(修正!A45:A56,G2,修正!E45:E56)</f>
        <v>0.25</v>
      </c>
      <c r="G36" s="711">
        <f ca="1">ROUND(IF(E2="工业",C36*$M$39,C36*$M$38),0)</f>
        <v>771</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3084</v>
      </c>
      <c r="D37" s="1685"/>
      <c r="E37" s="711">
        <f t="shared" ca="1" si="7"/>
        <v>0</v>
      </c>
      <c r="F37" s="1670">
        <f>SUMIF(修正!A45:A56,G2,修正!F45:F56)</f>
        <v>0.25</v>
      </c>
      <c r="G37" s="711">
        <f ca="1">ROUND(IF(E2="工业",C37*$M$39,C37*$M$38),0)</f>
        <v>771</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3217</v>
      </c>
      <c r="D38" s="1685">
        <f>Sheet2!H29</f>
        <v>1337.42</v>
      </c>
      <c r="E38" s="711">
        <f t="shared" ca="1" si="7"/>
        <v>430</v>
      </c>
      <c r="F38" s="1670">
        <f>SUMIF(修正!A45:A56,G2,修正!G45:G56)</f>
        <v>0.25</v>
      </c>
      <c r="G38" s="711">
        <f ca="1">ROUND(IF(E2="工业",C38*$M$39,C38*$M$38),0)</f>
        <v>804</v>
      </c>
      <c r="H38" s="711">
        <f t="shared" si="8"/>
        <v>1337.42</v>
      </c>
      <c r="I38" s="711">
        <f t="shared" ca="1" si="9"/>
        <v>108</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2573</v>
      </c>
      <c r="D39" s="1690"/>
      <c r="E39" s="1627">
        <f t="shared" ca="1" si="7"/>
        <v>0</v>
      </c>
      <c r="F39" s="1701">
        <f>SUMIF(修正!A45:A56,G2,修正!H45:H56)</f>
        <v>0.2</v>
      </c>
      <c r="G39" s="1627">
        <f ca="1">ROUND(IF(E2="工业",C39*$M$39,C39*$M$38),0)</f>
        <v>643</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ht="24">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4.4">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4.4">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5.2">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52.8">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66">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50.4">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36">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6.4">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6.4">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9.6">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4.4">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5.2">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52.8">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66">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50.4">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36">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6.4">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6.4">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9.6">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4.4">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5.2">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66">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66">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3.8">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6.4">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6.4">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36">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9.6">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36">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4.4">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5.2">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9.6">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66">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3.8">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6.4">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6.4">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36">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52.8">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78" t="s">
        <v>1269</v>
      </c>
      <c r="B90" s="3178"/>
      <c r="C90" s="3178"/>
      <c r="D90" s="3178"/>
      <c r="E90" s="3178"/>
      <c r="F90" s="3178"/>
      <c r="G90" s="3178"/>
      <c r="H90" s="3178"/>
      <c r="I90" s="3178"/>
      <c r="J90" s="3178"/>
      <c r="K90" s="1841"/>
      <c r="L90" s="1841"/>
      <c r="M90" s="1841"/>
      <c r="N90" s="1841"/>
    </row>
    <row r="91" spans="1:37">
      <c r="A91" s="3166" t="s">
        <v>1270</v>
      </c>
      <c r="B91" s="3166" t="s">
        <v>1271</v>
      </c>
      <c r="C91" s="1686" t="s">
        <v>1272</v>
      </c>
      <c r="D91" s="1687"/>
      <c r="E91" s="1687"/>
      <c r="F91" s="1687"/>
      <c r="G91" s="1687"/>
      <c r="H91" s="1687"/>
      <c r="I91" s="1687"/>
      <c r="J91" s="1863"/>
      <c r="K91" s="1864"/>
      <c r="L91" s="1864"/>
      <c r="M91" s="1864"/>
      <c r="N91" s="1864"/>
    </row>
    <row r="92" spans="1:37">
      <c r="A92" s="3166"/>
      <c r="B92" s="3166"/>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67"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68"/>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68"/>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68"/>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68"/>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68"/>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68"/>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69"/>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67"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68"/>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68"/>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68"/>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68"/>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68"/>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68"/>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68"/>
      <c r="B108" s="3126"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69"/>
      <c r="B109" s="3127"/>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57" t="s">
        <v>1276</v>
      </c>
      <c r="B110" s="3157"/>
      <c r="C110" s="3157"/>
      <c r="D110" s="3157"/>
      <c r="E110" s="3157"/>
      <c r="F110" s="3157"/>
      <c r="G110" s="3157"/>
      <c r="H110" s="3157"/>
      <c r="I110" s="3157"/>
      <c r="J110" s="3157"/>
      <c r="K110" s="1849"/>
      <c r="L110" s="1849"/>
      <c r="M110" s="1849"/>
      <c r="N110" s="1849"/>
    </row>
    <row r="113" spans="1:13" ht="25.2">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6" sqref="C6"/>
    </sheetView>
  </sheetViews>
  <sheetFormatPr defaultColWidth="9" defaultRowHeight="13.2"/>
  <cols>
    <col min="1" max="1" width="9" style="136" customWidth="1"/>
    <col min="2" max="2" width="20.6640625" style="233" customWidth="1"/>
    <col min="3" max="3" width="11.88671875" style="233"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5.109375" style="1280" customWidth="1"/>
    <col min="12" max="12" width="16.33203125" style="136" customWidth="1"/>
    <col min="13" max="13" width="13" style="136" customWidth="1"/>
    <col min="14" max="14" width="13.77734375" style="1279" customWidth="1"/>
    <col min="15" max="15" width="5.109375" style="1279" customWidth="1"/>
    <col min="16" max="16" width="25.77734375" style="1279" customWidth="1"/>
    <col min="17" max="17" width="13.77734375" style="1279" customWidth="1"/>
    <col min="18" max="18" width="20.44140625" style="1279" customWidth="1"/>
    <col min="19" max="19" width="13.21875" style="1279" customWidth="1"/>
    <col min="20" max="37" width="9" style="1279"/>
    <col min="38" max="16384" width="9" style="136"/>
  </cols>
  <sheetData>
    <row r="1" spans="1:37" s="1277" customFormat="1" ht="21.6">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272187</v>
      </c>
      <c r="C2" s="1290" t="s">
        <v>1294</v>
      </c>
      <c r="D2" s="1290"/>
      <c r="E2" s="1292"/>
      <c r="F2" s="1293"/>
      <c r="G2" s="1294"/>
      <c r="H2" s="1295"/>
      <c r="I2" s="1295"/>
      <c r="J2" s="1295"/>
      <c r="K2" s="1452"/>
      <c r="L2" s="1295"/>
      <c r="M2" s="1295"/>
    </row>
    <row r="3" spans="1:37" ht="18" customHeight="1">
      <c r="A3" s="1296" t="s">
        <v>1295</v>
      </c>
      <c r="B3" s="1297">
        <f ca="1">IF(ISERROR(B2*10000/F43),0,ROUND(B2*10000/F43,0))</f>
        <v>26907</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18200</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18177</v>
      </c>
      <c r="D6" s="1312" t="s">
        <v>1306</v>
      </c>
      <c r="E6" s="1313" t="s">
        <v>1307</v>
      </c>
      <c r="F6" s="1314">
        <f ca="1">INDIRECT("'数据-取费表'!u"&amp;$G$1)</f>
        <v>5.47</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53606</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58267</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1372</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498.4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489.44</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874</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-1372</v>
      </c>
      <c r="K25" s="1380" t="s">
        <v>1368</v>
      </c>
      <c r="L25" s="1381"/>
      <c r="M25" s="1382"/>
    </row>
    <row r="26" spans="1:37">
      <c r="A26" s="1342" t="s">
        <v>855</v>
      </c>
      <c r="B26" s="1313" t="s">
        <v>1369</v>
      </c>
      <c r="C26" s="293">
        <f ca="1">ROUND((C19+C20)*F26,0)</f>
        <v>10140</v>
      </c>
      <c r="D26" s="1354" t="s">
        <v>1370</v>
      </c>
      <c r="E26" s="1324" t="s">
        <v>1371</v>
      </c>
      <c r="F26" s="1321">
        <f ca="1">INDIRECT("'数据-取费表'!q"&amp;$G$1)</f>
        <v>0.25</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5.0000000000000001E-3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58267</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4374</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3055.7</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969.44</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2077.37</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874</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80.400000000000006</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364</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13826</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270233</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26714</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-356047</v>
      </c>
      <c r="D46" s="1401" t="str">
        <f>C2</f>
        <v>万元</v>
      </c>
      <c r="E46" s="1395"/>
      <c r="F46" s="1395"/>
      <c r="I46" s="1483" t="s">
        <v>1395</v>
      </c>
      <c r="J46" s="1484"/>
      <c r="K46" s="1485"/>
      <c r="L46" s="1486">
        <f ca="1">IF(M47="住宅",0,IF(L48&gt;J51,L60,J60))</f>
        <v>1954</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270233</v>
      </c>
      <c r="R47" s="1534" t="s">
        <v>1404</v>
      </c>
    </row>
    <row r="48" spans="1:18" s="1279" customFormat="1" ht="39.6">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1954</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58267</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141293</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36">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272187</v>
      </c>
      <c r="R53" s="1534" t="s">
        <v>1435</v>
      </c>
    </row>
    <row r="54" spans="1:18" s="1279" customFormat="1" ht="24">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36">
      <c r="A56" s="1431">
        <v>2</v>
      </c>
      <c r="B56" s="1432" t="s">
        <v>1320</v>
      </c>
      <c r="C56" s="180">
        <f ca="1">C13</f>
        <v>53606</v>
      </c>
      <c r="D56" s="1433"/>
      <c r="E56" s="1434"/>
      <c r="F56" s="1430"/>
      <c r="I56" s="1520" t="s">
        <v>1440</v>
      </c>
      <c r="J56" s="1521" t="s">
        <v>1441</v>
      </c>
      <c r="K56" s="1496" t="s">
        <v>1442</v>
      </c>
      <c r="L56" s="1499" t="str">
        <f ca="1">IF(L48&lt;J51,"——",L48-J53)</f>
        <v>——</v>
      </c>
      <c r="O56" s="1494" t="s">
        <v>937</v>
      </c>
      <c r="P56" s="1495" t="s">
        <v>1403</v>
      </c>
      <c r="Q56" s="1534">
        <f ca="1">C40+J29</f>
        <v>270233</v>
      </c>
      <c r="R56" s="1534" t="s">
        <v>1404</v>
      </c>
    </row>
    <row r="57" spans="1:18" s="1279" customFormat="1" ht="24">
      <c r="A57" s="1435"/>
      <c r="B57" s="1436" t="s">
        <v>1383</v>
      </c>
      <c r="C57" s="190">
        <f ca="1">C29</f>
        <v>58267</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5858</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4903.3</v>
      </c>
      <c r="D59" s="1443" t="s">
        <v>1336</v>
      </c>
      <c r="E59" s="1444" t="s">
        <v>1337</v>
      </c>
      <c r="F59" s="1367" t="str">
        <f ca="1">IF(项目基本情况!B11="企业","",IF(INDIRECT("'数据-取费表'!c"&amp;$G$1)="住宅",5%,IF(F49*F50*F51/12/(1+'数据-取费表'!C42)&gt;20000,12%,7%)))</f>
        <v/>
      </c>
      <c r="I59" s="1522" t="s">
        <v>1450</v>
      </c>
      <c r="J59" s="1523">
        <f ca="1">IF(OR(M47="住宅",J51&lt;L48,J56="是"),"——",ROUND(C29*J58,0))</f>
        <v>23715</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6">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1954</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4894.43</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270233</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874</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80.400000000000006</v>
      </c>
      <c r="D65" s="1444" t="s">
        <v>1360</v>
      </c>
      <c r="E65" s="1436" t="s">
        <v>1327</v>
      </c>
      <c r="F65" s="1378">
        <f t="shared" ca="1" si="0"/>
        <v>1.5E-3</v>
      </c>
      <c r="I65" s="1529" t="s">
        <v>1465</v>
      </c>
      <c r="J65" s="1530">
        <v>40</v>
      </c>
      <c r="K65" s="1530">
        <v>30</v>
      </c>
      <c r="L65" s="1530">
        <v>50</v>
      </c>
      <c r="M65" s="1532">
        <v>0.02</v>
      </c>
      <c r="O65" s="1494" t="s">
        <v>937</v>
      </c>
      <c r="P65" s="1495" t="s">
        <v>1403</v>
      </c>
      <c r="Q65" s="1534">
        <f ca="1">C40+J29</f>
        <v>270233</v>
      </c>
      <c r="R65" s="1534" t="s">
        <v>1404</v>
      </c>
    </row>
    <row r="66" spans="1:18" s="1279" customFormat="1" ht="15.6">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24">
      <c r="A67" s="1431" t="s">
        <v>1366</v>
      </c>
      <c r="B67" s="1536" t="s">
        <v>1367</v>
      </c>
      <c r="C67" s="292">
        <f ca="1">C48-C58</f>
        <v>-5858</v>
      </c>
      <c r="D67" s="1443" t="s">
        <v>1368</v>
      </c>
      <c r="E67" s="1537"/>
      <c r="F67" s="1538"/>
      <c r="O67" s="1502" t="s">
        <v>1416</v>
      </c>
      <c r="P67" s="1495" t="s">
        <v>1449</v>
      </c>
      <c r="Q67" s="1559">
        <f ca="1">L51</f>
        <v>141293</v>
      </c>
      <c r="R67" s="1534" t="s">
        <v>1466</v>
      </c>
    </row>
    <row r="68" spans="1:18" s="1279" customFormat="1" ht="15.6">
      <c r="A68" s="1539" t="s">
        <v>1372</v>
      </c>
      <c r="B68" s="1540" t="s">
        <v>1389</v>
      </c>
      <c r="C68" s="1383">
        <f ca="1">ROUND(C67*(1-((1+F70)/(1+F68))^F69)/(F68-F70),0)</f>
        <v>-85814</v>
      </c>
      <c r="D68" s="1446" t="s">
        <v>1374</v>
      </c>
      <c r="E68" s="1436" t="s">
        <v>1375</v>
      </c>
      <c r="F68" s="1321">
        <f ca="1">F40</f>
        <v>5.5E-2</v>
      </c>
      <c r="O68" s="1502" t="s">
        <v>1420</v>
      </c>
      <c r="P68" s="1558" t="s">
        <v>1467</v>
      </c>
      <c r="Q68" s="1534">
        <f ca="1">ROUND(Q69-Q70*Q71,0)</f>
        <v>9538</v>
      </c>
      <c r="R68" s="1534" t="s">
        <v>1468</v>
      </c>
    </row>
    <row r="69" spans="1:18" s="1279" customFormat="1">
      <c r="A69" s="1541"/>
      <c r="B69" s="1542"/>
      <c r="C69" s="1320"/>
      <c r="D69" s="1543" t="s">
        <v>1378</v>
      </c>
      <c r="E69" s="1436" t="s">
        <v>1379</v>
      </c>
      <c r="F69" s="1387">
        <f ca="1">F41</f>
        <v>30.6</v>
      </c>
      <c r="O69" s="1502" t="s">
        <v>1469</v>
      </c>
      <c r="P69" s="1558" t="s">
        <v>1470</v>
      </c>
      <c r="Q69" s="1534">
        <f ca="1">C39</f>
        <v>13826</v>
      </c>
      <c r="R69" s="1534" t="s">
        <v>1404</v>
      </c>
    </row>
    <row r="70" spans="1:18" s="1279" customFormat="1">
      <c r="A70" s="1544"/>
      <c r="B70" s="1545"/>
      <c r="C70" s="1339"/>
      <c r="D70" s="1448"/>
      <c r="E70" s="1436" t="s">
        <v>1382</v>
      </c>
      <c r="F70" s="1426"/>
      <c r="O70" s="1502" t="s">
        <v>1471</v>
      </c>
      <c r="P70" s="1558" t="s">
        <v>1472</v>
      </c>
      <c r="Q70" s="1534">
        <f ca="1">C13</f>
        <v>53606</v>
      </c>
      <c r="R70" s="1534" t="s">
        <v>1404</v>
      </c>
    </row>
    <row r="71" spans="1:18" s="1279" customFormat="1">
      <c r="A71" s="1546" t="s">
        <v>1384</v>
      </c>
      <c r="B71" s="1547" t="s">
        <v>1390</v>
      </c>
      <c r="C71" s="1391">
        <f ca="1">ROUND(C68*10000/F71,0)</f>
        <v>-8483</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6">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4288</v>
      </c>
      <c r="D75" s="1279"/>
      <c r="E75" s="1279"/>
      <c r="F75" s="1279"/>
      <c r="K75" s="1481"/>
      <c r="L75" s="1279"/>
      <c r="O75" s="1494" t="s">
        <v>1045</v>
      </c>
      <c r="P75" s="1495" t="s">
        <v>1434</v>
      </c>
      <c r="Q75" s="1534">
        <f ca="1">Q65+Q66</f>
        <v>270233</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0.69</v>
      </c>
    </row>
    <row r="80" spans="1:18">
      <c r="B80" s="1551" t="s">
        <v>1482</v>
      </c>
      <c r="C80" s="223">
        <f ca="1">ROUND(C75/C39,3)</f>
        <v>0.31</v>
      </c>
    </row>
    <row r="81" spans="2:3">
      <c r="B81" s="220" t="s">
        <v>1483</v>
      </c>
      <c r="C81" s="190"/>
    </row>
    <row r="82" spans="2:3">
      <c r="B82" s="222" t="s">
        <v>1018</v>
      </c>
      <c r="C82" s="224">
        <f ca="1">1-C83</f>
        <v>0.80200000000000005</v>
      </c>
    </row>
    <row r="83" spans="2:3">
      <c r="B83" s="222" t="s">
        <v>1019</v>
      </c>
      <c r="C83" s="223">
        <f ca="1">ROUND(C13/C40,3)</f>
        <v>0.19800000000000001</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3.2"/>
  <cols>
    <col min="1" max="1" width="9" style="136" customWidth="1"/>
    <col min="2" max="2" width="20.6640625" style="233" customWidth="1"/>
    <col min="3" max="3" width="11.88671875" style="233" customWidth="1"/>
    <col min="4" max="4" width="40.44140625" style="136" customWidth="1"/>
    <col min="5" max="5" width="15.77734375" style="136" customWidth="1"/>
    <col min="6" max="6" width="10.6640625" style="136" customWidth="1"/>
    <col min="7" max="7" width="4.88671875" style="136" customWidth="1"/>
    <col min="8" max="8" width="8.44140625" style="136" customWidth="1"/>
    <col min="9" max="9" width="21.21875" style="136" customWidth="1"/>
    <col min="10" max="10" width="12.21875" style="136" customWidth="1"/>
    <col min="11" max="11" width="40.109375" style="1280" customWidth="1"/>
    <col min="12" max="12" width="16.33203125" style="136" customWidth="1"/>
    <col min="13" max="13" width="13" style="136" customWidth="1"/>
    <col min="14" max="14" width="13.77734375" style="1279" customWidth="1"/>
    <col min="15" max="15" width="5.109375" style="1279" customWidth="1"/>
    <col min="16" max="16" width="25.77734375" style="1279" customWidth="1"/>
    <col min="17" max="17" width="13.77734375" style="1279" customWidth="1"/>
    <col min="18" max="18" width="20.44140625" style="1279" customWidth="1"/>
    <col min="19" max="19" width="13.21875" style="1279" customWidth="1"/>
    <col min="20" max="37" width="9" style="1279"/>
    <col min="38" max="16384" width="9" style="136"/>
  </cols>
  <sheetData>
    <row r="1" spans="1:37" s="1277" customFormat="1" ht="21.6">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39.6">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6">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6">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24">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6">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6">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6" ht="21.6">
      <c r="A1" s="506" t="s">
        <v>1495</v>
      </c>
      <c r="B1" s="1258"/>
      <c r="C1" s="1258"/>
      <c r="D1" s="1258"/>
      <c r="E1" s="1259"/>
    </row>
    <row r="2" spans="1:6" ht="15.6">
      <c r="A2" s="1260" t="s">
        <v>921</v>
      </c>
      <c r="B2" s="1261">
        <f ca="1">SUMIF(B6:B13,"&lt;&gt;#ref!",B6:B13)</f>
        <v>272187</v>
      </c>
      <c r="C2" s="1262" t="s">
        <v>1496</v>
      </c>
      <c r="D2" s="1263" t="s">
        <v>1497</v>
      </c>
      <c r="E2" s="1264">
        <f>SUM(E6:E13)</f>
        <v>103793.58</v>
      </c>
    </row>
    <row r="3" spans="1:6" ht="15.6">
      <c r="A3" s="1260" t="s">
        <v>923</v>
      </c>
      <c r="B3" s="1261">
        <f ca="1">ROUND(B2*10000/E2,0)</f>
        <v>26224</v>
      </c>
      <c r="C3" s="1262" t="s">
        <v>1498</v>
      </c>
      <c r="D3" s="1265"/>
      <c r="E3" s="1266"/>
    </row>
    <row r="4" spans="1:6" ht="15.6">
      <c r="A4" s="1267"/>
      <c r="B4" s="1265"/>
      <c r="C4" s="1265"/>
      <c r="D4" s="1265"/>
      <c r="E4" s="1266"/>
    </row>
    <row r="5" spans="1:6" ht="14.4">
      <c r="A5" s="1268" t="s">
        <v>1499</v>
      </c>
      <c r="B5" s="3185" t="s">
        <v>1500</v>
      </c>
      <c r="C5" s="3185"/>
      <c r="D5" s="1269"/>
      <c r="E5" s="1270" t="s">
        <v>1501</v>
      </c>
      <c r="F5" s="513" t="s">
        <v>1502</v>
      </c>
    </row>
    <row r="6" spans="1:6" ht="14.4">
      <c r="A6" s="1271" t="str">
        <f>'数据-取费表'!AN6</f>
        <v>收益法</v>
      </c>
      <c r="B6" s="513">
        <f ca="1">IF(F6="是",'数据-取费表'!AO6,0)</f>
        <v>272187</v>
      </c>
      <c r="C6" s="1262" t="s">
        <v>1496</v>
      </c>
      <c r="D6" s="1265"/>
      <c r="E6" s="1272">
        <f>IF(OR(A6=0,F6="否"),0,'数据-取费表'!K6+'数据-取费表'!S6)</f>
        <v>103793.58</v>
      </c>
      <c r="F6" s="1273" t="s">
        <v>1503</v>
      </c>
    </row>
    <row r="7" spans="1:6" ht="14.4">
      <c r="A7" s="1271">
        <f>'数据-取费表'!AN7</f>
        <v>0</v>
      </c>
      <c r="B7" s="513" t="e">
        <f ca="1">IF(F7="是",'数据-取费表'!AO7,0)</f>
        <v>#REF!</v>
      </c>
      <c r="C7" s="1262" t="s">
        <v>1496</v>
      </c>
      <c r="D7" s="1265"/>
      <c r="E7" s="1272">
        <f>IF(OR(A7=0,F7="否"),0,'数据-取费表'!K7+'数据-取费表'!S7)</f>
        <v>0</v>
      </c>
      <c r="F7" s="1273" t="s">
        <v>1503</v>
      </c>
    </row>
    <row r="8" spans="1:6" ht="14.4">
      <c r="A8" s="1271">
        <f>'数据-取费表'!AN8</f>
        <v>0</v>
      </c>
      <c r="B8" s="513" t="e">
        <f ca="1">IF(F8="是",'数据-取费表'!AO8,0)</f>
        <v>#REF!</v>
      </c>
      <c r="C8" s="1262" t="s">
        <v>1496</v>
      </c>
      <c r="D8" s="1265"/>
      <c r="E8" s="1272">
        <f>IF(OR(A8=0,F8="否"),0,'数据-取费表'!K8+'数据-取费表'!S8)</f>
        <v>0</v>
      </c>
      <c r="F8" s="1273" t="s">
        <v>1503</v>
      </c>
    </row>
    <row r="9" spans="1:6" ht="14.4">
      <c r="A9" s="1271">
        <f>'数据-取费表'!AN9</f>
        <v>0</v>
      </c>
      <c r="B9" s="513" t="e">
        <f ca="1">IF(F9="是",'数据-取费表'!AO9,0)</f>
        <v>#REF!</v>
      </c>
      <c r="C9" s="1262" t="s">
        <v>1496</v>
      </c>
      <c r="D9" s="1265"/>
      <c r="E9" s="1272">
        <f>IF(OR(A9=0,F9="否"),0,'数据-取费表'!K9+'数据-取费表'!S9)</f>
        <v>0</v>
      </c>
      <c r="F9" s="1273" t="s">
        <v>1503</v>
      </c>
    </row>
    <row r="10" spans="1:6" ht="14.4">
      <c r="A10" s="1271">
        <f>'数据-取费表'!AN10</f>
        <v>0</v>
      </c>
      <c r="B10" s="513" t="e">
        <f ca="1">IF(F10="是",'数据-取费表'!AO10,0)</f>
        <v>#REF!</v>
      </c>
      <c r="C10" s="1262" t="s">
        <v>1496</v>
      </c>
      <c r="D10" s="1265"/>
      <c r="E10" s="1272">
        <f>IF(OR(A10=0,F10="否"),0,'数据-取费表'!K10+'数据-取费表'!S10)</f>
        <v>0</v>
      </c>
      <c r="F10" s="1273" t="s">
        <v>1503</v>
      </c>
    </row>
    <row r="11" spans="1:6" ht="14.4">
      <c r="A11" s="1271">
        <f>'数据-取费表'!AN11</f>
        <v>0</v>
      </c>
      <c r="B11" s="513" t="e">
        <f ca="1">IF(F11="是",'数据-取费表'!AO11,0)</f>
        <v>#REF!</v>
      </c>
      <c r="C11" s="1262" t="s">
        <v>1496</v>
      </c>
      <c r="D11" s="1265"/>
      <c r="E11" s="1272">
        <f>IF(OR(A11=0,F11="否"),0,'数据-取费表'!K11+'数据-取费表'!S11)</f>
        <v>0</v>
      </c>
      <c r="F11" s="1273" t="s">
        <v>1503</v>
      </c>
    </row>
    <row r="12" spans="1:6" ht="14.4">
      <c r="A12" s="1271">
        <f>'数据-取费表'!AN12</f>
        <v>0</v>
      </c>
      <c r="B12" s="513" t="e">
        <f ca="1">IF(F12="是",'数据-取费表'!AO12,0)</f>
        <v>#REF!</v>
      </c>
      <c r="C12" s="1262" t="s">
        <v>1496</v>
      </c>
      <c r="D12" s="1265"/>
      <c r="E12" s="1272">
        <f>IF(OR(A12=0,F12="否"),0,'数据-取费表'!K12+'数据-取费表'!S12)</f>
        <v>0</v>
      </c>
      <c r="F12" s="1273" t="s">
        <v>1503</v>
      </c>
    </row>
    <row r="13" spans="1:6" ht="14.4">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202" t="s">
        <v>1504</v>
      </c>
      <c r="B1" s="3203"/>
      <c r="C1" s="3204"/>
      <c r="D1" s="3205">
        <f>SUM(I10,I15,I20,I21,I23)</f>
        <v>0</v>
      </c>
      <c r="E1" s="3205"/>
      <c r="F1" s="3205"/>
      <c r="G1" s="3205"/>
      <c r="H1" s="3205"/>
      <c r="I1" s="3206"/>
    </row>
    <row r="2" spans="1:9">
      <c r="A2" s="3191" t="s">
        <v>1505</v>
      </c>
      <c r="B2" s="3201" t="s">
        <v>1506</v>
      </c>
      <c r="C2" s="3201"/>
      <c r="D2" s="1228" t="s">
        <v>1507</v>
      </c>
      <c r="E2" s="1228" t="s">
        <v>1508</v>
      </c>
      <c r="F2" s="1228" t="s">
        <v>1509</v>
      </c>
      <c r="G2" s="1228" t="s">
        <v>1510</v>
      </c>
      <c r="H2" s="1228" t="s">
        <v>1511</v>
      </c>
      <c r="I2" s="1252" t="s">
        <v>1512</v>
      </c>
    </row>
    <row r="3" spans="1:9">
      <c r="A3" s="3191"/>
      <c r="B3" s="3201" t="s">
        <v>1513</v>
      </c>
      <c r="C3" s="3201"/>
      <c r="D3" s="1229"/>
      <c r="E3" s="1228"/>
      <c r="F3" s="1230"/>
      <c r="G3" s="1230"/>
      <c r="H3" s="1231"/>
      <c r="I3" s="1253">
        <f>ROUND(D3*E3*F3*G3*H3/10000,0)</f>
        <v>0</v>
      </c>
    </row>
    <row r="4" spans="1:9">
      <c r="A4" s="3191"/>
      <c r="B4" s="3201" t="s">
        <v>1514</v>
      </c>
      <c r="C4" s="3201"/>
      <c r="D4" s="1229"/>
      <c r="E4" s="1228"/>
      <c r="F4" s="1230"/>
      <c r="G4" s="1230"/>
      <c r="H4" s="1231"/>
      <c r="I4" s="1253">
        <f t="shared" ref="I4:I9" si="0">ROUND(D4*E4*F4*G4*H4/10000,0)</f>
        <v>0</v>
      </c>
    </row>
    <row r="5" spans="1:9">
      <c r="A5" s="3191"/>
      <c r="B5" s="3201" t="s">
        <v>1515</v>
      </c>
      <c r="C5" s="3201"/>
      <c r="D5" s="1229"/>
      <c r="E5" s="1228"/>
      <c r="F5" s="1230"/>
      <c r="G5" s="1230"/>
      <c r="H5" s="1231"/>
      <c r="I5" s="1253">
        <f t="shared" si="0"/>
        <v>0</v>
      </c>
    </row>
    <row r="6" spans="1:9">
      <c r="A6" s="3191"/>
      <c r="B6" s="3201" t="s">
        <v>1516</v>
      </c>
      <c r="C6" s="3201"/>
      <c r="D6" s="1229"/>
      <c r="E6" s="1228"/>
      <c r="F6" s="1230"/>
      <c r="G6" s="1230"/>
      <c r="H6" s="1231"/>
      <c r="I6" s="1253">
        <f t="shared" si="0"/>
        <v>0</v>
      </c>
    </row>
    <row r="7" spans="1:9">
      <c r="A7" s="3191"/>
      <c r="B7" s="3201" t="s">
        <v>1517</v>
      </c>
      <c r="C7" s="3201"/>
      <c r="D7" s="1229"/>
      <c r="E7" s="1228"/>
      <c r="F7" s="1230"/>
      <c r="G7" s="1230"/>
      <c r="H7" s="1231"/>
      <c r="I7" s="1253">
        <f t="shared" si="0"/>
        <v>0</v>
      </c>
    </row>
    <row r="8" spans="1:9">
      <c r="A8" s="3191"/>
      <c r="B8" s="3201" t="s">
        <v>1518</v>
      </c>
      <c r="C8" s="3201"/>
      <c r="D8" s="1229"/>
      <c r="E8" s="1228"/>
      <c r="F8" s="1230"/>
      <c r="G8" s="1230"/>
      <c r="H8" s="1231"/>
      <c r="I8" s="1253">
        <f t="shared" si="0"/>
        <v>0</v>
      </c>
    </row>
    <row r="9" spans="1:9">
      <c r="A9" s="3191"/>
      <c r="B9" s="3201" t="s">
        <v>1519</v>
      </c>
      <c r="C9" s="3201"/>
      <c r="D9" s="1229"/>
      <c r="E9" s="1228"/>
      <c r="F9" s="1230"/>
      <c r="G9" s="1230"/>
      <c r="H9" s="1231"/>
      <c r="I9" s="1253">
        <f t="shared" si="0"/>
        <v>0</v>
      </c>
    </row>
    <row r="10" spans="1:9">
      <c r="A10" s="3191"/>
      <c r="B10" s="3199" t="s">
        <v>479</v>
      </c>
      <c r="C10" s="3199"/>
      <c r="D10" s="1232"/>
      <c r="E10" s="1232" t="e">
        <f>ROUND(D1*10000/D10/H9,0)</f>
        <v>#DIV/0!</v>
      </c>
      <c r="F10" s="1233"/>
      <c r="G10" s="1233"/>
      <c r="H10" s="1234"/>
      <c r="I10" s="1254">
        <f>SUM(I3:I9)</f>
        <v>0</v>
      </c>
    </row>
    <row r="11" spans="1:9" ht="15.6">
      <c r="A11" s="3191" t="s">
        <v>1520</v>
      </c>
      <c r="B11" s="3201" t="s">
        <v>1521</v>
      </c>
      <c r="C11" s="3201"/>
      <c r="D11" s="1229" t="s">
        <v>1522</v>
      </c>
      <c r="E11" s="1229" t="s">
        <v>1523</v>
      </c>
      <c r="F11" s="1230" t="s">
        <v>1524</v>
      </c>
      <c r="G11" s="1230" t="s">
        <v>1511</v>
      </c>
      <c r="H11" s="1235" t="s">
        <v>124</v>
      </c>
      <c r="I11" s="1252" t="s">
        <v>1512</v>
      </c>
    </row>
    <row r="12" spans="1:9">
      <c r="A12" s="3191"/>
      <c r="B12" s="3201" t="s">
        <v>1525</v>
      </c>
      <c r="C12" s="3201"/>
      <c r="D12" s="1229"/>
      <c r="E12" s="1229"/>
      <c r="F12" s="1230"/>
      <c r="G12" s="1231"/>
      <c r="H12" s="1236"/>
      <c r="I12" s="1252">
        <f>ROUND(D12*E12*F12*G12/10000,0)</f>
        <v>0</v>
      </c>
    </row>
    <row r="13" spans="1:9">
      <c r="A13" s="3191"/>
      <c r="B13" s="3201" t="s">
        <v>1526</v>
      </c>
      <c r="C13" s="3201"/>
      <c r="D13" s="1229"/>
      <c r="E13" s="1229"/>
      <c r="F13" s="1230"/>
      <c r="G13" s="1231"/>
      <c r="H13" s="1236"/>
      <c r="I13" s="1252">
        <f>ROUND(D13*E13*F13*G13/10000,0)</f>
        <v>0</v>
      </c>
    </row>
    <row r="14" spans="1:9">
      <c r="A14" s="3191"/>
      <c r="B14" s="3201" t="s">
        <v>1527</v>
      </c>
      <c r="C14" s="3201"/>
      <c r="D14" s="1229"/>
      <c r="E14" s="1229"/>
      <c r="F14" s="1230"/>
      <c r="G14" s="1231"/>
      <c r="H14" s="1236"/>
      <c r="I14" s="1252">
        <f>ROUND(D14*E14*F14*G14/10000,0)</f>
        <v>0</v>
      </c>
    </row>
    <row r="15" spans="1:9">
      <c r="A15" s="3191"/>
      <c r="B15" s="3199" t="s">
        <v>479</v>
      </c>
      <c r="C15" s="3199"/>
      <c r="D15" s="1232"/>
      <c r="E15" s="1232">
        <f>SUM(E12:E14)</f>
        <v>0</v>
      </c>
      <c r="F15" s="1233"/>
      <c r="G15" s="1231"/>
      <c r="H15" s="1236"/>
      <c r="I15" s="1255">
        <f>SUM(I12:I14)</f>
        <v>0</v>
      </c>
    </row>
    <row r="16" spans="1:9" ht="24">
      <c r="A16" s="3191" t="s">
        <v>1528</v>
      </c>
      <c r="B16" s="3201" t="s">
        <v>1529</v>
      </c>
      <c r="C16" s="3201"/>
      <c r="D16" s="1229" t="s">
        <v>1507</v>
      </c>
      <c r="E16" s="1237" t="s">
        <v>1530</v>
      </c>
      <c r="F16" s="1230" t="s">
        <v>1531</v>
      </c>
      <c r="G16" s="1231" t="s">
        <v>1511</v>
      </c>
      <c r="H16" s="1235" t="s">
        <v>124</v>
      </c>
      <c r="I16" s="1252" t="s">
        <v>1512</v>
      </c>
    </row>
    <row r="17" spans="1:9" ht="15.6">
      <c r="A17" s="3191"/>
      <c r="B17" s="3201" t="s">
        <v>1532</v>
      </c>
      <c r="C17" s="3201"/>
      <c r="D17" s="1229"/>
      <c r="E17" s="1229"/>
      <c r="F17" s="1230"/>
      <c r="G17" s="1231"/>
      <c r="H17" s="1238"/>
      <c r="I17" s="1256">
        <f>ROUND(D17*E17*F17*G17/10000,0)</f>
        <v>0</v>
      </c>
    </row>
    <row r="18" spans="1:9" ht="15.6">
      <c r="A18" s="3191"/>
      <c r="B18" s="3201" t="s">
        <v>1533</v>
      </c>
      <c r="C18" s="3201"/>
      <c r="D18" s="1229"/>
      <c r="E18" s="1229"/>
      <c r="F18" s="1230"/>
      <c r="G18" s="1231"/>
      <c r="H18" s="1238"/>
      <c r="I18" s="1256">
        <f>ROUND(D18*E18*F18*G18/10000,0)</f>
        <v>0</v>
      </c>
    </row>
    <row r="19" spans="1:9" ht="15.6">
      <c r="A19" s="3191"/>
      <c r="B19" s="3201" t="s">
        <v>1534</v>
      </c>
      <c r="C19" s="3201"/>
      <c r="D19" s="1229"/>
      <c r="E19" s="1229"/>
      <c r="F19" s="1230"/>
      <c r="G19" s="1231"/>
      <c r="H19" s="1238"/>
      <c r="I19" s="1256">
        <f>ROUND(D19*E19*F19*G19/10000,0)</f>
        <v>0</v>
      </c>
    </row>
    <row r="20" spans="1:9">
      <c r="A20" s="3191"/>
      <c r="B20" s="3199" t="s">
        <v>479</v>
      </c>
      <c r="C20" s="3199"/>
      <c r="D20" s="1232">
        <f>SUM(D17:D19)</f>
        <v>0</v>
      </c>
      <c r="E20" s="1232"/>
      <c r="F20" s="1233"/>
      <c r="G20" s="1231"/>
      <c r="H20" s="1236"/>
      <c r="I20" s="1255">
        <f>SUM(I17:I19)</f>
        <v>0</v>
      </c>
    </row>
    <row r="21" spans="1:9">
      <c r="A21" s="3191" t="s">
        <v>1535</v>
      </c>
      <c r="B21" s="3200"/>
      <c r="C21" s="3200"/>
      <c r="D21" s="3200"/>
      <c r="E21" s="3200"/>
      <c r="F21" s="3200"/>
      <c r="G21" s="3200"/>
      <c r="H21" s="1239">
        <v>0.1</v>
      </c>
      <c r="I21" s="1254">
        <f>ROUND(I10*H21,0)</f>
        <v>0</v>
      </c>
    </row>
    <row r="22" spans="1:9" ht="15.6">
      <c r="A22" s="3192" t="s">
        <v>1536</v>
      </c>
      <c r="B22" s="3193"/>
      <c r="C22" s="3194"/>
      <c r="D22" s="1240" t="s">
        <v>475</v>
      </c>
      <c r="E22" s="1240" t="s">
        <v>1537</v>
      </c>
      <c r="F22" s="1241" t="s">
        <v>1511</v>
      </c>
      <c r="G22" s="1241" t="s">
        <v>1538</v>
      </c>
      <c r="H22" s="1235" t="s">
        <v>124</v>
      </c>
      <c r="I22" s="1252" t="s">
        <v>1512</v>
      </c>
    </row>
    <row r="23" spans="1:9">
      <c r="A23" s="3195"/>
      <c r="B23" s="3196"/>
      <c r="C23" s="3197"/>
      <c r="D23" s="1242"/>
      <c r="E23" s="1242"/>
      <c r="F23" s="1242"/>
      <c r="G23" s="1243"/>
      <c r="H23" s="1244"/>
      <c r="I23" s="1257">
        <f>ROUND(E23*D23*F23*(1-G23)/10000,0)</f>
        <v>0</v>
      </c>
    </row>
    <row r="26" spans="1:9">
      <c r="A26" s="1245" t="s">
        <v>1539</v>
      </c>
      <c r="B26" s="1245"/>
      <c r="C26" s="1245"/>
      <c r="D26" s="1245"/>
      <c r="E26" s="3190">
        <f>C27-C30-C31-C32</f>
        <v>0</v>
      </c>
      <c r="F26" s="3190"/>
      <c r="G26" s="3190"/>
      <c r="H26" s="1246" t="s">
        <v>1540</v>
      </c>
    </row>
    <row r="27" spans="1:9">
      <c r="A27" s="1247">
        <v>1</v>
      </c>
      <c r="B27" s="1248" t="s">
        <v>1541</v>
      </c>
      <c r="C27" s="1248">
        <f>C28+C29</f>
        <v>0</v>
      </c>
      <c r="D27" s="1248"/>
      <c r="E27" s="3186"/>
      <c r="F27" s="3186"/>
      <c r="G27" s="3186"/>
    </row>
    <row r="28" spans="1:9">
      <c r="A28" s="1249" t="s">
        <v>1542</v>
      </c>
      <c r="B28" s="1248" t="s">
        <v>1543</v>
      </c>
      <c r="C28" s="1248"/>
      <c r="D28" s="1248"/>
      <c r="E28" s="3186"/>
      <c r="F28" s="3186"/>
      <c r="G28" s="3186"/>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198"/>
      <c r="F32" s="3198"/>
      <c r="G32" s="3198"/>
    </row>
    <row r="33" spans="1:7" hidden="1">
      <c r="A33" s="3187" t="s">
        <v>1552</v>
      </c>
      <c r="B33" s="3188"/>
      <c r="C33" s="3188"/>
      <c r="D33" s="3189"/>
      <c r="E33" s="3190"/>
      <c r="F33" s="3190"/>
      <c r="G33" s="3190"/>
    </row>
    <row r="34" spans="1:7" hidden="1">
      <c r="A34" s="1251">
        <v>1</v>
      </c>
      <c r="B34" s="1248" t="s">
        <v>1553</v>
      </c>
      <c r="C34" s="1248"/>
      <c r="D34" s="1248"/>
      <c r="E34" s="3186"/>
      <c r="F34" s="3186"/>
      <c r="G34" s="3186"/>
    </row>
    <row r="35" spans="1:7" hidden="1">
      <c r="A35" s="1251">
        <v>2</v>
      </c>
      <c r="B35" s="1248" t="s">
        <v>1554</v>
      </c>
      <c r="C35" s="1248"/>
      <c r="D35" s="1248"/>
      <c r="E35" s="3186"/>
      <c r="F35" s="3186"/>
      <c r="G35" s="3186"/>
    </row>
    <row r="36" spans="1:7" hidden="1">
      <c r="A36" s="1251">
        <v>3</v>
      </c>
      <c r="B36" s="1248" t="s">
        <v>1555</v>
      </c>
      <c r="C36" s="1248"/>
      <c r="D36" s="1248"/>
      <c r="E36" s="3186"/>
      <c r="F36" s="3186"/>
      <c r="G36" s="3186"/>
    </row>
    <row r="37" spans="1:7" hidden="1">
      <c r="A37" s="1251">
        <v>4</v>
      </c>
      <c r="B37" s="1248" t="s">
        <v>1556</v>
      </c>
      <c r="C37" s="1248"/>
      <c r="D37" s="1248"/>
      <c r="E37" s="3186"/>
      <c r="F37" s="3186"/>
      <c r="G37" s="3186"/>
    </row>
    <row r="38" spans="1:7" hidden="1">
      <c r="A38" s="3187" t="s">
        <v>1557</v>
      </c>
      <c r="B38" s="3188"/>
      <c r="C38" s="3188"/>
      <c r="D38" s="3189"/>
      <c r="E38" s="3190"/>
      <c r="F38" s="3190"/>
      <c r="G38" s="319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76" customWidth="1"/>
    <col min="2" max="2" width="15.77734375" style="576" customWidth="1"/>
    <col min="3" max="3" width="15.10937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1125"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4.4">
      <c r="A4" s="589" t="s">
        <v>1563</v>
      </c>
      <c r="B4" s="590"/>
      <c r="C4" s="3245" t="s">
        <v>1564</v>
      </c>
      <c r="D4" s="3246"/>
      <c r="E4" s="3247" t="s">
        <v>1565</v>
      </c>
      <c r="F4" s="3248"/>
      <c r="G4" s="3245" t="s">
        <v>1566</v>
      </c>
      <c r="H4" s="3246"/>
      <c r="I4" s="3245" t="s">
        <v>1567</v>
      </c>
      <c r="J4" s="3246"/>
      <c r="K4" s="1170"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7" t="s">
        <v>1566</v>
      </c>
      <c r="AC4" s="3207" t="s">
        <v>1567</v>
      </c>
    </row>
    <row r="5" spans="1:29">
      <c r="A5" s="591"/>
      <c r="B5" s="592"/>
      <c r="C5" s="3249" t="s">
        <v>1570</v>
      </c>
      <c r="D5" s="3250"/>
      <c r="E5" s="3251" t="s">
        <v>1571</v>
      </c>
      <c r="F5" s="3252"/>
      <c r="G5" s="3249" t="s">
        <v>1572</v>
      </c>
      <c r="H5" s="3250"/>
      <c r="I5" s="3249" t="s">
        <v>1573</v>
      </c>
      <c r="J5" s="3250"/>
      <c r="K5" s="1171"/>
      <c r="L5" s="737"/>
      <c r="M5" s="738"/>
      <c r="N5" s="738"/>
      <c r="O5" s="738"/>
      <c r="P5" s="3212"/>
      <c r="Q5" s="3213"/>
      <c r="R5" s="3218"/>
      <c r="S5" s="3219"/>
      <c r="T5" s="3218"/>
      <c r="U5" s="3219"/>
      <c r="V5" s="3222"/>
      <c r="W5" s="3222"/>
      <c r="X5" s="779"/>
      <c r="Y5" s="3218"/>
      <c r="Z5" s="3219"/>
      <c r="AA5" s="3208"/>
      <c r="AB5" s="3208"/>
      <c r="AC5" s="3208"/>
    </row>
    <row r="6" spans="1:29" ht="14.4">
      <c r="A6" s="593"/>
      <c r="B6" s="594"/>
      <c r="C6" s="3240" t="s">
        <v>1574</v>
      </c>
      <c r="D6" s="3241"/>
      <c r="E6" s="3242" t="s">
        <v>1574</v>
      </c>
      <c r="F6" s="3243"/>
      <c r="G6" s="3240" t="s">
        <v>1574</v>
      </c>
      <c r="H6" s="3241"/>
      <c r="I6" s="3240" t="s">
        <v>1574</v>
      </c>
      <c r="J6" s="3241"/>
      <c r="K6" s="1171" t="s">
        <v>1575</v>
      </c>
      <c r="L6" s="737"/>
      <c r="M6" s="738"/>
      <c r="N6" s="738"/>
      <c r="O6" s="738"/>
      <c r="P6" s="3214"/>
      <c r="Q6" s="3215"/>
      <c r="R6" s="3218"/>
      <c r="S6" s="3219"/>
      <c r="T6" s="3220"/>
      <c r="U6" s="3221"/>
      <c r="V6" s="3222"/>
      <c r="W6" s="3222"/>
      <c r="X6" s="779"/>
      <c r="Y6" s="3220"/>
      <c r="Z6" s="3221"/>
      <c r="AA6" s="3209"/>
      <c r="AB6" s="3209"/>
      <c r="AC6" s="3209"/>
    </row>
    <row r="7" spans="1:29" s="570" customFormat="1" ht="14.4">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4.4">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19" si="3">D8/F8</f>
        <v>#DIV/0!</v>
      </c>
      <c r="AB8" s="794" t="e">
        <f t="shared" ref="AB8:AB19" si="4">D8/H8</f>
        <v>#DIV/0!</v>
      </c>
      <c r="AC8" s="794" t="e">
        <f t="shared" ref="AC8:AC19" si="5">D8/J8</f>
        <v>#DIV/0!</v>
      </c>
    </row>
    <row r="9" spans="1:29" s="570" customFormat="1" ht="14.4">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8.8">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96.6">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31"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32"/>
      <c r="Q16" s="709"/>
      <c r="R16" s="785"/>
      <c r="S16" s="786"/>
      <c r="T16" s="785"/>
      <c r="U16" s="786"/>
      <c r="V16" s="785"/>
      <c r="W16" s="786"/>
      <c r="X16" s="779"/>
      <c r="Y16" s="3237"/>
      <c r="Z16" s="770"/>
      <c r="AA16" s="796">
        <v>1</v>
      </c>
      <c r="AB16" s="796">
        <v>1</v>
      </c>
      <c r="AC16" s="796">
        <v>1</v>
      </c>
    </row>
    <row r="17" spans="1:29" ht="82.8">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32"/>
      <c r="Q18" s="709"/>
      <c r="R18" s="785"/>
      <c r="S18" s="786"/>
      <c r="T18" s="785"/>
      <c r="U18" s="786"/>
      <c r="V18" s="785"/>
      <c r="W18" s="786"/>
      <c r="X18" s="779"/>
      <c r="Y18" s="3237"/>
      <c r="Z18" s="770"/>
      <c r="AA18" s="796">
        <v>1</v>
      </c>
      <c r="AB18" s="796">
        <v>1</v>
      </c>
      <c r="AC18" s="796">
        <v>1</v>
      </c>
    </row>
    <row r="19" spans="1:29" ht="41.4">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32"/>
      <c r="Q20" s="709"/>
      <c r="R20" s="785"/>
      <c r="S20" s="786"/>
      <c r="T20" s="785"/>
      <c r="U20" s="786"/>
      <c r="V20" s="785"/>
      <c r="W20" s="786"/>
      <c r="X20" s="779"/>
      <c r="Y20" s="3237"/>
      <c r="Z20" s="770"/>
      <c r="AA20" s="796">
        <v>1</v>
      </c>
      <c r="AB20" s="796">
        <v>1</v>
      </c>
      <c r="AC20" s="796">
        <v>1</v>
      </c>
    </row>
    <row r="21" spans="1:29" ht="27.6">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32"/>
      <c r="Q22" s="709"/>
      <c r="R22" s="785"/>
      <c r="S22" s="786"/>
      <c r="T22" s="785"/>
      <c r="U22" s="786"/>
      <c r="V22" s="785"/>
      <c r="W22" s="786"/>
      <c r="X22" s="779"/>
      <c r="Y22" s="3237"/>
      <c r="Z22" s="770"/>
      <c r="AA22" s="796">
        <v>1</v>
      </c>
      <c r="AB22" s="796">
        <v>1</v>
      </c>
      <c r="AC22" s="796">
        <v>1</v>
      </c>
    </row>
    <row r="23" spans="1:29" ht="55.2">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32"/>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7"/>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32"/>
      <c r="Q26" s="709" t="str">
        <f t="shared" si="11"/>
        <v>朝向</v>
      </c>
      <c r="R26" s="785" t="s">
        <v>1578</v>
      </c>
      <c r="S26" s="786">
        <f t="shared" si="12"/>
        <v>100</v>
      </c>
      <c r="T26" s="785" t="s">
        <v>1578</v>
      </c>
      <c r="U26" s="786">
        <f t="shared" si="13"/>
        <v>100</v>
      </c>
      <c r="V26" s="785" t="s">
        <v>1578</v>
      </c>
      <c r="W26" s="786">
        <f t="shared" si="14"/>
        <v>100</v>
      </c>
      <c r="X26" s="779"/>
      <c r="Y26" s="3237"/>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32"/>
      <c r="Q27" s="784">
        <f t="shared" si="11"/>
        <v>111</v>
      </c>
      <c r="R27" s="780" t="s">
        <v>1578</v>
      </c>
      <c r="S27" s="781">
        <f t="shared" si="12"/>
        <v>100</v>
      </c>
      <c r="T27" s="780" t="s">
        <v>1578</v>
      </c>
      <c r="U27" s="781">
        <f t="shared" si="13"/>
        <v>100</v>
      </c>
      <c r="V27" s="780" t="s">
        <v>1578</v>
      </c>
      <c r="W27" s="781">
        <f t="shared" si="14"/>
        <v>100</v>
      </c>
      <c r="X27" s="782"/>
      <c r="Y27" s="3237"/>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32"/>
      <c r="Q28" s="709">
        <f t="shared" si="11"/>
        <v>111</v>
      </c>
      <c r="R28" s="785" t="s">
        <v>1578</v>
      </c>
      <c r="S28" s="786">
        <f t="shared" si="12"/>
        <v>100</v>
      </c>
      <c r="T28" s="785" t="s">
        <v>1578</v>
      </c>
      <c r="U28" s="786">
        <f t="shared" si="13"/>
        <v>100</v>
      </c>
      <c r="V28" s="785" t="s">
        <v>1578</v>
      </c>
      <c r="W28" s="786">
        <f t="shared" si="14"/>
        <v>100</v>
      </c>
      <c r="X28" s="779"/>
      <c r="Y28" s="3237"/>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33" t="s">
        <v>1593</v>
      </c>
      <c r="Q32" s="709" t="str">
        <f t="shared" si="11"/>
        <v>建筑类型</v>
      </c>
      <c r="R32" s="785" t="s">
        <v>1578</v>
      </c>
      <c r="S32" s="786">
        <f t="shared" si="12"/>
        <v>100</v>
      </c>
      <c r="T32" s="785" t="s">
        <v>1578</v>
      </c>
      <c r="U32" s="786">
        <f t="shared" si="13"/>
        <v>100</v>
      </c>
      <c r="V32" s="785" t="s">
        <v>1578</v>
      </c>
      <c r="W32" s="786">
        <f t="shared" si="14"/>
        <v>100</v>
      </c>
      <c r="X32" s="779"/>
      <c r="Y32" s="3238"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34"/>
      <c r="Q33" s="1011" t="str">
        <f t="shared" si="11"/>
        <v>项目建筑规模</v>
      </c>
      <c r="R33" s="787" t="s">
        <v>1578</v>
      </c>
      <c r="S33" s="788" t="e">
        <f t="shared" si="12"/>
        <v>#N/A</v>
      </c>
      <c r="T33" s="787" t="s">
        <v>1578</v>
      </c>
      <c r="U33" s="788" t="e">
        <f t="shared" si="13"/>
        <v>#N/A</v>
      </c>
      <c r="V33" s="787" t="s">
        <v>1578</v>
      </c>
      <c r="W33" s="788" t="e">
        <f t="shared" si="14"/>
        <v>#N/A</v>
      </c>
      <c r="X33" s="789"/>
      <c r="Y33" s="3238"/>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34"/>
      <c r="Q35" s="709" t="str">
        <f t="shared" si="11"/>
        <v>建筑品质</v>
      </c>
      <c r="R35" s="785" t="s">
        <v>1578</v>
      </c>
      <c r="S35" s="786">
        <f t="shared" si="12"/>
        <v>100</v>
      </c>
      <c r="T35" s="785" t="s">
        <v>1578</v>
      </c>
      <c r="U35" s="786">
        <f t="shared" si="13"/>
        <v>100</v>
      </c>
      <c r="V35" s="785" t="s">
        <v>1578</v>
      </c>
      <c r="W35" s="786">
        <f t="shared" si="14"/>
        <v>100</v>
      </c>
      <c r="X35" s="779"/>
      <c r="Y35" s="3238"/>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34"/>
      <c r="Q37" s="784" t="str">
        <f t="shared" si="11"/>
        <v>成新度</v>
      </c>
      <c r="R37" s="780" t="s">
        <v>1578</v>
      </c>
      <c r="S37" s="781" t="e">
        <f t="shared" si="12"/>
        <v>#N/A</v>
      </c>
      <c r="T37" s="780" t="s">
        <v>1578</v>
      </c>
      <c r="U37" s="781" t="e">
        <f t="shared" si="13"/>
        <v>#N/A</v>
      </c>
      <c r="V37" s="780" t="s">
        <v>1578</v>
      </c>
      <c r="W37" s="781" t="e">
        <f t="shared" si="14"/>
        <v>#N/A</v>
      </c>
      <c r="X37" s="782"/>
      <c r="Y37" s="3238"/>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34" t="s">
        <v>1593</v>
      </c>
      <c r="Q38" s="709" t="str">
        <f t="shared" si="11"/>
        <v>物业管理</v>
      </c>
      <c r="R38" s="785" t="s">
        <v>1578</v>
      </c>
      <c r="S38" s="786">
        <f t="shared" si="12"/>
        <v>100</v>
      </c>
      <c r="T38" s="785" t="s">
        <v>1578</v>
      </c>
      <c r="U38" s="786">
        <f t="shared" si="13"/>
        <v>100</v>
      </c>
      <c r="V38" s="785" t="s">
        <v>1578</v>
      </c>
      <c r="W38" s="786">
        <f t="shared" si="14"/>
        <v>100</v>
      </c>
      <c r="X38" s="779"/>
      <c r="Y38" s="3238"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34"/>
      <c r="Q39" s="709" t="str">
        <f t="shared" si="11"/>
        <v>市政基础设施</v>
      </c>
      <c r="R39" s="785" t="s">
        <v>1578</v>
      </c>
      <c r="S39" s="786">
        <f t="shared" si="12"/>
        <v>100</v>
      </c>
      <c r="T39" s="785" t="s">
        <v>1578</v>
      </c>
      <c r="U39" s="786">
        <f t="shared" si="13"/>
        <v>100</v>
      </c>
      <c r="V39" s="785" t="s">
        <v>1578</v>
      </c>
      <c r="W39" s="786">
        <f t="shared" si="14"/>
        <v>100</v>
      </c>
      <c r="X39" s="779"/>
      <c r="Y39" s="3238"/>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34"/>
      <c r="Q40" s="709" t="str">
        <f t="shared" si="11"/>
        <v>房型</v>
      </c>
      <c r="R40" s="785" t="s">
        <v>1578</v>
      </c>
      <c r="S40" s="786">
        <f t="shared" si="12"/>
        <v>100</v>
      </c>
      <c r="T40" s="785" t="s">
        <v>1578</v>
      </c>
      <c r="U40" s="786">
        <f t="shared" si="13"/>
        <v>100</v>
      </c>
      <c r="V40" s="785" t="s">
        <v>1578</v>
      </c>
      <c r="W40" s="786">
        <f t="shared" si="14"/>
        <v>100</v>
      </c>
      <c r="X40" s="779"/>
      <c r="Y40" s="3238"/>
      <c r="Z40" s="770" t="str">
        <f t="shared" si="18"/>
        <v>房型</v>
      </c>
      <c r="AA40" s="796">
        <f t="shared" si="15"/>
        <v>1</v>
      </c>
      <c r="AB40" s="796">
        <f t="shared" si="16"/>
        <v>1</v>
      </c>
      <c r="AC40" s="796">
        <f t="shared" si="17"/>
        <v>1</v>
      </c>
    </row>
    <row r="41" spans="1:29" s="572" customFormat="1" ht="28.8">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34"/>
      <c r="Q41" s="1011" t="str">
        <f t="shared" si="11"/>
        <v>单套/主力户型建筑面积</v>
      </c>
      <c r="R41" s="787" t="s">
        <v>1578</v>
      </c>
      <c r="S41" s="788">
        <f t="shared" si="12"/>
        <v>100</v>
      </c>
      <c r="T41" s="787" t="s">
        <v>1578</v>
      </c>
      <c r="U41" s="788">
        <f t="shared" si="13"/>
        <v>100</v>
      </c>
      <c r="V41" s="787" t="s">
        <v>1578</v>
      </c>
      <c r="W41" s="788">
        <f t="shared" si="14"/>
        <v>100</v>
      </c>
      <c r="X41" s="789"/>
      <c r="Y41" s="3238"/>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8"/>
        <v>内部装修</v>
      </c>
      <c r="AA42" s="796">
        <f t="shared" si="15"/>
        <v>1</v>
      </c>
      <c r="AB42" s="796">
        <f t="shared" si="16"/>
        <v>1</v>
      </c>
      <c r="AC42" s="796">
        <f t="shared" si="17"/>
        <v>1</v>
      </c>
    </row>
    <row r="43" spans="1:29" ht="28.8">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8"/>
        <v>111</v>
      </c>
      <c r="AA46" s="796">
        <f t="shared" si="15"/>
        <v>1</v>
      </c>
      <c r="AB46" s="796">
        <f t="shared" si="16"/>
        <v>1</v>
      </c>
      <c r="AC46" s="796">
        <f t="shared" si="17"/>
        <v>1</v>
      </c>
    </row>
    <row r="47" spans="1:29" ht="14.4">
      <c r="A47" s="669" t="s">
        <v>1604</v>
      </c>
      <c r="B47" s="986"/>
      <c r="C47" s="987" t="s">
        <v>124</v>
      </c>
      <c r="D47" s="988"/>
      <c r="E47" s="989"/>
      <c r="F47" s="990"/>
      <c r="G47" s="991"/>
      <c r="H47" s="992"/>
      <c r="I47" s="989"/>
      <c r="J47" s="992"/>
      <c r="K47" s="1178"/>
      <c r="L47" s="762"/>
      <c r="M47" s="686"/>
      <c r="N47" s="738"/>
      <c r="O47" s="686"/>
      <c r="P47" s="3223" t="str">
        <f>A47</f>
        <v>成交单价（元/平方米）</v>
      </c>
      <c r="Q47" s="3223"/>
      <c r="R47" s="3224">
        <f>E47</f>
        <v>0</v>
      </c>
      <c r="S47" s="3224"/>
      <c r="T47" s="3224">
        <f>G47</f>
        <v>0</v>
      </c>
      <c r="U47" s="3224"/>
      <c r="V47" s="3224">
        <f>I47</f>
        <v>0</v>
      </c>
      <c r="W47" s="3224"/>
      <c r="X47" s="726"/>
      <c r="Y47" s="798"/>
      <c r="Z47" s="726"/>
      <c r="AA47" s="726"/>
      <c r="AB47" s="726"/>
      <c r="AC47" s="726"/>
    </row>
    <row r="48" spans="1:29" ht="14.4">
      <c r="A48" s="677" t="s">
        <v>1605</v>
      </c>
      <c r="B48" s="993"/>
      <c r="C48" s="994" t="e">
        <f>R49</f>
        <v>#DIV/0!</v>
      </c>
      <c r="D48" s="995"/>
      <c r="E48" s="996" t="e">
        <f>R48</f>
        <v>#DIV/0!</v>
      </c>
      <c r="F48" s="996"/>
      <c r="G48" s="994" t="e">
        <f>T48</f>
        <v>#DIV/0!</v>
      </c>
      <c r="H48" s="995"/>
      <c r="I48" s="996" t="e">
        <f>V48</f>
        <v>#DIV/0!</v>
      </c>
      <c r="J48" s="995"/>
      <c r="K48" s="1179"/>
      <c r="L48" s="762"/>
      <c r="M48" s="686"/>
      <c r="N48" s="686"/>
      <c r="O48" s="68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26"/>
      <c r="Y48" s="726"/>
      <c r="Z48" s="726"/>
      <c r="AA48" s="726"/>
      <c r="AB48" s="726"/>
      <c r="AC48" s="726"/>
    </row>
    <row r="49" spans="1:29" ht="14.4">
      <c r="A49" s="683" t="s">
        <v>1606</v>
      </c>
      <c r="B49" s="684"/>
      <c r="C49" s="1162" t="e">
        <f>R49</f>
        <v>#DIV/0!</v>
      </c>
      <c r="D49" s="997"/>
      <c r="E49" s="997"/>
      <c r="F49" s="997"/>
      <c r="G49" s="997"/>
      <c r="H49" s="997"/>
      <c r="I49" s="997"/>
      <c r="J49" s="997"/>
      <c r="K49" s="1180"/>
      <c r="L49" s="762"/>
      <c r="M49" s="686"/>
      <c r="N49" s="686"/>
      <c r="O49" s="686"/>
      <c r="P49" s="3225" t="str">
        <f>A49</f>
        <v>估价对象XX用房的比较价值（楼面单价，元/平方米）</v>
      </c>
      <c r="Q49" s="3226"/>
      <c r="R49" s="3227" t="e">
        <f>IF(F1="售价",ROUND(AVERAGE(R48:V48),0),ROUND(AVERAGE(R48:V48),1))</f>
        <v>#DIV/0!</v>
      </c>
      <c r="S49" s="3227"/>
      <c r="T49" s="3227"/>
      <c r="U49" s="3227"/>
      <c r="V49" s="3227"/>
      <c r="W49" s="3227"/>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6">
      <c r="A57" s="725" t="s">
        <v>1610</v>
      </c>
      <c r="B57" s="726"/>
      <c r="C57" s="727"/>
      <c r="D57" s="727"/>
      <c r="E57" s="727"/>
      <c r="F57" s="728"/>
      <c r="G57" s="728"/>
      <c r="H57" s="727"/>
      <c r="I57" s="727"/>
      <c r="J57" s="727"/>
      <c r="K57" s="942"/>
      <c r="L57" s="943"/>
      <c r="M57" s="777"/>
      <c r="N57" s="777"/>
      <c r="O57" s="777"/>
      <c r="P57" s="1182"/>
      <c r="Q57" s="790"/>
    </row>
    <row r="58" spans="1:29" s="575" customFormat="1" ht="14.4">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c r="A59" s="1002"/>
      <c r="B59" s="1164"/>
      <c r="C59" s="1003">
        <v>100</v>
      </c>
      <c r="D59" s="1105"/>
      <c r="E59" s="815"/>
      <c r="F59" s="815"/>
      <c r="G59" s="815"/>
      <c r="H59" s="815"/>
      <c r="I59" s="815"/>
      <c r="J59" s="815"/>
      <c r="K59" s="815"/>
      <c r="L59" s="815"/>
      <c r="M59" s="1010"/>
      <c r="N59" s="815"/>
      <c r="O59" s="1010"/>
      <c r="P59" s="1139"/>
    </row>
    <row r="60" spans="1:29" s="570" customFormat="1" ht="14.4">
      <c r="A60" s="806" t="s">
        <v>1611</v>
      </c>
      <c r="B60" s="807"/>
      <c r="C60" s="808"/>
      <c r="D60" s="809"/>
      <c r="E60" s="809"/>
      <c r="F60" s="809"/>
      <c r="G60" s="809"/>
      <c r="H60" s="809"/>
      <c r="I60" s="809"/>
      <c r="J60" s="809"/>
      <c r="K60" s="809"/>
      <c r="L60" s="809"/>
      <c r="M60" s="857"/>
      <c r="N60" s="809"/>
      <c r="O60" s="857"/>
      <c r="P60" s="1139"/>
      <c r="Q60" s="790"/>
    </row>
    <row r="61" spans="1:29" s="570" customFormat="1" ht="14.4">
      <c r="A61" s="810" t="s">
        <v>1579</v>
      </c>
      <c r="B61" s="811"/>
      <c r="C61" s="812" t="s">
        <v>1580</v>
      </c>
      <c r="D61" s="813"/>
      <c r="E61" s="813"/>
      <c r="F61" s="813"/>
      <c r="G61" s="813"/>
      <c r="H61" s="813"/>
      <c r="I61" s="813"/>
      <c r="J61" s="813"/>
      <c r="K61" s="813"/>
      <c r="L61" s="859"/>
      <c r="M61" s="860"/>
      <c r="N61" s="861"/>
      <c r="O61" s="861"/>
      <c r="P61" s="1140"/>
      <c r="Q61" s="790"/>
    </row>
    <row r="62" spans="1:29" s="570" customFormat="1">
      <c r="A62" s="810"/>
      <c r="B62" s="811"/>
      <c r="C62" s="1105">
        <v>100</v>
      </c>
      <c r="D62" s="815"/>
      <c r="E62" s="815"/>
      <c r="F62" s="815"/>
      <c r="G62" s="815"/>
      <c r="H62" s="815"/>
      <c r="I62" s="815"/>
      <c r="J62" s="815"/>
      <c r="K62" s="815"/>
      <c r="L62" s="815"/>
      <c r="M62" s="863"/>
      <c r="N62" s="861"/>
      <c r="O62" s="861"/>
      <c r="P62" s="1139"/>
      <c r="Q62" s="790"/>
    </row>
    <row r="63" spans="1:29" ht="14.4">
      <c r="A63" s="816" t="s">
        <v>1612</v>
      </c>
      <c r="B63" s="817" t="s">
        <v>348</v>
      </c>
      <c r="C63" s="839">
        <f>C9</f>
        <v>0</v>
      </c>
      <c r="D63" s="759"/>
      <c r="E63" s="759"/>
      <c r="F63" s="759"/>
      <c r="G63" s="759"/>
      <c r="H63" s="759"/>
      <c r="I63" s="759"/>
      <c r="J63" s="759"/>
      <c r="K63" s="864"/>
      <c r="L63" s="865"/>
      <c r="M63" s="866"/>
      <c r="N63" s="867"/>
      <c r="O63" s="867"/>
      <c r="P63" s="1141"/>
      <c r="Q63" s="790"/>
    </row>
    <row r="64" spans="1:29">
      <c r="A64" s="818"/>
      <c r="B64" s="819"/>
      <c r="C64" s="820">
        <v>100</v>
      </c>
      <c r="D64" s="820"/>
      <c r="E64" s="820"/>
      <c r="F64" s="820"/>
      <c r="G64" s="820"/>
      <c r="H64" s="820"/>
      <c r="I64" s="820"/>
      <c r="J64" s="820"/>
      <c r="K64" s="820"/>
      <c r="L64" s="820"/>
      <c r="M64" s="869"/>
      <c r="N64" s="870"/>
      <c r="O64" s="870"/>
      <c r="P64" s="1141"/>
      <c r="Q64" s="790"/>
    </row>
    <row r="65" spans="1:17" ht="28.8">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4.4">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c r="A68" s="818"/>
      <c r="B68" s="827"/>
      <c r="C68" s="617"/>
      <c r="D68" s="617"/>
      <c r="E68" s="617"/>
      <c r="F68" s="617"/>
      <c r="G68" s="617"/>
      <c r="H68" s="617"/>
      <c r="I68" s="617"/>
      <c r="J68" s="617"/>
      <c r="K68" s="875"/>
      <c r="L68" s="876"/>
      <c r="M68" s="877"/>
      <c r="N68" s="867"/>
      <c r="O68" s="867"/>
      <c r="P68" s="1141"/>
      <c r="Q68" s="790"/>
    </row>
    <row r="69" spans="1:17">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c r="A70" s="828"/>
      <c r="B70" s="821">
        <f>B12</f>
        <v>111</v>
      </c>
      <c r="C70" s="829"/>
      <c r="D70" s="829"/>
      <c r="E70" s="829"/>
      <c r="F70" s="829"/>
      <c r="G70" s="829"/>
      <c r="H70" s="830"/>
      <c r="I70" s="830"/>
      <c r="J70" s="830"/>
      <c r="K70" s="830"/>
      <c r="L70" s="878"/>
      <c r="M70" s="879"/>
      <c r="N70" s="880"/>
      <c r="O70" s="880"/>
      <c r="P70" s="1151"/>
      <c r="Q70" s="911"/>
    </row>
    <row r="71" spans="1:17" s="572" customFormat="1">
      <c r="A71" s="828"/>
      <c r="B71" s="823"/>
      <c r="C71" s="831"/>
      <c r="D71" s="820"/>
      <c r="E71" s="820"/>
      <c r="F71" s="820"/>
      <c r="G71" s="820"/>
      <c r="H71" s="820"/>
      <c r="I71" s="820"/>
      <c r="J71" s="820"/>
      <c r="K71" s="820"/>
      <c r="L71" s="820"/>
      <c r="M71" s="869"/>
      <c r="N71" s="870"/>
      <c r="O71" s="870"/>
      <c r="P71" s="1151"/>
      <c r="Q71" s="911"/>
    </row>
    <row r="72" spans="1:17" s="572" customFormat="1">
      <c r="A72" s="828"/>
      <c r="B72" s="821">
        <f>B13</f>
        <v>111</v>
      </c>
      <c r="C72" s="829"/>
      <c r="D72" s="829"/>
      <c r="E72" s="829"/>
      <c r="F72" s="829"/>
      <c r="G72" s="829"/>
      <c r="H72" s="830"/>
      <c r="I72" s="830"/>
      <c r="J72" s="830"/>
      <c r="K72" s="830"/>
      <c r="L72" s="878"/>
      <c r="M72" s="879"/>
      <c r="N72" s="880"/>
      <c r="O72" s="880"/>
      <c r="P72" s="1152"/>
      <c r="Q72" s="912"/>
    </row>
    <row r="73" spans="1:17" s="572" customFormat="1">
      <c r="A73" s="828"/>
      <c r="B73" s="823"/>
      <c r="C73" s="831"/>
      <c r="D73" s="831"/>
      <c r="E73" s="831"/>
      <c r="F73" s="831"/>
      <c r="G73" s="831"/>
      <c r="H73" s="832"/>
      <c r="I73" s="832"/>
      <c r="J73" s="832"/>
      <c r="K73" s="832"/>
      <c r="L73" s="832"/>
      <c r="M73" s="883"/>
      <c r="N73" s="880"/>
      <c r="O73" s="880"/>
      <c r="P73" s="1151"/>
      <c r="Q73" s="911"/>
    </row>
    <row r="74" spans="1:17" s="572" customFormat="1">
      <c r="A74" s="828"/>
      <c r="B74" s="825">
        <f>B14</f>
        <v>111</v>
      </c>
      <c r="C74" s="829"/>
      <c r="D74" s="829"/>
      <c r="E74" s="829"/>
      <c r="F74" s="829"/>
      <c r="G74" s="813"/>
      <c r="H74" s="833"/>
      <c r="I74" s="833"/>
      <c r="J74" s="833"/>
      <c r="K74" s="833"/>
      <c r="L74" s="884"/>
      <c r="M74" s="885"/>
      <c r="N74" s="880"/>
      <c r="O74" s="880"/>
      <c r="P74" s="1153"/>
      <c r="Q74" s="911"/>
    </row>
    <row r="75" spans="1:17" s="572" customFormat="1">
      <c r="A75" s="834"/>
      <c r="B75" s="835"/>
      <c r="C75" s="836"/>
      <c r="D75" s="836"/>
      <c r="E75" s="836"/>
      <c r="F75" s="836"/>
      <c r="G75" s="836"/>
      <c r="H75" s="837"/>
      <c r="I75" s="837"/>
      <c r="J75" s="837"/>
      <c r="K75" s="837"/>
      <c r="L75" s="837"/>
      <c r="M75" s="887"/>
      <c r="N75" s="880"/>
      <c r="O75" s="880"/>
      <c r="P75" s="1151"/>
      <c r="Q75" s="911"/>
    </row>
    <row r="76" spans="1:17" ht="14.4">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4.4">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4.4">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4.4">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4.4">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4.4">
      <c r="A86" s="841"/>
      <c r="B86" s="821" t="s">
        <v>1589</v>
      </c>
      <c r="C86" s="829"/>
      <c r="D86" s="829"/>
      <c r="E86" s="829"/>
      <c r="F86" s="829"/>
      <c r="G86" s="829"/>
      <c r="H86" s="829"/>
      <c r="I86" s="829"/>
      <c r="J86" s="829"/>
      <c r="K86" s="829"/>
      <c r="L86" s="1016"/>
      <c r="M86" s="1017"/>
      <c r="N86" s="861"/>
      <c r="O86" s="861"/>
      <c r="P86" s="1141"/>
      <c r="Q86" s="790"/>
    </row>
    <row r="87" spans="1:17" s="570" customFormat="1">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4.4">
      <c r="A88" s="841"/>
      <c r="B88" s="821" t="s">
        <v>1590</v>
      </c>
      <c r="C88" s="829"/>
      <c r="D88" s="829"/>
      <c r="E88" s="829"/>
      <c r="F88" s="1117"/>
      <c r="G88" s="829"/>
      <c r="H88" s="829"/>
      <c r="I88" s="829"/>
      <c r="J88" s="829"/>
      <c r="K88" s="829"/>
      <c r="L88" s="829"/>
      <c r="M88" s="1017"/>
      <c r="N88" s="861"/>
      <c r="O88" s="861"/>
      <c r="P88" s="1141"/>
      <c r="Q88" s="790"/>
    </row>
    <row r="89" spans="1:17" s="570" customFormat="1">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c r="A90" s="828"/>
      <c r="B90" s="821">
        <f>B27</f>
        <v>111</v>
      </c>
      <c r="C90" s="829"/>
      <c r="D90" s="829"/>
      <c r="E90" s="829"/>
      <c r="F90" s="829"/>
      <c r="G90" s="829"/>
      <c r="H90" s="830"/>
      <c r="I90" s="830"/>
      <c r="J90" s="830"/>
      <c r="K90" s="830"/>
      <c r="L90" s="878"/>
      <c r="M90" s="879"/>
      <c r="N90" s="880"/>
      <c r="O90" s="880"/>
      <c r="P90" s="1151"/>
      <c r="Q90" s="911"/>
    </row>
    <row r="91" spans="1:17" s="572" customFormat="1">
      <c r="A91" s="828"/>
      <c r="B91" s="823"/>
      <c r="C91" s="831"/>
      <c r="D91" s="831"/>
      <c r="E91" s="831"/>
      <c r="F91" s="831"/>
      <c r="G91" s="831"/>
      <c r="H91" s="832"/>
      <c r="I91" s="832"/>
      <c r="J91" s="832"/>
      <c r="K91" s="832"/>
      <c r="L91" s="832"/>
      <c r="M91" s="883"/>
      <c r="N91" s="880"/>
      <c r="O91" s="880"/>
      <c r="P91" s="1151"/>
      <c r="Q91" s="911"/>
    </row>
    <row r="92" spans="1:17">
      <c r="A92" s="818"/>
      <c r="B92" s="821">
        <f>B28</f>
        <v>111</v>
      </c>
      <c r="C92" s="829"/>
      <c r="D92" s="829"/>
      <c r="E92" s="829"/>
      <c r="F92" s="829"/>
      <c r="G92" s="846"/>
      <c r="H92" s="846"/>
      <c r="I92" s="846"/>
      <c r="J92" s="846"/>
      <c r="K92" s="898"/>
      <c r="L92" s="899"/>
      <c r="M92" s="900"/>
      <c r="N92" s="867"/>
      <c r="O92" s="867"/>
      <c r="P92" s="1141"/>
      <c r="Q92" s="790"/>
    </row>
    <row r="93" spans="1:17">
      <c r="A93" s="818"/>
      <c r="B93" s="823"/>
      <c r="C93" s="831"/>
      <c r="D93" s="820"/>
      <c r="E93" s="820"/>
      <c r="F93" s="820"/>
      <c r="G93" s="820"/>
      <c r="H93" s="820"/>
      <c r="I93" s="820"/>
      <c r="J93" s="820"/>
      <c r="K93" s="820"/>
      <c r="L93" s="820"/>
      <c r="M93" s="869"/>
      <c r="N93" s="870"/>
      <c r="O93" s="870"/>
      <c r="P93" s="1141"/>
      <c r="Q93" s="790"/>
    </row>
    <row r="94" spans="1:17">
      <c r="A94" s="818"/>
      <c r="B94" s="821">
        <f>B29</f>
        <v>111</v>
      </c>
      <c r="C94" s="829"/>
      <c r="D94" s="829"/>
      <c r="E94" s="829"/>
      <c r="F94" s="829"/>
      <c r="G94" s="846"/>
      <c r="H94" s="846"/>
      <c r="I94" s="846"/>
      <c r="J94" s="846"/>
      <c r="K94" s="898"/>
      <c r="L94" s="899"/>
      <c r="M94" s="900"/>
      <c r="N94" s="867"/>
      <c r="O94" s="867"/>
      <c r="P94" s="1141"/>
      <c r="Q94" s="790"/>
    </row>
    <row r="95" spans="1:17">
      <c r="A95" s="818"/>
      <c r="B95" s="823"/>
      <c r="C95" s="831"/>
      <c r="D95" s="831"/>
      <c r="E95" s="831"/>
      <c r="F95" s="831"/>
      <c r="G95" s="820"/>
      <c r="H95" s="820"/>
      <c r="I95" s="820"/>
      <c r="J95" s="820"/>
      <c r="K95" s="820"/>
      <c r="L95" s="820"/>
      <c r="M95" s="869"/>
      <c r="N95" s="870"/>
      <c r="O95" s="870"/>
      <c r="P95" s="1141"/>
      <c r="Q95" s="790"/>
    </row>
    <row r="96" spans="1:17">
      <c r="A96" s="818"/>
      <c r="B96" s="821">
        <f>B30</f>
        <v>111</v>
      </c>
      <c r="C96" s="829"/>
      <c r="D96" s="829"/>
      <c r="E96" s="829"/>
      <c r="F96" s="829"/>
      <c r="G96" s="846"/>
      <c r="H96" s="846"/>
      <c r="I96" s="846"/>
      <c r="J96" s="846"/>
      <c r="K96" s="898"/>
      <c r="L96" s="899"/>
      <c r="M96" s="900"/>
      <c r="N96" s="867"/>
      <c r="O96" s="867"/>
      <c r="P96" s="1141"/>
      <c r="Q96" s="790"/>
    </row>
    <row r="97" spans="1:17">
      <c r="A97" s="818"/>
      <c r="B97" s="823"/>
      <c r="C97" s="836"/>
      <c r="D97" s="836"/>
      <c r="E97" s="836"/>
      <c r="F97" s="836"/>
      <c r="G97" s="820"/>
      <c r="H97" s="820"/>
      <c r="I97" s="820"/>
      <c r="J97" s="820"/>
      <c r="K97" s="820"/>
      <c r="L97" s="820"/>
      <c r="M97" s="869"/>
      <c r="N97" s="870"/>
      <c r="O97" s="870"/>
      <c r="P97" s="1141"/>
      <c r="Q97" s="790"/>
    </row>
    <row r="98" spans="1:17">
      <c r="A98" s="818"/>
      <c r="B98" s="825">
        <f>B31</f>
        <v>111</v>
      </c>
      <c r="C98" s="847"/>
      <c r="D98" s="847"/>
      <c r="E98" s="847"/>
      <c r="F98" s="847"/>
      <c r="G98" s="847"/>
      <c r="H98" s="847"/>
      <c r="I98" s="847"/>
      <c r="J98" s="847"/>
      <c r="K98" s="901"/>
      <c r="L98" s="902"/>
      <c r="M98" s="903"/>
      <c r="N98" s="867"/>
      <c r="O98" s="867"/>
      <c r="P98" s="1141"/>
      <c r="Q98" s="790"/>
    </row>
    <row r="99" spans="1:17">
      <c r="A99" s="1094"/>
      <c r="B99" s="835"/>
      <c r="C99" s="848"/>
      <c r="D99" s="848"/>
      <c r="E99" s="848"/>
      <c r="F99" s="848"/>
      <c r="G99" s="848"/>
      <c r="H99" s="848"/>
      <c r="I99" s="848"/>
      <c r="J99" s="848"/>
      <c r="K99" s="848"/>
      <c r="L99" s="848"/>
      <c r="M99" s="904"/>
      <c r="N99" s="870"/>
      <c r="O99" s="870"/>
      <c r="P99" s="1141"/>
      <c r="Q99" s="790"/>
    </row>
    <row r="100" spans="1:17" ht="14.4">
      <c r="A100" s="816" t="s">
        <v>1591</v>
      </c>
      <c r="B100" s="817" t="s">
        <v>1592</v>
      </c>
      <c r="C100" s="759"/>
      <c r="D100" s="759"/>
      <c r="E100" s="759"/>
      <c r="F100" s="759"/>
      <c r="G100" s="759"/>
      <c r="H100" s="759"/>
      <c r="I100" s="759"/>
      <c r="J100" s="759"/>
      <c r="K100" s="864"/>
      <c r="L100" s="865"/>
      <c r="M100" s="866"/>
      <c r="N100" s="867"/>
      <c r="O100" s="867"/>
      <c r="P100" s="1141"/>
      <c r="Q100" s="790"/>
    </row>
    <row r="101" spans="1:17">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4.4">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c r="A104" s="828"/>
      <c r="B104" s="823"/>
      <c r="C104" s="831"/>
      <c r="D104" s="820"/>
      <c r="E104" s="820"/>
      <c r="F104" s="820"/>
      <c r="G104" s="820"/>
      <c r="H104" s="820"/>
      <c r="I104" s="820"/>
      <c r="J104" s="820"/>
      <c r="K104" s="820"/>
      <c r="L104" s="820"/>
      <c r="M104" s="820"/>
      <c r="N104" s="870"/>
      <c r="O104" s="870"/>
      <c r="P104" s="1151"/>
      <c r="Q104" s="911"/>
    </row>
    <row r="105" spans="1:17" ht="14.4">
      <c r="A105" s="852"/>
      <c r="B105" s="821" t="s">
        <v>1595</v>
      </c>
      <c r="C105" s="829"/>
      <c r="D105" s="829"/>
      <c r="E105" s="846"/>
      <c r="F105" s="846"/>
      <c r="G105" s="846"/>
      <c r="H105" s="846"/>
      <c r="I105" s="846"/>
      <c r="J105" s="846"/>
      <c r="K105" s="898"/>
      <c r="L105" s="899"/>
      <c r="M105" s="900"/>
      <c r="N105" s="867"/>
      <c r="O105" s="867"/>
      <c r="P105" s="1141"/>
      <c r="Q105" s="790"/>
    </row>
    <row r="106" spans="1:17">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ht="14.4">
      <c r="A107" s="852"/>
      <c r="B107" s="821" t="s">
        <v>1596</v>
      </c>
      <c r="C107" s="846"/>
      <c r="D107" s="846"/>
      <c r="E107" s="846"/>
      <c r="F107" s="846"/>
      <c r="G107" s="846"/>
      <c r="H107" s="846"/>
      <c r="I107" s="846"/>
      <c r="J107" s="846"/>
      <c r="K107" s="898"/>
      <c r="L107" s="899"/>
      <c r="M107" s="900"/>
      <c r="N107" s="867"/>
      <c r="O107" s="867"/>
      <c r="P107" s="1141"/>
      <c r="Q107" s="790"/>
    </row>
    <row r="108" spans="1:17">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ht="14.4">
      <c r="A109" s="852"/>
      <c r="B109" s="821" t="s">
        <v>1597</v>
      </c>
      <c r="C109" s="829"/>
      <c r="D109" s="829"/>
      <c r="E109" s="829"/>
      <c r="F109" s="846"/>
      <c r="G109" s="846"/>
      <c r="H109" s="846"/>
      <c r="I109" s="846"/>
      <c r="J109" s="846"/>
      <c r="K109" s="898"/>
      <c r="L109" s="899"/>
      <c r="M109" s="900"/>
      <c r="N109" s="867"/>
      <c r="O109" s="867"/>
      <c r="P109" s="1141"/>
      <c r="Q109" s="790"/>
    </row>
    <row r="110" spans="1:17">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ht="14.4">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ht="14.4">
      <c r="A114" s="852"/>
      <c r="B114" s="821" t="s">
        <v>1598</v>
      </c>
      <c r="C114" s="829"/>
      <c r="D114" s="829"/>
      <c r="E114" s="846"/>
      <c r="F114" s="846"/>
      <c r="G114" s="846"/>
      <c r="H114" s="846"/>
      <c r="I114" s="846"/>
      <c r="J114" s="846"/>
      <c r="K114" s="898"/>
      <c r="L114" s="899"/>
      <c r="M114" s="900"/>
      <c r="N114" s="867"/>
      <c r="O114" s="867"/>
      <c r="P114" s="1141"/>
      <c r="Q114" s="790"/>
    </row>
    <row r="115" spans="1:17">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ht="14.4">
      <c r="A116" s="852"/>
      <c r="B116" s="821" t="s">
        <v>1599</v>
      </c>
      <c r="C116" s="829"/>
      <c r="D116" s="829"/>
      <c r="E116" s="829"/>
      <c r="F116" s="829"/>
      <c r="G116" s="829"/>
      <c r="H116" s="846"/>
      <c r="I116" s="846"/>
      <c r="J116" s="846"/>
      <c r="K116" s="898"/>
      <c r="L116" s="899"/>
      <c r="M116" s="900"/>
      <c r="N116" s="867"/>
      <c r="O116" s="867"/>
      <c r="P116" s="1141"/>
      <c r="Q116" s="790"/>
    </row>
    <row r="117" spans="1:17">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ht="14.4">
      <c r="A118" s="852"/>
      <c r="B118" s="821" t="s">
        <v>1600</v>
      </c>
      <c r="C118" s="846"/>
      <c r="D118" s="846"/>
      <c r="E118" s="846"/>
      <c r="F118" s="846"/>
      <c r="G118" s="846"/>
      <c r="H118" s="846"/>
      <c r="I118" s="846"/>
      <c r="J118" s="846"/>
      <c r="K118" s="898"/>
      <c r="L118" s="899"/>
      <c r="M118" s="900"/>
      <c r="N118" s="867"/>
      <c r="O118" s="867"/>
      <c r="P118" s="1141"/>
      <c r="Q118" s="790"/>
    </row>
    <row r="119" spans="1:17">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8.8">
      <c r="A120" s="849"/>
      <c r="B120" s="821" t="s">
        <v>1601</v>
      </c>
      <c r="C120" s="829"/>
      <c r="D120" s="829"/>
      <c r="E120" s="829"/>
      <c r="F120" s="829"/>
      <c r="G120" s="829"/>
      <c r="H120" s="829"/>
      <c r="I120" s="829"/>
      <c r="J120" s="829"/>
      <c r="K120" s="829"/>
      <c r="L120" s="1016"/>
      <c r="M120" s="1017"/>
      <c r="N120" s="880"/>
      <c r="O120" s="880"/>
      <c r="P120" s="1151"/>
      <c r="Q120" s="911"/>
    </row>
    <row r="121" spans="1:17" s="572" customFormat="1">
      <c r="A121" s="828"/>
      <c r="B121" s="819"/>
      <c r="C121" s="831"/>
      <c r="D121" s="820"/>
      <c r="E121" s="820"/>
      <c r="F121" s="820"/>
      <c r="G121" s="820"/>
      <c r="H121" s="820"/>
      <c r="I121" s="820"/>
      <c r="J121" s="820"/>
      <c r="K121" s="820"/>
      <c r="L121" s="820"/>
      <c r="M121" s="820"/>
      <c r="N121" s="880"/>
      <c r="O121" s="880"/>
      <c r="P121" s="1151"/>
      <c r="Q121" s="911"/>
    </row>
    <row r="122" spans="1:17" ht="14.4">
      <c r="A122" s="852"/>
      <c r="B122" s="821" t="s">
        <v>1602</v>
      </c>
      <c r="C122" s="829"/>
      <c r="D122" s="829"/>
      <c r="E122" s="829"/>
      <c r="F122" s="846"/>
      <c r="G122" s="846"/>
      <c r="H122" s="846"/>
      <c r="I122" s="846"/>
      <c r="J122" s="846"/>
      <c r="K122" s="898"/>
      <c r="L122" s="899"/>
      <c r="M122" s="900"/>
      <c r="N122" s="867"/>
      <c r="O122" s="867"/>
      <c r="P122" s="1141"/>
      <c r="Q122" s="790"/>
    </row>
    <row r="123" spans="1:17">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ht="28.8">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c r="A131" s="1094"/>
      <c r="B131" s="835"/>
      <c r="C131" s="836"/>
      <c r="D131" s="836"/>
      <c r="E131" s="836"/>
      <c r="F131" s="836"/>
      <c r="G131" s="848"/>
      <c r="H131" s="848"/>
      <c r="I131" s="848"/>
      <c r="J131" s="848"/>
      <c r="K131" s="848"/>
      <c r="L131" s="848"/>
      <c r="M131" s="904"/>
      <c r="N131" s="870"/>
      <c r="O131" s="870"/>
      <c r="P131" s="1141"/>
      <c r="Q131" s="790"/>
    </row>
    <row r="136" spans="1:17" ht="14.4">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6">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ht="14.4">
      <c r="B147" s="1189" t="s">
        <v>1643</v>
      </c>
    </row>
    <row r="148" spans="2:11" ht="14.4">
      <c r="B148" s="1189" t="s">
        <v>1644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M40" sqref="M40"/>
    </sheetView>
  </sheetViews>
  <sheetFormatPr defaultColWidth="9" defaultRowHeight="13.8"/>
  <cols>
    <col min="1" max="1" width="10.44140625" style="576" customWidth="1"/>
    <col min="2" max="2" width="15.77734375" style="576" customWidth="1"/>
    <col min="3" max="3" width="15.10937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1125"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85</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8.4</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22" t="s">
        <v>1566</v>
      </c>
      <c r="AC4" s="3207" t="s">
        <v>1567</v>
      </c>
    </row>
    <row r="5" spans="1:29">
      <c r="A5" s="591"/>
      <c r="B5" s="592"/>
      <c r="C5" s="3253" t="s">
        <v>1646</v>
      </c>
      <c r="D5" s="3250"/>
      <c r="E5" s="3254" t="s">
        <v>1646</v>
      </c>
      <c r="F5" s="3252"/>
      <c r="G5" s="3253" t="s">
        <v>1647</v>
      </c>
      <c r="H5" s="3250"/>
      <c r="I5" s="3253" t="s">
        <v>1648</v>
      </c>
      <c r="J5" s="3250"/>
      <c r="K5" s="736"/>
      <c r="L5" s="737"/>
      <c r="M5" s="738"/>
      <c r="N5" s="738"/>
      <c r="O5" s="738"/>
      <c r="P5" s="3212"/>
      <c r="Q5" s="3213"/>
      <c r="R5" s="3218"/>
      <c r="S5" s="3219"/>
      <c r="T5" s="3218"/>
      <c r="U5" s="3219"/>
      <c r="V5" s="3222"/>
      <c r="W5" s="3222"/>
      <c r="X5" s="779"/>
      <c r="Y5" s="3218"/>
      <c r="Z5" s="3219"/>
      <c r="AA5" s="3208"/>
      <c r="AB5" s="3222"/>
      <c r="AC5" s="3208"/>
    </row>
    <row r="6" spans="1:29" ht="14.4">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22"/>
      <c r="AC6" s="3209"/>
    </row>
    <row r="7" spans="1:29" s="570" customFormat="1" ht="14.4">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28" t="s">
        <v>1577</v>
      </c>
      <c r="Q7" s="3244"/>
      <c r="R7" s="780" t="s">
        <v>1578</v>
      </c>
      <c r="S7" s="781">
        <f t="shared" ref="S7:S15" si="0">F7</f>
        <v>100</v>
      </c>
      <c r="T7" s="780" t="s">
        <v>1578</v>
      </c>
      <c r="U7" s="781">
        <f t="shared" ref="U7:U15" si="1">H7</f>
        <v>100</v>
      </c>
      <c r="V7" s="780" t="s">
        <v>1578</v>
      </c>
      <c r="W7" s="781">
        <f t="shared" ref="W7:W15" si="2">J7</f>
        <v>100</v>
      </c>
      <c r="X7" s="782"/>
      <c r="Y7" s="3228" t="s">
        <v>1577</v>
      </c>
      <c r="Z7" s="3229"/>
      <c r="AA7" s="794">
        <f>D7/F7</f>
        <v>1</v>
      </c>
      <c r="AB7" s="794">
        <f>D7/H7</f>
        <v>1</v>
      </c>
      <c r="AC7" s="794">
        <f>D7/J7</f>
        <v>1</v>
      </c>
    </row>
    <row r="8" spans="1:29" s="570" customFormat="1" ht="14.4">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28" t="s">
        <v>1581</v>
      </c>
      <c r="Q8" s="3229"/>
      <c r="R8" s="780" t="s">
        <v>1578</v>
      </c>
      <c r="S8" s="781">
        <f t="shared" si="0"/>
        <v>100</v>
      </c>
      <c r="T8" s="780" t="s">
        <v>1578</v>
      </c>
      <c r="U8" s="781">
        <f t="shared" si="1"/>
        <v>100</v>
      </c>
      <c r="V8" s="780" t="s">
        <v>1578</v>
      </c>
      <c r="W8" s="781">
        <f t="shared" si="2"/>
        <v>100</v>
      </c>
      <c r="X8" s="782"/>
      <c r="Y8" s="3228" t="s">
        <v>1581</v>
      </c>
      <c r="Z8" s="3229"/>
      <c r="AA8" s="794">
        <f t="shared" ref="AA8:AA46" si="3">D8/F8</f>
        <v>1</v>
      </c>
      <c r="AB8" s="794">
        <f t="shared" ref="AB8:AB46" si="4">D8/H8</f>
        <v>1</v>
      </c>
      <c r="AC8" s="794">
        <f t="shared" ref="AC8:AC46" si="5">D8/J8</f>
        <v>1</v>
      </c>
    </row>
    <row r="9" spans="1:29" s="570" customFormat="1" ht="14.4">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8.8">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30"/>
      <c r="Q10" s="784" t="str">
        <f t="shared" si="6"/>
        <v>土地使用年限（年）</v>
      </c>
      <c r="R10" s="780" t="s">
        <v>1578</v>
      </c>
      <c r="S10" s="781">
        <f t="shared" si="0"/>
        <v>100</v>
      </c>
      <c r="T10" s="780" t="s">
        <v>1578</v>
      </c>
      <c r="U10" s="781">
        <f t="shared" si="1"/>
        <v>98</v>
      </c>
      <c r="V10" s="780" t="s">
        <v>1578</v>
      </c>
      <c r="W10" s="781">
        <f t="shared" si="2"/>
        <v>98</v>
      </c>
      <c r="X10" s="782"/>
      <c r="Y10" s="3013"/>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30"/>
      <c r="Q11" s="784" t="str">
        <f t="shared" si="6"/>
        <v>容积率</v>
      </c>
      <c r="R11" s="780" t="s">
        <v>1578</v>
      </c>
      <c r="S11" s="781">
        <f t="shared" si="0"/>
        <v>100</v>
      </c>
      <c r="T11" s="780" t="s">
        <v>1578</v>
      </c>
      <c r="U11" s="781">
        <f t="shared" si="1"/>
        <v>100</v>
      </c>
      <c r="V11" s="780" t="s">
        <v>1578</v>
      </c>
      <c r="W11" s="781">
        <f t="shared" si="2"/>
        <v>100</v>
      </c>
      <c r="X11" s="782"/>
      <c r="Y11" s="3013"/>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69">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31" t="s">
        <v>1588</v>
      </c>
      <c r="Q15" s="709" t="str">
        <f t="shared" si="6"/>
        <v>商业繁华度</v>
      </c>
      <c r="R15" s="785" t="s">
        <v>1578</v>
      </c>
      <c r="S15" s="786">
        <f t="shared" si="0"/>
        <v>100</v>
      </c>
      <c r="T15" s="785" t="s">
        <v>1578</v>
      </c>
      <c r="U15" s="786">
        <f t="shared" si="1"/>
        <v>100</v>
      </c>
      <c r="V15" s="785" t="s">
        <v>1578</v>
      </c>
      <c r="W15" s="786">
        <f t="shared" si="2"/>
        <v>100</v>
      </c>
      <c r="X15" s="779"/>
      <c r="Y15" s="3236"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32"/>
      <c r="Q16" s="709"/>
      <c r="R16" s="785"/>
      <c r="S16" s="786"/>
      <c r="T16" s="785"/>
      <c r="U16" s="786"/>
      <c r="V16" s="785"/>
      <c r="W16" s="786"/>
      <c r="X16" s="779"/>
      <c r="Y16" s="3237"/>
      <c r="Z16" s="770"/>
      <c r="AA16" s="796">
        <v>1</v>
      </c>
      <c r="AB16" s="796">
        <v>1</v>
      </c>
      <c r="AC16" s="796">
        <v>1</v>
      </c>
    </row>
    <row r="17" spans="1:29" ht="82.8">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32"/>
      <c r="Q18" s="709"/>
      <c r="R18" s="785"/>
      <c r="S18" s="786"/>
      <c r="T18" s="785"/>
      <c r="U18" s="786"/>
      <c r="V18" s="785"/>
      <c r="W18" s="786"/>
      <c r="X18" s="779"/>
      <c r="Y18" s="3237"/>
      <c r="Z18" s="770"/>
      <c r="AA18" s="796">
        <v>1</v>
      </c>
      <c r="AB18" s="796">
        <v>1</v>
      </c>
      <c r="AC18" s="796">
        <v>1</v>
      </c>
    </row>
    <row r="19" spans="1:29" ht="41.4">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32"/>
      <c r="Q20" s="709"/>
      <c r="R20" s="785"/>
      <c r="S20" s="786"/>
      <c r="T20" s="785"/>
      <c r="U20" s="786"/>
      <c r="V20" s="785"/>
      <c r="W20" s="786"/>
      <c r="X20" s="779"/>
      <c r="Y20" s="3237"/>
      <c r="Z20" s="770"/>
      <c r="AA20" s="796">
        <v>1</v>
      </c>
      <c r="AB20" s="796">
        <v>1</v>
      </c>
      <c r="AC20" s="796">
        <v>1</v>
      </c>
    </row>
    <row r="21" spans="1:29" ht="27.6">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32"/>
      <c r="Q22" s="709"/>
      <c r="R22" s="785"/>
      <c r="S22" s="786"/>
      <c r="T22" s="785"/>
      <c r="U22" s="786"/>
      <c r="V22" s="785"/>
      <c r="W22" s="786"/>
      <c r="X22" s="779"/>
      <c r="Y22" s="3237"/>
      <c r="Z22" s="770"/>
      <c r="AA22" s="796">
        <v>1</v>
      </c>
      <c r="AB22" s="796">
        <v>1</v>
      </c>
      <c r="AC22" s="796">
        <v>1</v>
      </c>
    </row>
    <row r="23" spans="1:29" ht="55.2">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32"/>
      <c r="Q25" s="709" t="str">
        <f t="shared" ref="Q25:Q46" si="11">B25</f>
        <v>临街状况</v>
      </c>
      <c r="R25" s="785" t="s">
        <v>1578</v>
      </c>
      <c r="S25" s="786">
        <f>F25</f>
        <v>100</v>
      </c>
      <c r="T25" s="785" t="s">
        <v>1578</v>
      </c>
      <c r="U25" s="786">
        <f>H25</f>
        <v>100</v>
      </c>
      <c r="V25" s="785" t="s">
        <v>1578</v>
      </c>
      <c r="W25" s="786">
        <f>J25</f>
        <v>100</v>
      </c>
      <c r="X25" s="779"/>
      <c r="Y25" s="3237"/>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32"/>
      <c r="Q26" s="709" t="str">
        <f t="shared" si="11"/>
        <v>平面位置/可视性</v>
      </c>
      <c r="R26" s="785" t="s">
        <v>1578</v>
      </c>
      <c r="S26" s="786">
        <f>F26</f>
        <v>100</v>
      </c>
      <c r="T26" s="785" t="s">
        <v>1578</v>
      </c>
      <c r="U26" s="786">
        <f>H26</f>
        <v>100</v>
      </c>
      <c r="V26" s="785" t="s">
        <v>1578</v>
      </c>
      <c r="W26" s="786">
        <f>J26</f>
        <v>100</v>
      </c>
      <c r="X26" s="779"/>
      <c r="Y26" s="3237"/>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32"/>
      <c r="Q27" s="784" t="str">
        <f t="shared" si="11"/>
        <v>人流量</v>
      </c>
      <c r="R27" s="780" t="s">
        <v>1578</v>
      </c>
      <c r="S27" s="781">
        <f>F27</f>
        <v>100</v>
      </c>
      <c r="T27" s="780" t="s">
        <v>1578</v>
      </c>
      <c r="U27" s="781">
        <f>H27</f>
        <v>100</v>
      </c>
      <c r="V27" s="780" t="s">
        <v>1578</v>
      </c>
      <c r="W27" s="781">
        <f>J27</f>
        <v>100</v>
      </c>
      <c r="X27" s="782"/>
      <c r="Y27" s="3237"/>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32"/>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7"/>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33" t="s">
        <v>1593</v>
      </c>
      <c r="Q32" s="709" t="str">
        <f t="shared" si="11"/>
        <v>商业类型</v>
      </c>
      <c r="R32" s="785" t="s">
        <v>1578</v>
      </c>
      <c r="S32" s="786">
        <f t="shared" si="12"/>
        <v>97</v>
      </c>
      <c r="T32" s="785" t="s">
        <v>1578</v>
      </c>
      <c r="U32" s="786">
        <f t="shared" si="13"/>
        <v>98</v>
      </c>
      <c r="V32" s="785" t="s">
        <v>1578</v>
      </c>
      <c r="W32" s="786">
        <f t="shared" si="14"/>
        <v>97</v>
      </c>
      <c r="X32" s="779"/>
      <c r="Y32" s="3238"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106</v>
      </c>
      <c r="G33" s="612">
        <v>1049</v>
      </c>
      <c r="H33" s="610">
        <f>LOOKUP(G33,103:103,104:104)-LOOKUP(C33,103:103,104:104)+100</f>
        <v>104</v>
      </c>
      <c r="I33" s="612">
        <v>180</v>
      </c>
      <c r="J33" s="610">
        <f>LOOKUP(I33,103:103,104:104)-LOOKUP(C33,103:103,104:104)+100</f>
        <v>106</v>
      </c>
      <c r="K33" s="755"/>
      <c r="L33" s="748"/>
      <c r="M33" s="757"/>
      <c r="N33" s="757"/>
      <c r="O33" s="757"/>
      <c r="P33" s="3234"/>
      <c r="Q33" s="1011" t="str">
        <f t="shared" si="11"/>
        <v>项目建筑规模</v>
      </c>
      <c r="R33" s="787" t="s">
        <v>1578</v>
      </c>
      <c r="S33" s="788">
        <f t="shared" si="12"/>
        <v>106</v>
      </c>
      <c r="T33" s="787" t="s">
        <v>1578</v>
      </c>
      <c r="U33" s="788">
        <f t="shared" si="13"/>
        <v>104</v>
      </c>
      <c r="V33" s="787" t="s">
        <v>1578</v>
      </c>
      <c r="W33" s="788">
        <f t="shared" si="14"/>
        <v>106</v>
      </c>
      <c r="X33" s="789"/>
      <c r="Y33" s="3238"/>
      <c r="Z33" s="797" t="str">
        <f t="shared" si="15"/>
        <v>项目建筑规模</v>
      </c>
      <c r="AA33" s="796">
        <f t="shared" si="3"/>
        <v>0.94339622641509435</v>
      </c>
      <c r="AB33" s="796">
        <f t="shared" si="4"/>
        <v>0.96153846153846156</v>
      </c>
      <c r="AC33" s="796">
        <f t="shared" si="5"/>
        <v>0.94339622641509435</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34"/>
      <c r="Q35" s="709" t="str">
        <f t="shared" si="11"/>
        <v>公共部分装修</v>
      </c>
      <c r="R35" s="785" t="s">
        <v>1578</v>
      </c>
      <c r="S35" s="786">
        <f t="shared" si="12"/>
        <v>100</v>
      </c>
      <c r="T35" s="785" t="s">
        <v>1578</v>
      </c>
      <c r="U35" s="786">
        <f t="shared" si="13"/>
        <v>100</v>
      </c>
      <c r="V35" s="785" t="s">
        <v>1578</v>
      </c>
      <c r="W35" s="786">
        <f t="shared" si="14"/>
        <v>100</v>
      </c>
      <c r="X35" s="779"/>
      <c r="Y35" s="3238"/>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99</v>
      </c>
      <c r="I36" s="979">
        <v>0.85</v>
      </c>
      <c r="J36" s="620">
        <f>LOOKUP(I36,110:110,111:111)-LOOKUP(C36,110:110,111:111)+100</f>
        <v>99</v>
      </c>
      <c r="K36" s="756">
        <v>1</v>
      </c>
      <c r="L36" s="750"/>
      <c r="M36" s="738"/>
      <c r="N36" s="738"/>
      <c r="O36" s="738"/>
      <c r="P36" s="3234"/>
      <c r="Q36" s="709" t="str">
        <f t="shared" si="11"/>
        <v>成新度</v>
      </c>
      <c r="R36" s="785" t="s">
        <v>1578</v>
      </c>
      <c r="S36" s="786">
        <f t="shared" si="12"/>
        <v>100</v>
      </c>
      <c r="T36" s="785" t="s">
        <v>1578</v>
      </c>
      <c r="U36" s="786">
        <f t="shared" si="13"/>
        <v>99</v>
      </c>
      <c r="V36" s="785" t="s">
        <v>1578</v>
      </c>
      <c r="W36" s="786">
        <f t="shared" si="14"/>
        <v>99</v>
      </c>
      <c r="X36" s="779"/>
      <c r="Y36" s="3238"/>
      <c r="Z36" s="770" t="str">
        <f t="shared" si="15"/>
        <v>成新度</v>
      </c>
      <c r="AA36" s="796">
        <f t="shared" si="3"/>
        <v>1</v>
      </c>
      <c r="AB36" s="796">
        <f t="shared" si="4"/>
        <v>1.0101010101010102</v>
      </c>
      <c r="AC36" s="796">
        <f t="shared" si="5"/>
        <v>1.0101010101010102</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34"/>
      <c r="Q37" s="784" t="str">
        <f t="shared" si="11"/>
        <v>市政基础设施</v>
      </c>
      <c r="R37" s="780" t="s">
        <v>1578</v>
      </c>
      <c r="S37" s="781">
        <f t="shared" si="12"/>
        <v>100</v>
      </c>
      <c r="T37" s="780" t="s">
        <v>1578</v>
      </c>
      <c r="U37" s="781">
        <f t="shared" si="13"/>
        <v>100</v>
      </c>
      <c r="V37" s="780" t="s">
        <v>1578</v>
      </c>
      <c r="W37" s="781">
        <f t="shared" si="14"/>
        <v>100</v>
      </c>
      <c r="X37" s="782"/>
      <c r="Y37" s="3238"/>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34" t="s">
        <v>1593</v>
      </c>
      <c r="Q38" s="709" t="str">
        <f t="shared" si="11"/>
        <v>业态</v>
      </c>
      <c r="R38" s="785" t="s">
        <v>1578</v>
      </c>
      <c r="S38" s="786">
        <f t="shared" si="12"/>
        <v>100</v>
      </c>
      <c r="T38" s="785" t="s">
        <v>1578</v>
      </c>
      <c r="U38" s="786">
        <f t="shared" si="13"/>
        <v>100</v>
      </c>
      <c r="V38" s="785" t="s">
        <v>1578</v>
      </c>
      <c r="W38" s="786">
        <f t="shared" si="14"/>
        <v>100</v>
      </c>
      <c r="X38" s="779"/>
      <c r="Y38" s="3238"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34"/>
      <c r="Q39" s="709" t="str">
        <f t="shared" si="11"/>
        <v>层高</v>
      </c>
      <c r="R39" s="785" t="s">
        <v>1578</v>
      </c>
      <c r="S39" s="786">
        <f t="shared" si="12"/>
        <v>100</v>
      </c>
      <c r="T39" s="785" t="s">
        <v>1578</v>
      </c>
      <c r="U39" s="786">
        <f t="shared" si="13"/>
        <v>100</v>
      </c>
      <c r="V39" s="785" t="s">
        <v>1578</v>
      </c>
      <c r="W39" s="786">
        <f t="shared" si="14"/>
        <v>100</v>
      </c>
      <c r="X39" s="779"/>
      <c r="Y39" s="3238"/>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34"/>
      <c r="Q40" s="709" t="str">
        <f t="shared" si="11"/>
        <v>单套建筑面积</v>
      </c>
      <c r="R40" s="785" t="s">
        <v>1578</v>
      </c>
      <c r="S40" s="786">
        <f t="shared" si="12"/>
        <v>100</v>
      </c>
      <c r="T40" s="785" t="s">
        <v>1578</v>
      </c>
      <c r="U40" s="786">
        <f t="shared" si="13"/>
        <v>100</v>
      </c>
      <c r="V40" s="785" t="s">
        <v>1578</v>
      </c>
      <c r="W40" s="786">
        <f t="shared" si="14"/>
        <v>100</v>
      </c>
      <c r="X40" s="779"/>
      <c r="Y40" s="3238"/>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34"/>
      <c r="Q41" s="1011" t="str">
        <f t="shared" si="11"/>
        <v>进深比</v>
      </c>
      <c r="R41" s="787" t="s">
        <v>1578</v>
      </c>
      <c r="S41" s="788">
        <f t="shared" si="12"/>
        <v>100</v>
      </c>
      <c r="T41" s="787" t="s">
        <v>1578</v>
      </c>
      <c r="U41" s="788">
        <f t="shared" si="13"/>
        <v>100</v>
      </c>
      <c r="V41" s="787" t="s">
        <v>1578</v>
      </c>
      <c r="W41" s="788">
        <f t="shared" si="14"/>
        <v>100</v>
      </c>
      <c r="X41" s="789"/>
      <c r="Y41" s="3238"/>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5"/>
        <v>内部装修</v>
      </c>
      <c r="AA42" s="796">
        <f t="shared" si="3"/>
        <v>1</v>
      </c>
      <c r="AB42" s="796">
        <f t="shared" si="4"/>
        <v>1</v>
      </c>
      <c r="AC42" s="796">
        <f t="shared" si="5"/>
        <v>1</v>
      </c>
    </row>
    <row r="43" spans="1:29" ht="28.8">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5"/>
        <v>111</v>
      </c>
      <c r="AA46" s="796">
        <f t="shared" si="3"/>
        <v>1</v>
      </c>
      <c r="AB46" s="796">
        <f t="shared" si="4"/>
        <v>1</v>
      </c>
      <c r="AC46" s="796">
        <f t="shared" si="5"/>
        <v>1</v>
      </c>
    </row>
    <row r="47" spans="1:29" ht="14.4">
      <c r="A47" s="669" t="s">
        <v>1604</v>
      </c>
      <c r="B47" s="986"/>
      <c r="C47" s="987" t="s">
        <v>124</v>
      </c>
      <c r="D47" s="988"/>
      <c r="E47" s="989">
        <v>8.5</v>
      </c>
      <c r="F47" s="990"/>
      <c r="G47" s="991">
        <v>8</v>
      </c>
      <c r="H47" s="992"/>
      <c r="I47" s="989">
        <v>7.41</v>
      </c>
      <c r="J47" s="992"/>
      <c r="K47" s="761"/>
      <c r="L47" s="762"/>
      <c r="M47" s="686"/>
      <c r="N47" s="738"/>
      <c r="O47" s="686"/>
      <c r="P47" s="3223" t="str">
        <f>A47</f>
        <v>成交单价（元/平方米）</v>
      </c>
      <c r="Q47" s="3223"/>
      <c r="R47" s="3222">
        <f>E47</f>
        <v>8.5</v>
      </c>
      <c r="S47" s="3222"/>
      <c r="T47" s="3222">
        <f>G47</f>
        <v>8</v>
      </c>
      <c r="U47" s="3222"/>
      <c r="V47" s="3222">
        <f>I47</f>
        <v>7.41</v>
      </c>
      <c r="W47" s="3222"/>
      <c r="X47" s="726"/>
      <c r="Y47" s="798"/>
      <c r="Z47" s="726"/>
      <c r="AA47" s="726"/>
      <c r="AB47" s="726"/>
      <c r="AC47" s="726"/>
    </row>
    <row r="48" spans="1:29" ht="14.4">
      <c r="A48" s="677" t="s">
        <v>1605</v>
      </c>
      <c r="B48" s="993"/>
      <c r="C48" s="994">
        <f>R49</f>
        <v>8.4</v>
      </c>
      <c r="D48" s="995"/>
      <c r="E48" s="996">
        <f>R48</f>
        <v>8.3000000000000007</v>
      </c>
      <c r="F48" s="996"/>
      <c r="G48" s="994">
        <f>T48</f>
        <v>9.5</v>
      </c>
      <c r="H48" s="995"/>
      <c r="I48" s="996">
        <f>V48</f>
        <v>7.4</v>
      </c>
      <c r="J48" s="995"/>
      <c r="K48" s="763"/>
      <c r="L48" s="762"/>
      <c r="M48" s="686"/>
      <c r="N48" s="738"/>
      <c r="O48" s="686"/>
      <c r="P48" s="3223" t="str">
        <f>A48</f>
        <v>比较价值（元/平方米）</v>
      </c>
      <c r="Q48" s="3223"/>
      <c r="R48" s="3224">
        <f>IF(F1="售价",ROUND(PRODUCT(R47,AA7:AA46),0),ROUND(PRODUCT(R47,AA7:AA46),1))</f>
        <v>8.3000000000000007</v>
      </c>
      <c r="S48" s="3224"/>
      <c r="T48" s="3224">
        <f>IF(F1="售价",ROUND(PRODUCT(T47,AB7:AB46),0),ROUND(PRODUCT(T47,AB7:AB46),1))</f>
        <v>9.5</v>
      </c>
      <c r="U48" s="3224"/>
      <c r="V48" s="3224">
        <f>IF(F1="售价",ROUND(PRODUCT(V47,AC7:AC46),0),ROUND(PRODUCT(V47,AC7:AC46),1))</f>
        <v>7.4</v>
      </c>
      <c r="W48" s="3224"/>
      <c r="X48" s="726"/>
      <c r="Y48" s="726"/>
      <c r="Z48" s="726"/>
      <c r="AA48" s="726"/>
      <c r="AB48" s="726"/>
      <c r="AC48" s="726"/>
    </row>
    <row r="49" spans="1:29" ht="14.4">
      <c r="A49" s="683" t="s">
        <v>1606</v>
      </c>
      <c r="B49" s="684"/>
      <c r="C49" s="997">
        <f>R49</f>
        <v>8.4</v>
      </c>
      <c r="D49" s="997"/>
      <c r="E49" s="997"/>
      <c r="F49" s="997"/>
      <c r="G49" s="997"/>
      <c r="H49" s="997"/>
      <c r="I49" s="997"/>
      <c r="J49" s="997"/>
      <c r="K49" s="764"/>
      <c r="L49" s="762"/>
      <c r="M49" s="686"/>
      <c r="N49" s="738"/>
      <c r="O49" s="686"/>
      <c r="P49" s="3225" t="str">
        <f>A49</f>
        <v>估价对象XX用房的比较价值（楼面单价，元/平方米）</v>
      </c>
      <c r="Q49" s="3226"/>
      <c r="R49" s="3227">
        <f>IF(F1="售价",ROUND(AVERAGE(R48:V48),0),ROUND(AVERAGE(R48:V48),1))</f>
        <v>8.4</v>
      </c>
      <c r="S49" s="3227"/>
      <c r="T49" s="3227"/>
      <c r="U49" s="3227"/>
      <c r="V49" s="3227"/>
      <c r="W49" s="3227"/>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2.409638554216853E-2</v>
      </c>
      <c r="F52" s="691" t="str">
        <f>IF(OR(E52&gt;=0.3,E52&lt;=-0.3),"超过30%","")</f>
        <v/>
      </c>
      <c r="G52" s="690">
        <f>IF(G47&lt;G48,G48/G47-1,G47/G48-1)</f>
        <v>0.1875</v>
      </c>
      <c r="H52" s="691" t="str">
        <f>IF(OR(G52&gt;=0.3,G52&lt;=-0.3),"超过30%","")</f>
        <v/>
      </c>
      <c r="I52" s="690">
        <f>IF(I47&lt;I48,I48/I47-1,I47/I48-1)</f>
        <v>1.3513513513512265E-3</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0.14457831325301185</v>
      </c>
      <c r="F53" s="691" t="str">
        <f>IF(OR(E53&gt;=0.2,E53&lt;=-0.2),"超过20%","")</f>
        <v/>
      </c>
      <c r="G53" s="690">
        <f>IF(G48&lt;I48,I48/G48-1,G48/I48-1)</f>
        <v>0.28378378378378377</v>
      </c>
      <c r="H53" s="691" t="str">
        <f>IF(OR(G53&gt;=0.2,G53&lt;=-0.2),"超过20%","")</f>
        <v>超过20%</v>
      </c>
      <c r="I53" s="690">
        <f>IF(I48&lt;E48,E48/I48-1,I48/E48-1)</f>
        <v>0.12162162162162171</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6">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4.4">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c r="A59" s="1002"/>
      <c r="B59" s="811"/>
      <c r="C59" s="1003">
        <v>100</v>
      </c>
      <c r="D59" s="815"/>
      <c r="E59" s="815"/>
      <c r="F59" s="815"/>
      <c r="G59" s="815"/>
      <c r="H59" s="815"/>
      <c r="I59" s="815"/>
      <c r="J59" s="815"/>
      <c r="K59" s="815"/>
      <c r="L59" s="815"/>
      <c r="M59" s="1010"/>
      <c r="N59" s="815"/>
      <c r="O59" s="1010"/>
      <c r="P59" s="1139"/>
    </row>
    <row r="60" spans="1:29" s="570" customFormat="1" ht="14.4">
      <c r="A60" s="806" t="s">
        <v>1611</v>
      </c>
      <c r="B60" s="807"/>
      <c r="C60" s="808"/>
      <c r="D60" s="809"/>
      <c r="E60" s="809"/>
      <c r="F60" s="809"/>
      <c r="G60" s="809"/>
      <c r="H60" s="809"/>
      <c r="I60" s="809"/>
      <c r="J60" s="809"/>
      <c r="K60" s="809"/>
      <c r="L60" s="809"/>
      <c r="M60" s="857"/>
      <c r="N60" s="809"/>
      <c r="O60" s="857"/>
      <c r="P60" s="1139"/>
      <c r="Q60" s="790"/>
    </row>
    <row r="61" spans="1:29" s="570" customFormat="1" ht="14.4">
      <c r="A61" s="810" t="s">
        <v>1579</v>
      </c>
      <c r="B61" s="811"/>
      <c r="C61" s="812" t="s">
        <v>1580</v>
      </c>
      <c r="D61" s="813"/>
      <c r="E61" s="813"/>
      <c r="F61" s="813"/>
      <c r="G61" s="813"/>
      <c r="H61" s="813"/>
      <c r="I61" s="813"/>
      <c r="J61" s="813"/>
      <c r="K61" s="813"/>
      <c r="L61" s="859"/>
      <c r="M61" s="860"/>
      <c r="N61" s="861"/>
      <c r="O61" s="861"/>
      <c r="P61" s="1140"/>
      <c r="Q61" s="790"/>
    </row>
    <row r="62" spans="1:29" s="570" customFormat="1">
      <c r="A62" s="810"/>
      <c r="B62" s="811"/>
      <c r="C62" s="1105">
        <v>100</v>
      </c>
      <c r="D62" s="815"/>
      <c r="E62" s="815"/>
      <c r="F62" s="815"/>
      <c r="G62" s="815"/>
      <c r="H62" s="815"/>
      <c r="I62" s="815"/>
      <c r="J62" s="815"/>
      <c r="K62" s="815"/>
      <c r="L62" s="815"/>
      <c r="M62" s="863"/>
      <c r="N62" s="861"/>
      <c r="O62" s="861"/>
      <c r="P62" s="1139"/>
      <c r="Q62" s="790"/>
    </row>
    <row r="63" spans="1:29" ht="14.4">
      <c r="A63" s="816" t="s">
        <v>1612</v>
      </c>
      <c r="B63" s="817" t="s">
        <v>348</v>
      </c>
      <c r="C63" s="839" t="str">
        <f>C9</f>
        <v>商业</v>
      </c>
      <c r="D63" s="759"/>
      <c r="E63" s="759"/>
      <c r="F63" s="759"/>
      <c r="G63" s="759"/>
      <c r="H63" s="759"/>
      <c r="I63" s="759"/>
      <c r="J63" s="759"/>
      <c r="K63" s="864"/>
      <c r="L63" s="865"/>
      <c r="M63" s="866"/>
      <c r="N63" s="867"/>
      <c r="O63" s="867"/>
      <c r="P63" s="1141"/>
      <c r="Q63" s="790"/>
    </row>
    <row r="64" spans="1:29">
      <c r="A64" s="818"/>
      <c r="B64" s="819"/>
      <c r="C64" s="820">
        <v>100</v>
      </c>
      <c r="D64" s="820"/>
      <c r="E64" s="820"/>
      <c r="F64" s="820"/>
      <c r="G64" s="820"/>
      <c r="H64" s="820"/>
      <c r="I64" s="820"/>
      <c r="J64" s="820"/>
      <c r="K64" s="820"/>
      <c r="L64" s="820"/>
      <c r="M64" s="869"/>
      <c r="N64" s="870"/>
      <c r="O64" s="870"/>
      <c r="P64" s="1141"/>
      <c r="Q64" s="790"/>
    </row>
    <row r="65" spans="1:17" ht="28.8">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4.4">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c r="A68" s="818"/>
      <c r="B68" s="827"/>
      <c r="C68" s="617">
        <v>1</v>
      </c>
      <c r="D68" s="617">
        <v>2</v>
      </c>
      <c r="E68" s="617">
        <v>3</v>
      </c>
      <c r="F68" s="617"/>
      <c r="G68" s="617"/>
      <c r="H68" s="617"/>
      <c r="I68" s="617"/>
      <c r="J68" s="617"/>
      <c r="K68" s="875"/>
      <c r="L68" s="876"/>
      <c r="M68" s="877"/>
      <c r="N68" s="867"/>
      <c r="O68" s="867"/>
      <c r="P68" s="1141"/>
      <c r="Q68" s="790"/>
    </row>
    <row r="69" spans="1:17">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c r="A70" s="828"/>
      <c r="B70" s="821">
        <f>B12</f>
        <v>111</v>
      </c>
      <c r="C70" s="829"/>
      <c r="D70" s="829"/>
      <c r="E70" s="829"/>
      <c r="F70" s="829"/>
      <c r="G70" s="829"/>
      <c r="H70" s="830"/>
      <c r="I70" s="830"/>
      <c r="J70" s="830"/>
      <c r="K70" s="830"/>
      <c r="L70" s="878"/>
      <c r="M70" s="879"/>
      <c r="N70" s="880"/>
      <c r="O70" s="880"/>
      <c r="P70" s="1151"/>
      <c r="Q70" s="911"/>
    </row>
    <row r="71" spans="1:17" s="572" customFormat="1">
      <c r="A71" s="828"/>
      <c r="B71" s="823"/>
      <c r="C71" s="831"/>
      <c r="D71" s="820"/>
      <c r="E71" s="820"/>
      <c r="F71" s="820"/>
      <c r="G71" s="820"/>
      <c r="H71" s="820"/>
      <c r="I71" s="820"/>
      <c r="J71" s="820"/>
      <c r="K71" s="820"/>
      <c r="L71" s="820"/>
      <c r="M71" s="869"/>
      <c r="N71" s="870"/>
      <c r="O71" s="870"/>
      <c r="P71" s="1151"/>
      <c r="Q71" s="911"/>
    </row>
    <row r="72" spans="1:17" s="572" customFormat="1">
      <c r="A72" s="828"/>
      <c r="B72" s="821">
        <f>B13</f>
        <v>111</v>
      </c>
      <c r="C72" s="829"/>
      <c r="D72" s="829"/>
      <c r="E72" s="829"/>
      <c r="F72" s="829"/>
      <c r="G72" s="829"/>
      <c r="H72" s="830"/>
      <c r="I72" s="830"/>
      <c r="J72" s="830"/>
      <c r="K72" s="830"/>
      <c r="L72" s="878"/>
      <c r="M72" s="879"/>
      <c r="N72" s="880"/>
      <c r="O72" s="880"/>
      <c r="P72" s="1152"/>
      <c r="Q72" s="912"/>
    </row>
    <row r="73" spans="1:17" s="572" customFormat="1">
      <c r="A73" s="828"/>
      <c r="B73" s="823"/>
      <c r="C73" s="831"/>
      <c r="D73" s="820"/>
      <c r="E73" s="820"/>
      <c r="F73" s="820"/>
      <c r="G73" s="831"/>
      <c r="H73" s="832"/>
      <c r="I73" s="832"/>
      <c r="J73" s="832"/>
      <c r="K73" s="832"/>
      <c r="L73" s="832"/>
      <c r="M73" s="883"/>
      <c r="N73" s="880"/>
      <c r="O73" s="880"/>
      <c r="P73" s="1151"/>
      <c r="Q73" s="911"/>
    </row>
    <row r="74" spans="1:17" s="572" customFormat="1">
      <c r="A74" s="828"/>
      <c r="B74" s="825">
        <f>B14</f>
        <v>111</v>
      </c>
      <c r="C74" s="829"/>
      <c r="D74" s="829"/>
      <c r="E74" s="829"/>
      <c r="F74" s="829"/>
      <c r="G74" s="813"/>
      <c r="H74" s="833"/>
      <c r="I74" s="833"/>
      <c r="J74" s="833"/>
      <c r="K74" s="833"/>
      <c r="L74" s="884"/>
      <c r="M74" s="885"/>
      <c r="N74" s="880"/>
      <c r="O74" s="880"/>
      <c r="P74" s="1153"/>
      <c r="Q74" s="911"/>
    </row>
    <row r="75" spans="1:17" s="572" customFormat="1">
      <c r="A75" s="834"/>
      <c r="B75" s="835"/>
      <c r="C75" s="836"/>
      <c r="D75" s="836"/>
      <c r="E75" s="836"/>
      <c r="F75" s="836"/>
      <c r="G75" s="836"/>
      <c r="H75" s="837"/>
      <c r="I75" s="837"/>
      <c r="J75" s="837"/>
      <c r="K75" s="837"/>
      <c r="L75" s="837"/>
      <c r="M75" s="887"/>
      <c r="N75" s="880"/>
      <c r="O75" s="880"/>
      <c r="P75" s="1151"/>
      <c r="Q75" s="911"/>
    </row>
    <row r="76" spans="1:17" ht="14.4">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4.4">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4.4">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4.4">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4.4">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4.4">
      <c r="A86" s="841"/>
      <c r="B86" s="821" t="s">
        <v>677</v>
      </c>
      <c r="C86" s="829"/>
      <c r="D86" s="829"/>
      <c r="E86" s="829"/>
      <c r="F86" s="829"/>
      <c r="G86" s="829"/>
      <c r="H86" s="829"/>
      <c r="I86" s="829"/>
      <c r="J86" s="829"/>
      <c r="K86" s="829"/>
      <c r="L86" s="1016"/>
      <c r="M86" s="1017"/>
      <c r="N86" s="861"/>
      <c r="O86" s="861"/>
      <c r="P86" s="1141"/>
      <c r="Q86" s="790"/>
    </row>
    <row r="87" spans="1:17" s="570" customFormat="1">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c r="A89" s="841"/>
      <c r="B89" s="823"/>
      <c r="C89" s="831"/>
      <c r="D89" s="820"/>
      <c r="E89" s="820"/>
      <c r="F89" s="820"/>
      <c r="G89" s="820"/>
      <c r="H89" s="820"/>
      <c r="I89" s="820"/>
      <c r="J89" s="820"/>
      <c r="K89" s="820"/>
      <c r="L89" s="820"/>
      <c r="M89" s="820"/>
      <c r="N89" s="870"/>
      <c r="O89" s="870"/>
      <c r="P89" s="1141"/>
      <c r="Q89" s="790"/>
    </row>
    <row r="90" spans="1:17" s="572" customFormat="1" ht="14.4">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c r="A92" s="818"/>
      <c r="B92" s="821" t="str">
        <f>B28</f>
        <v>楼层</v>
      </c>
      <c r="C92" s="829">
        <v>1</v>
      </c>
      <c r="D92" s="1147" t="s">
        <v>1654</v>
      </c>
      <c r="E92" s="829"/>
      <c r="F92" s="829"/>
      <c r="G92" s="829"/>
      <c r="H92" s="829"/>
      <c r="I92" s="829"/>
      <c r="J92" s="829"/>
      <c r="K92" s="829"/>
      <c r="L92" s="1016"/>
      <c r="M92" s="1017"/>
      <c r="N92" s="867"/>
      <c r="O92" s="867"/>
      <c r="P92" s="1141"/>
      <c r="Q92" s="790"/>
    </row>
    <row r="93" spans="1:17">
      <c r="A93" s="818"/>
      <c r="B93" s="823"/>
      <c r="C93" s="820">
        <v>100</v>
      </c>
      <c r="D93" s="820">
        <v>85</v>
      </c>
      <c r="E93" s="820"/>
      <c r="F93" s="820"/>
      <c r="G93" s="820"/>
      <c r="H93" s="820"/>
      <c r="I93" s="820"/>
      <c r="J93" s="820"/>
      <c r="K93" s="820"/>
      <c r="L93" s="820"/>
      <c r="M93" s="869"/>
      <c r="N93" s="870"/>
      <c r="O93" s="870"/>
      <c r="P93" s="1141"/>
      <c r="Q93" s="790"/>
    </row>
    <row r="94" spans="1:17">
      <c r="A94" s="818"/>
      <c r="B94" s="821">
        <f>B29</f>
        <v>111</v>
      </c>
      <c r="C94" s="829"/>
      <c r="D94" s="829"/>
      <c r="E94" s="829"/>
      <c r="F94" s="829"/>
      <c r="G94" s="846"/>
      <c r="H94" s="846"/>
      <c r="I94" s="846"/>
      <c r="J94" s="846"/>
      <c r="K94" s="898"/>
      <c r="L94" s="899"/>
      <c r="M94" s="900"/>
      <c r="N94" s="867"/>
      <c r="O94" s="867"/>
      <c r="P94" s="1141"/>
      <c r="Q94" s="790"/>
    </row>
    <row r="95" spans="1:17">
      <c r="A95" s="818"/>
      <c r="B95" s="823"/>
      <c r="C95" s="831"/>
      <c r="D95" s="820"/>
      <c r="E95" s="820"/>
      <c r="F95" s="820"/>
      <c r="G95" s="820"/>
      <c r="H95" s="820"/>
      <c r="I95" s="820"/>
      <c r="J95" s="820"/>
      <c r="K95" s="820"/>
      <c r="L95" s="820"/>
      <c r="M95" s="869"/>
      <c r="N95" s="870"/>
      <c r="O95" s="870"/>
      <c r="P95" s="1141"/>
      <c r="Q95" s="790"/>
    </row>
    <row r="96" spans="1:17">
      <c r="A96" s="818"/>
      <c r="B96" s="821">
        <f>B30</f>
        <v>111</v>
      </c>
      <c r="C96" s="829"/>
      <c r="D96" s="829"/>
      <c r="E96" s="829"/>
      <c r="F96" s="829"/>
      <c r="G96" s="846"/>
      <c r="H96" s="846"/>
      <c r="I96" s="846"/>
      <c r="J96" s="846"/>
      <c r="K96" s="898"/>
      <c r="L96" s="899"/>
      <c r="M96" s="900"/>
      <c r="N96" s="867"/>
      <c r="O96" s="867"/>
      <c r="P96" s="1141"/>
      <c r="Q96" s="790"/>
    </row>
    <row r="97" spans="1:17">
      <c r="A97" s="818"/>
      <c r="B97" s="823"/>
      <c r="C97" s="831"/>
      <c r="D97" s="820"/>
      <c r="E97" s="820"/>
      <c r="F97" s="820"/>
      <c r="G97" s="820"/>
      <c r="H97" s="820"/>
      <c r="I97" s="820"/>
      <c r="J97" s="820"/>
      <c r="K97" s="820"/>
      <c r="L97" s="820"/>
      <c r="M97" s="869"/>
      <c r="N97" s="870"/>
      <c r="O97" s="870"/>
      <c r="P97" s="1141"/>
      <c r="Q97" s="790"/>
    </row>
    <row r="98" spans="1:17">
      <c r="A98" s="818"/>
      <c r="B98" s="825">
        <f>B31</f>
        <v>111</v>
      </c>
      <c r="C98" s="829"/>
      <c r="D98" s="829"/>
      <c r="E98" s="829"/>
      <c r="F98" s="829"/>
      <c r="G98" s="847"/>
      <c r="H98" s="847"/>
      <c r="I98" s="847"/>
      <c r="J98" s="847"/>
      <c r="K98" s="901"/>
      <c r="L98" s="902"/>
      <c r="M98" s="903"/>
      <c r="N98" s="867"/>
      <c r="O98" s="867"/>
      <c r="P98" s="1141"/>
      <c r="Q98" s="790"/>
    </row>
    <row r="99" spans="1:17">
      <c r="A99" s="1094"/>
      <c r="B99" s="835"/>
      <c r="C99" s="836"/>
      <c r="D99" s="836"/>
      <c r="E99" s="836"/>
      <c r="F99" s="836"/>
      <c r="G99" s="848"/>
      <c r="H99" s="848"/>
      <c r="I99" s="848"/>
      <c r="J99" s="848"/>
      <c r="K99" s="848"/>
      <c r="L99" s="848"/>
      <c r="M99" s="904"/>
      <c r="N99" s="870"/>
      <c r="O99" s="870"/>
      <c r="P99" s="1141"/>
      <c r="Q99" s="790"/>
    </row>
    <row r="100" spans="1:17" ht="14.4">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7.6">
      <c r="A102" s="818"/>
      <c r="B102" s="821" t="s">
        <v>1594</v>
      </c>
      <c r="C102" s="840" t="str">
        <f>C103&amp;"(含)"&amp;"-"&amp;D103</f>
        <v>0(含)-300</v>
      </c>
      <c r="D102" s="840" t="str">
        <f t="shared" ref="D102:L102" si="23">D103&amp;"(含)"&amp;"-"&amp;E103</f>
        <v>300(含)-800</v>
      </c>
      <c r="E102" s="840" t="str">
        <f t="shared" si="23"/>
        <v>800(含)-1500</v>
      </c>
      <c r="F102" s="840" t="str">
        <f t="shared" si="23"/>
        <v>1500(含)-2500</v>
      </c>
      <c r="G102" s="840" t="str">
        <f t="shared" si="23"/>
        <v>2500(含)-5000</v>
      </c>
      <c r="H102" s="840" t="str">
        <f t="shared" si="23"/>
        <v>5000(含)-10000</v>
      </c>
      <c r="I102" s="840" t="str">
        <f t="shared" si="23"/>
        <v>10000(含)-20000</v>
      </c>
      <c r="J102" s="840" t="str">
        <f t="shared" si="23"/>
        <v>20000(含)-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300</v>
      </c>
      <c r="E103" s="805">
        <v>800</v>
      </c>
      <c r="F103" s="805">
        <v>1500</v>
      </c>
      <c r="G103" s="805">
        <v>2500</v>
      </c>
      <c r="H103" s="805">
        <v>5000</v>
      </c>
      <c r="I103" s="805">
        <v>10000</v>
      </c>
      <c r="J103" s="905">
        <v>20000</v>
      </c>
      <c r="K103" s="905"/>
      <c r="L103" s="906"/>
      <c r="M103" s="907"/>
      <c r="N103" s="880"/>
      <c r="O103" s="880"/>
      <c r="P103" s="1151"/>
      <c r="Q103" s="911"/>
    </row>
    <row r="104" spans="1:17" s="572" customFormat="1">
      <c r="A104" s="828"/>
      <c r="B104" s="823"/>
      <c r="C104" s="831">
        <v>100</v>
      </c>
      <c r="D104" s="820">
        <v>99</v>
      </c>
      <c r="E104" s="820">
        <v>98</v>
      </c>
      <c r="F104" s="820">
        <v>97</v>
      </c>
      <c r="G104" s="820">
        <v>96</v>
      </c>
      <c r="H104" s="820">
        <v>95</v>
      </c>
      <c r="I104" s="820">
        <v>94</v>
      </c>
      <c r="J104" s="820">
        <v>93</v>
      </c>
      <c r="K104" s="820"/>
      <c r="L104" s="820"/>
      <c r="M104" s="869"/>
      <c r="N104" s="870"/>
      <c r="O104" s="870"/>
      <c r="P104" s="1151"/>
      <c r="Q104" s="911"/>
    </row>
    <row r="105" spans="1:17" ht="14.4">
      <c r="A105" s="852"/>
      <c r="B105" s="821" t="s">
        <v>1595</v>
      </c>
      <c r="C105" s="1146" t="s">
        <v>1401</v>
      </c>
      <c r="D105" s="829"/>
      <c r="E105" s="846"/>
      <c r="F105" s="846"/>
      <c r="G105" s="846"/>
      <c r="H105" s="846"/>
      <c r="I105" s="846"/>
      <c r="J105" s="846"/>
      <c r="K105" s="898"/>
      <c r="L105" s="899"/>
      <c r="M105" s="900"/>
      <c r="N105" s="867"/>
      <c r="O105" s="867"/>
      <c r="P105" s="1141"/>
      <c r="Q105" s="790"/>
    </row>
    <row r="106" spans="1:17">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ht="14.4">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ht="14.4">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c r="A111" s="818"/>
      <c r="B111" s="823"/>
      <c r="C111" s="842">
        <v>100</v>
      </c>
      <c r="D111" s="824">
        <f>C111+$K36</f>
        <v>101</v>
      </c>
      <c r="E111" s="824">
        <f t="shared" ref="E111:M111" si="26">D111+$K36</f>
        <v>102</v>
      </c>
      <c r="F111" s="824">
        <f t="shared" si="26"/>
        <v>103</v>
      </c>
      <c r="G111" s="824">
        <f t="shared" si="26"/>
        <v>104</v>
      </c>
      <c r="H111" s="824">
        <f t="shared" si="26"/>
        <v>105</v>
      </c>
      <c r="I111" s="824">
        <f t="shared" si="26"/>
        <v>106</v>
      </c>
      <c r="J111" s="824">
        <f t="shared" si="26"/>
        <v>107</v>
      </c>
      <c r="K111" s="824">
        <f t="shared" si="26"/>
        <v>108</v>
      </c>
      <c r="L111" s="824">
        <f t="shared" si="26"/>
        <v>109</v>
      </c>
      <c r="M111" s="824">
        <f t="shared" si="26"/>
        <v>110</v>
      </c>
      <c r="N111" s="870"/>
      <c r="O111" s="870"/>
      <c r="P111" s="1141"/>
      <c r="Q111" s="790"/>
    </row>
    <row r="112" spans="1:17" s="572" customFormat="1" ht="14.4">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ht="14.4">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ht="14.4">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ht="14.4">
      <c r="A118" s="852"/>
      <c r="B118" s="821" t="s">
        <v>1662</v>
      </c>
      <c r="C118" s="1150"/>
      <c r="D118" s="1150"/>
      <c r="E118" s="1150"/>
      <c r="F118" s="1150"/>
      <c r="G118" s="1150"/>
      <c r="H118" s="830"/>
      <c r="I118" s="830"/>
      <c r="J118" s="830"/>
      <c r="K118" s="830"/>
      <c r="L118" s="878"/>
      <c r="M118" s="879"/>
      <c r="N118" s="867"/>
      <c r="O118" s="867"/>
      <c r="P118" s="1141"/>
      <c r="Q118" s="790"/>
    </row>
    <row r="119" spans="1:17">
      <c r="A119" s="818"/>
      <c r="B119" s="823"/>
      <c r="C119" s="831"/>
      <c r="D119" s="820"/>
      <c r="E119" s="820"/>
      <c r="F119" s="820"/>
      <c r="G119" s="820"/>
      <c r="H119" s="820"/>
      <c r="I119" s="820"/>
      <c r="J119" s="820"/>
      <c r="K119" s="820"/>
      <c r="L119" s="820"/>
      <c r="M119" s="869"/>
      <c r="N119" s="870"/>
      <c r="O119" s="870"/>
      <c r="P119" s="1141"/>
      <c r="Q119" s="790"/>
    </row>
    <row r="120" spans="1:17" s="572" customFormat="1" ht="14.4">
      <c r="A120" s="849"/>
      <c r="B120" s="821" t="s">
        <v>1678</v>
      </c>
      <c r="C120" s="846"/>
      <c r="D120" s="846"/>
      <c r="E120" s="846"/>
      <c r="F120" s="846"/>
      <c r="G120" s="830"/>
      <c r="H120" s="830"/>
      <c r="I120" s="830"/>
      <c r="J120" s="830"/>
      <c r="K120" s="830"/>
      <c r="L120" s="878"/>
      <c r="M120" s="879"/>
      <c r="N120" s="880"/>
      <c r="O120" s="880"/>
      <c r="P120" s="1151"/>
      <c r="Q120" s="911"/>
    </row>
    <row r="121" spans="1:17" s="572" customFormat="1">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ht="14.4">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ht="28.8">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576" customWidth="1"/>
    <col min="2" max="2" width="15.77734375" style="576" customWidth="1"/>
    <col min="3" max="3" width="15.664062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1025"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59" t="s">
        <v>1569</v>
      </c>
      <c r="Q4" s="3260"/>
      <c r="R4" s="3263" t="s">
        <v>1565</v>
      </c>
      <c r="S4" s="3264"/>
      <c r="T4" s="3263" t="s">
        <v>1566</v>
      </c>
      <c r="U4" s="3264"/>
      <c r="V4" s="3265" t="s">
        <v>1567</v>
      </c>
      <c r="W4" s="3265"/>
      <c r="X4" s="1112"/>
      <c r="Y4" s="3263" t="s">
        <v>1569</v>
      </c>
      <c r="Z4" s="3264"/>
      <c r="AA4" s="3255" t="s">
        <v>1565</v>
      </c>
      <c r="AB4" s="3255" t="s">
        <v>1566</v>
      </c>
      <c r="AC4" s="3256" t="s">
        <v>1567</v>
      </c>
    </row>
    <row r="5" spans="1:29">
      <c r="A5" s="591"/>
      <c r="B5" s="592"/>
      <c r="C5" s="3249" t="s">
        <v>1570</v>
      </c>
      <c r="D5" s="3250"/>
      <c r="E5" s="3251" t="s">
        <v>1571</v>
      </c>
      <c r="F5" s="3252"/>
      <c r="G5" s="3249" t="s">
        <v>1572</v>
      </c>
      <c r="H5" s="3250"/>
      <c r="I5" s="3249" t="s">
        <v>1573</v>
      </c>
      <c r="J5" s="3250"/>
      <c r="K5" s="736"/>
      <c r="L5" s="737"/>
      <c r="M5" s="738"/>
      <c r="N5" s="738"/>
      <c r="O5" s="738"/>
      <c r="P5" s="3261"/>
      <c r="Q5" s="3213"/>
      <c r="R5" s="3218"/>
      <c r="S5" s="3219"/>
      <c r="T5" s="3218"/>
      <c r="U5" s="3219"/>
      <c r="V5" s="3222"/>
      <c r="W5" s="3222"/>
      <c r="X5" s="779"/>
      <c r="Y5" s="3218"/>
      <c r="Z5" s="3219"/>
      <c r="AA5" s="3208"/>
      <c r="AB5" s="3208"/>
      <c r="AC5" s="3257"/>
    </row>
    <row r="6" spans="1:29" ht="14.4">
      <c r="A6" s="593"/>
      <c r="B6" s="594"/>
      <c r="C6" s="3240" t="s">
        <v>1574</v>
      </c>
      <c r="D6" s="3241"/>
      <c r="E6" s="3242" t="s">
        <v>1574</v>
      </c>
      <c r="F6" s="3243"/>
      <c r="G6" s="3240" t="s">
        <v>1574</v>
      </c>
      <c r="H6" s="3241"/>
      <c r="I6" s="3240" t="s">
        <v>1574</v>
      </c>
      <c r="J6" s="3241"/>
      <c r="K6" s="736" t="s">
        <v>1575</v>
      </c>
      <c r="L6" s="737"/>
      <c r="M6" s="738"/>
      <c r="N6" s="738"/>
      <c r="O6" s="738"/>
      <c r="P6" s="3262"/>
      <c r="Q6" s="3215"/>
      <c r="R6" s="3218"/>
      <c r="S6" s="3219"/>
      <c r="T6" s="3220"/>
      <c r="U6" s="3221"/>
      <c r="V6" s="3222"/>
      <c r="W6" s="3222"/>
      <c r="X6" s="779"/>
      <c r="Y6" s="3220"/>
      <c r="Z6" s="3221"/>
      <c r="AA6" s="3209"/>
      <c r="AB6" s="3209"/>
      <c r="AC6" s="3258"/>
    </row>
    <row r="7" spans="1:29" s="570" customFormat="1" ht="14.4">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69"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1114" t="e">
        <f>D7/J7</f>
        <v>#DIV/0!</v>
      </c>
    </row>
    <row r="8" spans="1:29" s="570" customFormat="1" ht="14.4">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69" t="s">
        <v>1581</v>
      </c>
      <c r="Q8" s="3229"/>
      <c r="R8" s="780" t="s">
        <v>1578</v>
      </c>
      <c r="S8" s="781">
        <f t="shared" si="0"/>
        <v>0</v>
      </c>
      <c r="T8" s="780" t="s">
        <v>1578</v>
      </c>
      <c r="U8" s="781">
        <f t="shared" si="1"/>
        <v>0</v>
      </c>
      <c r="V8" s="780" t="s">
        <v>1578</v>
      </c>
      <c r="W8" s="781">
        <f t="shared" si="2"/>
        <v>0</v>
      </c>
      <c r="X8" s="782"/>
      <c r="Y8" s="3228" t="s">
        <v>1581</v>
      </c>
      <c r="Z8" s="3229"/>
      <c r="AA8" s="794" t="e">
        <f t="shared" ref="AA8:AA47" si="3">D8/F8</f>
        <v>#DIV/0!</v>
      </c>
      <c r="AB8" s="794" t="e">
        <f t="shared" ref="AB8:AB47" si="4">D8/H8</f>
        <v>#DIV/0!</v>
      </c>
      <c r="AC8" s="1114" t="e">
        <f t="shared" ref="AC8:AC47" si="5">D8/J8</f>
        <v>#DIV/0!</v>
      </c>
    </row>
    <row r="9" spans="1:29" s="570" customFormat="1" ht="14.4">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1114">
        <f t="shared" si="5"/>
        <v>1</v>
      </c>
    </row>
    <row r="10" spans="1:29" s="571" customFormat="1" ht="28.8">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1114">
        <f t="shared" si="5"/>
        <v>1</v>
      </c>
    </row>
    <row r="15" spans="1:29" ht="69">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31" t="s">
        <v>1588</v>
      </c>
      <c r="Q15" s="709" t="str">
        <f t="shared" si="6"/>
        <v>办公集聚程度</v>
      </c>
      <c r="R15" s="785" t="s">
        <v>1578</v>
      </c>
      <c r="S15" s="786">
        <f t="shared" si="0"/>
        <v>100</v>
      </c>
      <c r="T15" s="785" t="s">
        <v>1578</v>
      </c>
      <c r="U15" s="786">
        <f t="shared" si="1"/>
        <v>100</v>
      </c>
      <c r="V15" s="785" t="s">
        <v>1578</v>
      </c>
      <c r="W15" s="786">
        <f t="shared" si="2"/>
        <v>100</v>
      </c>
      <c r="X15" s="779"/>
      <c r="Y15" s="3236"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32"/>
      <c r="Q16" s="709"/>
      <c r="R16" s="785"/>
      <c r="S16" s="786"/>
      <c r="T16" s="785"/>
      <c r="U16" s="786"/>
      <c r="V16" s="785"/>
      <c r="W16" s="786"/>
      <c r="X16" s="779"/>
      <c r="Y16" s="3237"/>
      <c r="Z16" s="770"/>
      <c r="AA16" s="796">
        <v>1</v>
      </c>
      <c r="AB16" s="796">
        <v>1</v>
      </c>
      <c r="AC16" s="1115">
        <v>1</v>
      </c>
    </row>
    <row r="17" spans="1:29" ht="82.8">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32"/>
      <c r="Q18" s="709"/>
      <c r="R18" s="785"/>
      <c r="S18" s="786"/>
      <c r="T18" s="785"/>
      <c r="U18" s="786"/>
      <c r="V18" s="785"/>
      <c r="W18" s="786"/>
      <c r="X18" s="779"/>
      <c r="Y18" s="3237"/>
      <c r="Z18" s="770"/>
      <c r="AA18" s="796">
        <v>1</v>
      </c>
      <c r="AB18" s="796">
        <v>1</v>
      </c>
      <c r="AC18" s="1115">
        <v>1</v>
      </c>
    </row>
    <row r="19" spans="1:29" ht="41.4">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32"/>
      <c r="Q20" s="709"/>
      <c r="R20" s="785"/>
      <c r="S20" s="786"/>
      <c r="T20" s="785"/>
      <c r="U20" s="786"/>
      <c r="V20" s="785"/>
      <c r="W20" s="786"/>
      <c r="X20" s="779"/>
      <c r="Y20" s="3237"/>
      <c r="Z20" s="770"/>
      <c r="AA20" s="796">
        <v>1</v>
      </c>
      <c r="AB20" s="796">
        <v>1</v>
      </c>
      <c r="AC20" s="1115">
        <v>1</v>
      </c>
    </row>
    <row r="21" spans="1:29" ht="27.6">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32"/>
      <c r="Q22" s="709"/>
      <c r="R22" s="785"/>
      <c r="S22" s="786"/>
      <c r="T22" s="785"/>
      <c r="U22" s="786"/>
      <c r="V22" s="785"/>
      <c r="W22" s="786"/>
      <c r="X22" s="779"/>
      <c r="Y22" s="3237"/>
      <c r="Z22" s="770"/>
      <c r="AA22" s="796">
        <v>1</v>
      </c>
      <c r="AB22" s="796">
        <v>1</v>
      </c>
      <c r="AC22" s="1115">
        <v>1</v>
      </c>
    </row>
    <row r="23" spans="1:29" ht="55.2">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32"/>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32"/>
      <c r="Q24" s="709"/>
      <c r="R24" s="785"/>
      <c r="S24" s="786"/>
      <c r="T24" s="785"/>
      <c r="U24" s="786"/>
      <c r="V24" s="785"/>
      <c r="W24" s="786"/>
      <c r="X24" s="779"/>
      <c r="Y24" s="3237"/>
      <c r="Z24" s="770"/>
      <c r="AA24" s="796">
        <v>1</v>
      </c>
      <c r="AB24" s="796">
        <v>1</v>
      </c>
      <c r="AC24" s="1115">
        <v>1</v>
      </c>
    </row>
    <row r="25" spans="1:29" ht="28.8">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32"/>
      <c r="Q25" s="709" t="str">
        <f>B25</f>
        <v>毗邻道路的类型与等级</v>
      </c>
      <c r="R25" s="785" t="s">
        <v>1578</v>
      </c>
      <c r="S25" s="786">
        <f>F25</f>
        <v>100</v>
      </c>
      <c r="T25" s="785" t="s">
        <v>1578</v>
      </c>
      <c r="U25" s="786">
        <f>H25</f>
        <v>100</v>
      </c>
      <c r="V25" s="785" t="s">
        <v>1578</v>
      </c>
      <c r="W25" s="786">
        <f>J25</f>
        <v>100</v>
      </c>
      <c r="X25" s="779"/>
      <c r="Y25" s="3237"/>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32"/>
      <c r="Q26" s="709"/>
      <c r="R26" s="785"/>
      <c r="S26" s="786"/>
      <c r="T26" s="785"/>
      <c r="U26" s="786"/>
      <c r="V26" s="785"/>
      <c r="W26" s="786"/>
      <c r="X26" s="779"/>
      <c r="Y26" s="3237"/>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32"/>
      <c r="Q27" s="709" t="str">
        <f t="shared" ref="Q27:Q47" si="11">B27</f>
        <v>楼层</v>
      </c>
      <c r="R27" s="785" t="s">
        <v>1578</v>
      </c>
      <c r="S27" s="786">
        <f>F27</f>
        <v>100</v>
      </c>
      <c r="T27" s="785" t="s">
        <v>1578</v>
      </c>
      <c r="U27" s="786">
        <f>H27</f>
        <v>100</v>
      </c>
      <c r="V27" s="785" t="s">
        <v>1578</v>
      </c>
      <c r="W27" s="786">
        <f>J27</f>
        <v>100</v>
      </c>
      <c r="X27" s="779"/>
      <c r="Y27" s="3237"/>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32"/>
      <c r="Q28" s="784" t="str">
        <f t="shared" si="11"/>
        <v>朝向</v>
      </c>
      <c r="R28" s="780" t="s">
        <v>1578</v>
      </c>
      <c r="S28" s="781">
        <f>F28</f>
        <v>100</v>
      </c>
      <c r="T28" s="780" t="s">
        <v>1578</v>
      </c>
      <c r="U28" s="781">
        <f>H28</f>
        <v>100</v>
      </c>
      <c r="V28" s="780" t="s">
        <v>1578</v>
      </c>
      <c r="W28" s="781">
        <f>J28</f>
        <v>100</v>
      </c>
      <c r="X28" s="782"/>
      <c r="Y28" s="3237"/>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32"/>
      <c r="Q29" s="709">
        <f t="shared" si="11"/>
        <v>111</v>
      </c>
      <c r="R29" s="785" t="s">
        <v>1578</v>
      </c>
      <c r="S29" s="786">
        <f t="shared" ref="S29:S47" si="12">F29</f>
        <v>100</v>
      </c>
      <c r="T29" s="785" t="s">
        <v>1578</v>
      </c>
      <c r="U29" s="786">
        <f t="shared" ref="U29:U47" si="13">H29</f>
        <v>100</v>
      </c>
      <c r="V29" s="785" t="s">
        <v>1578</v>
      </c>
      <c r="W29" s="786">
        <f t="shared" ref="W29:W47" si="14">J29</f>
        <v>100</v>
      </c>
      <c r="X29" s="779"/>
      <c r="Y29" s="3237"/>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32"/>
      <c r="Q32" s="709">
        <f t="shared" si="11"/>
        <v>111</v>
      </c>
      <c r="R32" s="785" t="s">
        <v>1578</v>
      </c>
      <c r="S32" s="786">
        <f t="shared" si="12"/>
        <v>100</v>
      </c>
      <c r="T32" s="785" t="s">
        <v>1578</v>
      </c>
      <c r="U32" s="786">
        <f t="shared" si="13"/>
        <v>100</v>
      </c>
      <c r="V32" s="785" t="s">
        <v>1578</v>
      </c>
      <c r="W32" s="786">
        <f t="shared" si="14"/>
        <v>100</v>
      </c>
      <c r="X32" s="779"/>
      <c r="Y32" s="3237"/>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33" t="s">
        <v>1593</v>
      </c>
      <c r="Q33" s="709" t="str">
        <f t="shared" si="11"/>
        <v>建筑类型</v>
      </c>
      <c r="R33" s="785" t="s">
        <v>1578</v>
      </c>
      <c r="S33" s="786">
        <f t="shared" si="12"/>
        <v>100</v>
      </c>
      <c r="T33" s="785" t="s">
        <v>1578</v>
      </c>
      <c r="U33" s="786">
        <f t="shared" si="13"/>
        <v>100</v>
      </c>
      <c r="V33" s="785" t="s">
        <v>1578</v>
      </c>
      <c r="W33" s="786">
        <f t="shared" si="14"/>
        <v>100</v>
      </c>
      <c r="X33" s="779"/>
      <c r="Y33" s="3238"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34"/>
      <c r="Q34" s="1011" t="str">
        <f t="shared" si="11"/>
        <v>项目建筑规模</v>
      </c>
      <c r="R34" s="787" t="s">
        <v>1578</v>
      </c>
      <c r="S34" s="788" t="e">
        <f t="shared" si="12"/>
        <v>#N/A</v>
      </c>
      <c r="T34" s="787" t="s">
        <v>1578</v>
      </c>
      <c r="U34" s="788" t="e">
        <f t="shared" si="13"/>
        <v>#N/A</v>
      </c>
      <c r="V34" s="787" t="s">
        <v>1578</v>
      </c>
      <c r="W34" s="788" t="e">
        <f t="shared" si="14"/>
        <v>#N/A</v>
      </c>
      <c r="X34" s="789"/>
      <c r="Y34" s="3238"/>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34"/>
      <c r="Q35" s="709" t="str">
        <f t="shared" si="11"/>
        <v>建筑结构</v>
      </c>
      <c r="R35" s="785" t="s">
        <v>1578</v>
      </c>
      <c r="S35" s="786">
        <f t="shared" si="12"/>
        <v>100</v>
      </c>
      <c r="T35" s="785" t="s">
        <v>1578</v>
      </c>
      <c r="U35" s="786">
        <f t="shared" si="13"/>
        <v>100</v>
      </c>
      <c r="V35" s="785" t="s">
        <v>1578</v>
      </c>
      <c r="W35" s="786">
        <f t="shared" si="14"/>
        <v>100</v>
      </c>
      <c r="X35" s="779"/>
      <c r="Y35" s="3238"/>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34"/>
      <c r="Q37" s="709" t="str">
        <f t="shared" si="11"/>
        <v>成新度</v>
      </c>
      <c r="R37" s="785" t="s">
        <v>1578</v>
      </c>
      <c r="S37" s="786" t="e">
        <f t="shared" si="12"/>
        <v>#N/A</v>
      </c>
      <c r="T37" s="785" t="s">
        <v>1578</v>
      </c>
      <c r="U37" s="786" t="e">
        <f t="shared" si="13"/>
        <v>#N/A</v>
      </c>
      <c r="V37" s="785" t="s">
        <v>1578</v>
      </c>
      <c r="W37" s="786" t="e">
        <f t="shared" si="14"/>
        <v>#N/A</v>
      </c>
      <c r="X37" s="779"/>
      <c r="Y37" s="3238"/>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34"/>
      <c r="Q38" s="784" t="str">
        <f t="shared" si="11"/>
        <v>写字楼等级</v>
      </c>
      <c r="R38" s="780" t="s">
        <v>1578</v>
      </c>
      <c r="S38" s="781">
        <f t="shared" si="12"/>
        <v>100</v>
      </c>
      <c r="T38" s="780" t="s">
        <v>1578</v>
      </c>
      <c r="U38" s="781">
        <f t="shared" si="13"/>
        <v>100</v>
      </c>
      <c r="V38" s="780" t="s">
        <v>1578</v>
      </c>
      <c r="W38" s="781">
        <f t="shared" si="14"/>
        <v>100</v>
      </c>
      <c r="X38" s="782"/>
      <c r="Y38" s="3238"/>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34" t="s">
        <v>1593</v>
      </c>
      <c r="Q39" s="709" t="str">
        <f t="shared" si="11"/>
        <v>物业管理</v>
      </c>
      <c r="R39" s="785" t="s">
        <v>1578</v>
      </c>
      <c r="S39" s="786">
        <f t="shared" si="12"/>
        <v>100</v>
      </c>
      <c r="T39" s="785" t="s">
        <v>1578</v>
      </c>
      <c r="U39" s="786">
        <f t="shared" si="13"/>
        <v>100</v>
      </c>
      <c r="V39" s="785" t="s">
        <v>1578</v>
      </c>
      <c r="W39" s="786">
        <f t="shared" si="14"/>
        <v>100</v>
      </c>
      <c r="X39" s="779"/>
      <c r="Y39" s="3238"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34"/>
      <c r="Q40" s="709" t="str">
        <f t="shared" si="11"/>
        <v>市政基础设施</v>
      </c>
      <c r="R40" s="785" t="s">
        <v>1578</v>
      </c>
      <c r="S40" s="786">
        <f t="shared" si="12"/>
        <v>100</v>
      </c>
      <c r="T40" s="785" t="s">
        <v>1578</v>
      </c>
      <c r="U40" s="786">
        <f t="shared" si="13"/>
        <v>100</v>
      </c>
      <c r="V40" s="785" t="s">
        <v>1578</v>
      </c>
      <c r="W40" s="786">
        <f t="shared" si="14"/>
        <v>100</v>
      </c>
      <c r="X40" s="779"/>
      <c r="Y40" s="3238"/>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34"/>
      <c r="Q41" s="709" t="str">
        <f t="shared" si="11"/>
        <v>层高</v>
      </c>
      <c r="R41" s="785" t="s">
        <v>1578</v>
      </c>
      <c r="S41" s="786">
        <f t="shared" si="12"/>
        <v>100</v>
      </c>
      <c r="T41" s="785" t="s">
        <v>1578</v>
      </c>
      <c r="U41" s="786">
        <f t="shared" si="13"/>
        <v>100</v>
      </c>
      <c r="V41" s="785" t="s">
        <v>1578</v>
      </c>
      <c r="W41" s="786">
        <f t="shared" si="14"/>
        <v>100</v>
      </c>
      <c r="X41" s="779"/>
      <c r="Y41" s="3238"/>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34"/>
      <c r="Q42" s="1011" t="str">
        <f t="shared" si="11"/>
        <v>单套建筑面积</v>
      </c>
      <c r="R42" s="787" t="s">
        <v>1578</v>
      </c>
      <c r="S42" s="788">
        <f t="shared" si="12"/>
        <v>100</v>
      </c>
      <c r="T42" s="787" t="s">
        <v>1578</v>
      </c>
      <c r="U42" s="788">
        <f t="shared" si="13"/>
        <v>100</v>
      </c>
      <c r="V42" s="787" t="s">
        <v>1578</v>
      </c>
      <c r="W42" s="788">
        <f t="shared" si="14"/>
        <v>100</v>
      </c>
      <c r="X42" s="789"/>
      <c r="Y42" s="3238"/>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34"/>
      <c r="Q43" s="709" t="str">
        <f t="shared" si="11"/>
        <v>内部装修</v>
      </c>
      <c r="R43" s="785" t="s">
        <v>1578</v>
      </c>
      <c r="S43" s="786">
        <f t="shared" si="12"/>
        <v>100</v>
      </c>
      <c r="T43" s="785" t="s">
        <v>1578</v>
      </c>
      <c r="U43" s="786">
        <f t="shared" si="13"/>
        <v>100</v>
      </c>
      <c r="V43" s="785" t="s">
        <v>1578</v>
      </c>
      <c r="W43" s="786">
        <f t="shared" si="14"/>
        <v>100</v>
      </c>
      <c r="X43" s="779"/>
      <c r="Y43" s="3238"/>
      <c r="Z43" s="770" t="str">
        <f t="shared" si="15"/>
        <v>内部装修</v>
      </c>
      <c r="AA43" s="796">
        <f t="shared" si="3"/>
        <v>1</v>
      </c>
      <c r="AB43" s="796">
        <f t="shared" si="4"/>
        <v>1</v>
      </c>
      <c r="AC43" s="1115">
        <f t="shared" si="5"/>
        <v>1</v>
      </c>
    </row>
    <row r="44" spans="1:29" ht="28.8">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34"/>
      <c r="Q44" s="709" t="str">
        <f t="shared" si="11"/>
        <v>内部装修维护情况</v>
      </c>
      <c r="R44" s="785" t="s">
        <v>1578</v>
      </c>
      <c r="S44" s="786">
        <f t="shared" si="12"/>
        <v>100</v>
      </c>
      <c r="T44" s="785" t="s">
        <v>1578</v>
      </c>
      <c r="U44" s="786">
        <f t="shared" si="13"/>
        <v>100</v>
      </c>
      <c r="V44" s="785" t="s">
        <v>1578</v>
      </c>
      <c r="W44" s="786">
        <f t="shared" si="14"/>
        <v>100</v>
      </c>
      <c r="X44" s="779"/>
      <c r="Y44" s="3238"/>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34"/>
      <c r="Q45" s="784">
        <f t="shared" si="11"/>
        <v>111</v>
      </c>
      <c r="R45" s="780" t="s">
        <v>1578</v>
      </c>
      <c r="S45" s="781">
        <f t="shared" si="12"/>
        <v>100</v>
      </c>
      <c r="T45" s="780" t="s">
        <v>1578</v>
      </c>
      <c r="U45" s="781">
        <f t="shared" si="13"/>
        <v>100</v>
      </c>
      <c r="V45" s="780" t="s">
        <v>1578</v>
      </c>
      <c r="W45" s="781">
        <f t="shared" si="14"/>
        <v>100</v>
      </c>
      <c r="X45" s="782"/>
      <c r="Y45" s="3238"/>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34"/>
      <c r="Q46" s="709">
        <f t="shared" si="11"/>
        <v>111</v>
      </c>
      <c r="R46" s="785" t="s">
        <v>1578</v>
      </c>
      <c r="S46" s="786">
        <f t="shared" si="12"/>
        <v>100</v>
      </c>
      <c r="T46" s="785" t="s">
        <v>1578</v>
      </c>
      <c r="U46" s="786">
        <f t="shared" si="13"/>
        <v>100</v>
      </c>
      <c r="V46" s="785" t="s">
        <v>1578</v>
      </c>
      <c r="W46" s="786">
        <f t="shared" si="14"/>
        <v>100</v>
      </c>
      <c r="X46" s="779"/>
      <c r="Y46" s="3238"/>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35"/>
      <c r="Q47" s="709">
        <f t="shared" si="11"/>
        <v>111</v>
      </c>
      <c r="R47" s="785" t="s">
        <v>1578</v>
      </c>
      <c r="S47" s="786">
        <f t="shared" si="12"/>
        <v>100</v>
      </c>
      <c r="T47" s="785" t="s">
        <v>1578</v>
      </c>
      <c r="U47" s="786">
        <f t="shared" si="13"/>
        <v>100</v>
      </c>
      <c r="V47" s="785" t="s">
        <v>1578</v>
      </c>
      <c r="W47" s="786">
        <f t="shared" si="14"/>
        <v>100</v>
      </c>
      <c r="X47" s="779"/>
      <c r="Y47" s="3239"/>
      <c r="Z47" s="770">
        <f t="shared" si="15"/>
        <v>111</v>
      </c>
      <c r="AA47" s="796">
        <f t="shared" si="3"/>
        <v>1</v>
      </c>
      <c r="AB47" s="796">
        <f t="shared" si="4"/>
        <v>1</v>
      </c>
      <c r="AC47" s="1115">
        <f t="shared" si="5"/>
        <v>1</v>
      </c>
    </row>
    <row r="48" spans="1:29" ht="14.4">
      <c r="A48" s="669" t="s">
        <v>1604</v>
      </c>
      <c r="B48" s="986"/>
      <c r="C48" s="987" t="s">
        <v>124</v>
      </c>
      <c r="D48" s="988"/>
      <c r="E48" s="989"/>
      <c r="F48" s="990"/>
      <c r="G48" s="991"/>
      <c r="H48" s="992"/>
      <c r="I48" s="989"/>
      <c r="J48" s="676"/>
      <c r="K48" s="761"/>
      <c r="L48" s="762"/>
      <c r="M48" s="738"/>
      <c r="N48" s="738"/>
      <c r="O48" s="738"/>
      <c r="P48" s="3230" t="str">
        <f>A48</f>
        <v>成交单价（元/平方米）</v>
      </c>
      <c r="Q48" s="3223"/>
      <c r="R48" s="3224">
        <f>E48</f>
        <v>0</v>
      </c>
      <c r="S48" s="3224"/>
      <c r="T48" s="3224">
        <f>G48</f>
        <v>0</v>
      </c>
      <c r="U48" s="3224"/>
      <c r="V48" s="3224">
        <f>I48</f>
        <v>0</v>
      </c>
      <c r="W48" s="3224"/>
      <c r="X48" s="918"/>
      <c r="Y48" s="798"/>
      <c r="Z48" s="918"/>
      <c r="AA48" s="918"/>
      <c r="AB48" s="918"/>
      <c r="AC48" s="630"/>
    </row>
    <row r="49" spans="1:29" ht="14.4">
      <c r="A49" s="677" t="s">
        <v>1605</v>
      </c>
      <c r="B49" s="993"/>
      <c r="C49" s="994" t="e">
        <f>R50</f>
        <v>#DIV/0!</v>
      </c>
      <c r="D49" s="995"/>
      <c r="E49" s="996" t="e">
        <f>R49</f>
        <v>#DIV/0!</v>
      </c>
      <c r="F49" s="996"/>
      <c r="G49" s="994" t="e">
        <f>T49</f>
        <v>#DIV/0!</v>
      </c>
      <c r="H49" s="995"/>
      <c r="I49" s="996" t="e">
        <f>V49</f>
        <v>#DIV/0!</v>
      </c>
      <c r="J49" s="680"/>
      <c r="K49" s="763"/>
      <c r="L49" s="762"/>
      <c r="M49" s="738"/>
      <c r="N49" s="738"/>
      <c r="O49" s="738"/>
      <c r="P49" s="3230"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918"/>
      <c r="Y49" s="918"/>
      <c r="Z49" s="918"/>
      <c r="AA49" s="918"/>
      <c r="AB49" s="918"/>
      <c r="AC49" s="630"/>
    </row>
    <row r="50" spans="1:29" ht="14.4">
      <c r="A50" s="683" t="s">
        <v>1606</v>
      </c>
      <c r="B50" s="684"/>
      <c r="C50" s="997" t="e">
        <f>R50</f>
        <v>#DIV/0!</v>
      </c>
      <c r="D50" s="997"/>
      <c r="E50" s="997"/>
      <c r="F50" s="997"/>
      <c r="G50" s="997"/>
      <c r="H50" s="997"/>
      <c r="I50" s="997"/>
      <c r="J50" s="685"/>
      <c r="K50" s="764"/>
      <c r="L50" s="762"/>
      <c r="M50" s="738"/>
      <c r="N50" s="738"/>
      <c r="O50" s="738"/>
      <c r="P50" s="3266" t="str">
        <f>A50</f>
        <v>估价对象XX用房的比较价值（楼面单价，元/平方米）</v>
      </c>
      <c r="Q50" s="3267"/>
      <c r="R50" s="3268" t="e">
        <f>IF(F1="售价",ROUND(AVERAGE(R49:V49),0),ROUND(AVERAGE(R49:V49),1))</f>
        <v>#DIV/0!</v>
      </c>
      <c r="S50" s="3268"/>
      <c r="T50" s="3268"/>
      <c r="U50" s="3268"/>
      <c r="V50" s="3268"/>
      <c r="W50" s="326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6">
      <c r="A58" s="725" t="s">
        <v>1610</v>
      </c>
      <c r="B58" s="726"/>
      <c r="C58" s="727"/>
      <c r="D58" s="727"/>
      <c r="E58" s="727"/>
      <c r="F58" s="728"/>
      <c r="G58" s="728"/>
      <c r="H58" s="727"/>
      <c r="I58" s="727"/>
      <c r="J58" s="727"/>
      <c r="K58" s="775"/>
      <c r="L58" s="943"/>
      <c r="M58" s="777"/>
      <c r="N58" s="777"/>
      <c r="O58" s="777"/>
      <c r="P58" s="1107"/>
      <c r="Q58" s="790"/>
    </row>
    <row r="59" spans="1:29" s="575" customFormat="1" ht="14.4">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c r="A60" s="1002"/>
      <c r="B60" s="811"/>
      <c r="C60" s="1003">
        <v>100</v>
      </c>
      <c r="D60" s="815"/>
      <c r="E60" s="815"/>
      <c r="F60" s="815"/>
      <c r="G60" s="815"/>
      <c r="H60" s="815"/>
      <c r="I60" s="815"/>
      <c r="J60" s="815"/>
      <c r="K60" s="815"/>
      <c r="L60" s="815"/>
      <c r="M60" s="1010"/>
      <c r="N60" s="815"/>
      <c r="O60" s="1010"/>
      <c r="P60" s="1109"/>
    </row>
    <row r="61" spans="1:29" s="570" customFormat="1" ht="14.4">
      <c r="A61" s="806" t="s">
        <v>1611</v>
      </c>
      <c r="B61" s="807"/>
      <c r="C61" s="808"/>
      <c r="D61" s="809"/>
      <c r="E61" s="809"/>
      <c r="F61" s="809"/>
      <c r="G61" s="809"/>
      <c r="H61" s="809"/>
      <c r="I61" s="809"/>
      <c r="J61" s="809"/>
      <c r="K61" s="809"/>
      <c r="L61" s="809"/>
      <c r="M61" s="857"/>
      <c r="N61" s="809"/>
      <c r="O61" s="857"/>
      <c r="P61" s="1109"/>
      <c r="Q61" s="790"/>
    </row>
    <row r="62" spans="1:29" s="570" customFormat="1" ht="14.4">
      <c r="A62" s="810" t="s">
        <v>1579</v>
      </c>
      <c r="B62" s="811"/>
      <c r="C62" s="812" t="s">
        <v>1580</v>
      </c>
      <c r="D62" s="813"/>
      <c r="E62" s="813"/>
      <c r="F62" s="813"/>
      <c r="G62" s="813"/>
      <c r="H62" s="813"/>
      <c r="I62" s="813"/>
      <c r="J62" s="813"/>
      <c r="K62" s="813"/>
      <c r="L62" s="859"/>
      <c r="M62" s="860"/>
      <c r="N62" s="861"/>
      <c r="O62" s="861"/>
      <c r="P62" s="1110"/>
      <c r="Q62" s="790"/>
    </row>
    <row r="63" spans="1:29" s="570" customFormat="1">
      <c r="A63" s="810"/>
      <c r="B63" s="811"/>
      <c r="C63" s="1105">
        <v>100</v>
      </c>
      <c r="D63" s="815"/>
      <c r="E63" s="815"/>
      <c r="F63" s="815"/>
      <c r="G63" s="815"/>
      <c r="H63" s="815"/>
      <c r="I63" s="815"/>
      <c r="J63" s="815"/>
      <c r="K63" s="815"/>
      <c r="L63" s="815"/>
      <c r="M63" s="863"/>
      <c r="N63" s="861"/>
      <c r="O63" s="861"/>
      <c r="P63" s="1109"/>
      <c r="Q63" s="790"/>
    </row>
    <row r="64" spans="1:29" ht="14.4">
      <c r="A64" s="816" t="s">
        <v>1612</v>
      </c>
      <c r="B64" s="817" t="s">
        <v>348</v>
      </c>
      <c r="C64" s="839">
        <f>C9</f>
        <v>0</v>
      </c>
      <c r="D64" s="759"/>
      <c r="E64" s="759"/>
      <c r="F64" s="759"/>
      <c r="G64" s="759"/>
      <c r="H64" s="759"/>
      <c r="I64" s="759"/>
      <c r="J64" s="759"/>
      <c r="K64" s="864"/>
      <c r="L64" s="865"/>
      <c r="M64" s="866"/>
      <c r="N64" s="867"/>
      <c r="O64" s="867"/>
      <c r="P64" s="1111"/>
      <c r="Q64" s="790"/>
    </row>
    <row r="65" spans="1:17">
      <c r="A65" s="818"/>
      <c r="B65" s="819"/>
      <c r="C65" s="820">
        <v>100</v>
      </c>
      <c r="D65" s="820"/>
      <c r="E65" s="820"/>
      <c r="F65" s="820"/>
      <c r="G65" s="820"/>
      <c r="H65" s="820"/>
      <c r="I65" s="820"/>
      <c r="J65" s="820"/>
      <c r="K65" s="820"/>
      <c r="L65" s="820"/>
      <c r="M65" s="869"/>
      <c r="N65" s="870"/>
      <c r="O65" s="870"/>
      <c r="P65" s="1111"/>
      <c r="Q65" s="790"/>
    </row>
    <row r="66" spans="1:17" ht="28.8">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4.4">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c r="A69" s="818"/>
      <c r="B69" s="827"/>
      <c r="C69" s="617"/>
      <c r="D69" s="617"/>
      <c r="E69" s="617"/>
      <c r="F69" s="617"/>
      <c r="G69" s="617"/>
      <c r="H69" s="617"/>
      <c r="I69" s="617"/>
      <c r="J69" s="617"/>
      <c r="K69" s="875"/>
      <c r="L69" s="876"/>
      <c r="M69" s="877"/>
      <c r="N69" s="867"/>
      <c r="O69" s="867"/>
      <c r="P69" s="1111"/>
      <c r="Q69" s="790"/>
    </row>
    <row r="70" spans="1:17">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c r="A71" s="828"/>
      <c r="B71" s="821">
        <f>B12</f>
        <v>111</v>
      </c>
      <c r="C71" s="829"/>
      <c r="D71" s="829"/>
      <c r="E71" s="829"/>
      <c r="F71" s="829"/>
      <c r="G71" s="829"/>
      <c r="H71" s="830"/>
      <c r="I71" s="830"/>
      <c r="J71" s="830"/>
      <c r="K71" s="830"/>
      <c r="L71" s="878"/>
      <c r="M71" s="879"/>
      <c r="N71" s="880"/>
      <c r="O71" s="880"/>
      <c r="P71" s="1118"/>
      <c r="Q71" s="911"/>
    </row>
    <row r="72" spans="1:17" s="572" customFormat="1">
      <c r="A72" s="828"/>
      <c r="B72" s="823"/>
      <c r="C72" s="831"/>
      <c r="D72" s="820"/>
      <c r="E72" s="820"/>
      <c r="F72" s="820"/>
      <c r="G72" s="820"/>
      <c r="H72" s="820"/>
      <c r="I72" s="820"/>
      <c r="J72" s="820"/>
      <c r="K72" s="820"/>
      <c r="L72" s="820"/>
      <c r="M72" s="869"/>
      <c r="N72" s="870"/>
      <c r="O72" s="870"/>
      <c r="P72" s="1118"/>
      <c r="Q72" s="911"/>
    </row>
    <row r="73" spans="1:17" s="572" customFormat="1">
      <c r="A73" s="828"/>
      <c r="B73" s="821">
        <f>B13</f>
        <v>111</v>
      </c>
      <c r="C73" s="829"/>
      <c r="D73" s="829"/>
      <c r="E73" s="829"/>
      <c r="F73" s="829"/>
      <c r="G73" s="829"/>
      <c r="H73" s="830"/>
      <c r="I73" s="830"/>
      <c r="J73" s="830"/>
      <c r="K73" s="830"/>
      <c r="L73" s="878"/>
      <c r="M73" s="879"/>
      <c r="N73" s="880"/>
      <c r="O73" s="880"/>
      <c r="P73" s="1119"/>
      <c r="Q73" s="912"/>
    </row>
    <row r="74" spans="1:17" s="572" customFormat="1">
      <c r="A74" s="828"/>
      <c r="B74" s="823"/>
      <c r="C74" s="831"/>
      <c r="D74" s="831"/>
      <c r="E74" s="831"/>
      <c r="F74" s="831"/>
      <c r="G74" s="831"/>
      <c r="H74" s="832"/>
      <c r="I74" s="832"/>
      <c r="J74" s="832"/>
      <c r="K74" s="832"/>
      <c r="L74" s="832"/>
      <c r="M74" s="883"/>
      <c r="N74" s="880"/>
      <c r="O74" s="880"/>
      <c r="P74" s="1118"/>
      <c r="Q74" s="911"/>
    </row>
    <row r="75" spans="1:17" s="572" customFormat="1">
      <c r="A75" s="828"/>
      <c r="B75" s="825">
        <f>B14</f>
        <v>111</v>
      </c>
      <c r="C75" s="813"/>
      <c r="D75" s="813"/>
      <c r="E75" s="813"/>
      <c r="F75" s="813"/>
      <c r="G75" s="813"/>
      <c r="H75" s="833"/>
      <c r="I75" s="833"/>
      <c r="J75" s="833"/>
      <c r="K75" s="833"/>
      <c r="L75" s="884"/>
      <c r="M75" s="885"/>
      <c r="N75" s="880"/>
      <c r="O75" s="880"/>
      <c r="P75" s="1120"/>
      <c r="Q75" s="911"/>
    </row>
    <row r="76" spans="1:17" s="572" customFormat="1">
      <c r="A76" s="834"/>
      <c r="B76" s="835"/>
      <c r="C76" s="836"/>
      <c r="D76" s="836"/>
      <c r="E76" s="836"/>
      <c r="F76" s="836"/>
      <c r="G76" s="836"/>
      <c r="H76" s="837"/>
      <c r="I76" s="837"/>
      <c r="J76" s="837"/>
      <c r="K76" s="837"/>
      <c r="L76" s="837"/>
      <c r="M76" s="887"/>
      <c r="N76" s="880"/>
      <c r="O76" s="880"/>
      <c r="P76" s="1118"/>
      <c r="Q76" s="911"/>
    </row>
    <row r="77" spans="1:17" ht="14.4">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4.4">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4.4">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4.4">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4.4">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8.8">
      <c r="A87" s="841"/>
      <c r="B87" s="821" t="s">
        <v>673</v>
      </c>
      <c r="C87" s="829"/>
      <c r="D87" s="829"/>
      <c r="E87" s="829"/>
      <c r="F87" s="829"/>
      <c r="G87" s="829"/>
      <c r="H87" s="829"/>
      <c r="I87" s="829"/>
      <c r="J87" s="829"/>
      <c r="K87" s="829"/>
      <c r="L87" s="1016"/>
      <c r="M87" s="1017"/>
      <c r="N87" s="861"/>
      <c r="O87" s="861"/>
      <c r="P87" s="1111"/>
      <c r="Q87" s="790"/>
    </row>
    <row r="88" spans="1:17" s="570" customFormat="1">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c r="A89" s="841"/>
      <c r="B89" s="821" t="str">
        <f>B27</f>
        <v>楼层</v>
      </c>
      <c r="C89" s="829"/>
      <c r="D89" s="829"/>
      <c r="E89" s="829"/>
      <c r="F89" s="1117"/>
      <c r="G89" s="829"/>
      <c r="H89" s="829"/>
      <c r="I89" s="829"/>
      <c r="J89" s="829"/>
      <c r="K89" s="829"/>
      <c r="L89" s="829"/>
      <c r="M89" s="1017"/>
      <c r="N89" s="861"/>
      <c r="O89" s="861"/>
      <c r="P89" s="1111"/>
      <c r="Q89" s="790"/>
    </row>
    <row r="90" spans="1:17" s="570" customFormat="1">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c r="A91" s="828"/>
      <c r="B91" s="821" t="str">
        <f>B28</f>
        <v>朝向</v>
      </c>
      <c r="C91" s="829"/>
      <c r="D91" s="829"/>
      <c r="E91" s="829"/>
      <c r="F91" s="829"/>
      <c r="G91" s="829"/>
      <c r="H91" s="830"/>
      <c r="I91" s="830"/>
      <c r="J91" s="830"/>
      <c r="K91" s="830"/>
      <c r="L91" s="878"/>
      <c r="M91" s="879"/>
      <c r="N91" s="880"/>
      <c r="O91" s="880"/>
      <c r="P91" s="1118"/>
      <c r="Q91" s="911"/>
    </row>
    <row r="92" spans="1:17" s="572" customFormat="1">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c r="A93" s="818"/>
      <c r="B93" s="821">
        <f>B29</f>
        <v>111</v>
      </c>
      <c r="C93" s="829"/>
      <c r="D93" s="829"/>
      <c r="E93" s="829"/>
      <c r="F93" s="829"/>
      <c r="G93" s="829"/>
      <c r="H93" s="829"/>
      <c r="I93" s="829"/>
      <c r="J93" s="829"/>
      <c r="K93" s="829"/>
      <c r="L93" s="1016"/>
      <c r="M93" s="1017"/>
      <c r="N93" s="867"/>
      <c r="O93" s="867"/>
      <c r="P93" s="1111"/>
      <c r="Q93" s="790"/>
    </row>
    <row r="94" spans="1:17">
      <c r="A94" s="818"/>
      <c r="B94" s="823"/>
      <c r="C94" s="831"/>
      <c r="D94" s="820"/>
      <c r="E94" s="820"/>
      <c r="F94" s="820"/>
      <c r="G94" s="820"/>
      <c r="H94" s="820"/>
      <c r="I94" s="820"/>
      <c r="J94" s="820"/>
      <c r="K94" s="820"/>
      <c r="L94" s="820"/>
      <c r="M94" s="869"/>
      <c r="N94" s="870"/>
      <c r="O94" s="870"/>
      <c r="P94" s="1111"/>
      <c r="Q94" s="790"/>
    </row>
    <row r="95" spans="1:17">
      <c r="A95" s="818"/>
      <c r="B95" s="821">
        <f>B30</f>
        <v>111</v>
      </c>
      <c r="C95" s="829"/>
      <c r="D95" s="829"/>
      <c r="E95" s="829"/>
      <c r="F95" s="829"/>
      <c r="G95" s="846"/>
      <c r="H95" s="846"/>
      <c r="I95" s="846"/>
      <c r="J95" s="846"/>
      <c r="K95" s="898"/>
      <c r="L95" s="899"/>
      <c r="M95" s="900"/>
      <c r="N95" s="867"/>
      <c r="O95" s="867"/>
      <c r="P95" s="1111"/>
      <c r="Q95" s="790"/>
    </row>
    <row r="96" spans="1:17">
      <c r="A96" s="818"/>
      <c r="B96" s="823"/>
      <c r="C96" s="831"/>
      <c r="D96" s="831"/>
      <c r="E96" s="831"/>
      <c r="F96" s="831"/>
      <c r="G96" s="820"/>
      <c r="H96" s="820"/>
      <c r="I96" s="820"/>
      <c r="J96" s="820"/>
      <c r="K96" s="820"/>
      <c r="L96" s="820"/>
      <c r="M96" s="869"/>
      <c r="N96" s="870"/>
      <c r="O96" s="870"/>
      <c r="P96" s="1111"/>
      <c r="Q96" s="790"/>
    </row>
    <row r="97" spans="1:17">
      <c r="A97" s="818"/>
      <c r="B97" s="821">
        <f>B31</f>
        <v>111</v>
      </c>
      <c r="C97" s="829"/>
      <c r="D97" s="829"/>
      <c r="E97" s="829"/>
      <c r="F97" s="829"/>
      <c r="G97" s="846"/>
      <c r="H97" s="846"/>
      <c r="I97" s="846"/>
      <c r="J97" s="846"/>
      <c r="K97" s="898"/>
      <c r="L97" s="899"/>
      <c r="M97" s="900"/>
      <c r="N97" s="867"/>
      <c r="O97" s="867"/>
      <c r="P97" s="1111"/>
      <c r="Q97" s="790"/>
    </row>
    <row r="98" spans="1:17">
      <c r="A98" s="818"/>
      <c r="B98" s="823"/>
      <c r="C98" s="831"/>
      <c r="D98" s="820"/>
      <c r="E98" s="820"/>
      <c r="F98" s="820"/>
      <c r="G98" s="820"/>
      <c r="H98" s="820"/>
      <c r="I98" s="820"/>
      <c r="J98" s="820"/>
      <c r="K98" s="820"/>
      <c r="L98" s="820"/>
      <c r="M98" s="869"/>
      <c r="N98" s="870"/>
      <c r="O98" s="870"/>
      <c r="P98" s="1111"/>
      <c r="Q98" s="790"/>
    </row>
    <row r="99" spans="1:17">
      <c r="A99" s="818"/>
      <c r="B99" s="825">
        <f>B32</f>
        <v>111</v>
      </c>
      <c r="C99" s="813"/>
      <c r="D99" s="813"/>
      <c r="E99" s="813"/>
      <c r="F99" s="813"/>
      <c r="G99" s="847"/>
      <c r="H99" s="847"/>
      <c r="I99" s="847"/>
      <c r="J99" s="847"/>
      <c r="K99" s="901"/>
      <c r="L99" s="902"/>
      <c r="M99" s="903"/>
      <c r="N99" s="867"/>
      <c r="O99" s="867"/>
      <c r="P99" s="1111"/>
      <c r="Q99" s="790"/>
    </row>
    <row r="100" spans="1:17">
      <c r="A100" s="1094"/>
      <c r="B100" s="835"/>
      <c r="C100" s="836"/>
      <c r="D100" s="836"/>
      <c r="E100" s="836"/>
      <c r="F100" s="836"/>
      <c r="G100" s="848"/>
      <c r="H100" s="848"/>
      <c r="I100" s="848"/>
      <c r="J100" s="848"/>
      <c r="K100" s="848"/>
      <c r="L100" s="848"/>
      <c r="M100" s="904"/>
      <c r="N100" s="870"/>
      <c r="O100" s="870"/>
      <c r="P100" s="1111"/>
      <c r="Q100" s="790"/>
    </row>
    <row r="101" spans="1:17" ht="14.4">
      <c r="A101" s="816" t="s">
        <v>1591</v>
      </c>
      <c r="B101" s="817" t="s">
        <v>1592</v>
      </c>
      <c r="C101" s="759"/>
      <c r="D101" s="759"/>
      <c r="E101" s="759"/>
      <c r="F101" s="759"/>
      <c r="G101" s="759"/>
      <c r="H101" s="759"/>
      <c r="I101" s="759"/>
      <c r="J101" s="759"/>
      <c r="K101" s="864"/>
      <c r="L101" s="865"/>
      <c r="M101" s="866"/>
      <c r="N101" s="867"/>
      <c r="O101" s="867"/>
      <c r="P101" s="1111"/>
      <c r="Q101" s="790"/>
    </row>
    <row r="102" spans="1:17">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4.4">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c r="A105" s="828"/>
      <c r="B105" s="823"/>
      <c r="C105" s="831"/>
      <c r="D105" s="820"/>
      <c r="E105" s="820"/>
      <c r="F105" s="820"/>
      <c r="G105" s="820"/>
      <c r="H105" s="820"/>
      <c r="I105" s="820"/>
      <c r="J105" s="820"/>
      <c r="K105" s="820"/>
      <c r="L105" s="820"/>
      <c r="M105" s="869"/>
      <c r="N105" s="870"/>
      <c r="O105" s="870"/>
      <c r="P105" s="1118"/>
      <c r="Q105" s="911"/>
    </row>
    <row r="106" spans="1:17" ht="14.4">
      <c r="A106" s="852"/>
      <c r="B106" s="821" t="s">
        <v>1595</v>
      </c>
      <c r="C106" s="829"/>
      <c r="D106" s="829"/>
      <c r="E106" s="846"/>
      <c r="F106" s="846"/>
      <c r="G106" s="846"/>
      <c r="H106" s="846"/>
      <c r="I106" s="846"/>
      <c r="J106" s="846"/>
      <c r="K106" s="898"/>
      <c r="L106" s="899"/>
      <c r="M106" s="900"/>
      <c r="N106" s="867"/>
      <c r="O106" s="867"/>
      <c r="P106" s="1111"/>
      <c r="Q106" s="790"/>
    </row>
    <row r="107" spans="1:17">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ht="14.4">
      <c r="A108" s="852"/>
      <c r="B108" s="821" t="s">
        <v>1597</v>
      </c>
      <c r="C108" s="829"/>
      <c r="D108" s="829"/>
      <c r="E108" s="829"/>
      <c r="F108" s="846"/>
      <c r="G108" s="846"/>
      <c r="H108" s="846"/>
      <c r="I108" s="846"/>
      <c r="J108" s="846"/>
      <c r="K108" s="898"/>
      <c r="L108" s="899"/>
      <c r="M108" s="900"/>
      <c r="N108" s="867"/>
      <c r="O108" s="867"/>
      <c r="P108" s="1111"/>
      <c r="Q108" s="790"/>
    </row>
    <row r="109" spans="1:17">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ht="14.4">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ht="14.4">
      <c r="A113" s="849"/>
      <c r="B113" s="821" t="s">
        <v>1681</v>
      </c>
      <c r="C113" s="829"/>
      <c r="D113" s="829"/>
      <c r="E113" s="829"/>
      <c r="F113" s="829"/>
      <c r="G113" s="829"/>
      <c r="H113" s="846"/>
      <c r="I113" s="846"/>
      <c r="J113" s="846"/>
      <c r="K113" s="898"/>
      <c r="L113" s="899"/>
      <c r="M113" s="900"/>
      <c r="N113" s="880"/>
      <c r="O113" s="880"/>
      <c r="P113" s="1118"/>
      <c r="Q113" s="911"/>
    </row>
    <row r="114" spans="1:17" s="572" customFormat="1">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ht="14.4">
      <c r="A115" s="852"/>
      <c r="B115" s="821" t="s">
        <v>1598</v>
      </c>
      <c r="C115" s="829"/>
      <c r="D115" s="829"/>
      <c r="E115" s="846"/>
      <c r="F115" s="846"/>
      <c r="G115" s="846"/>
      <c r="H115" s="846"/>
      <c r="I115" s="846"/>
      <c r="J115" s="846"/>
      <c r="K115" s="898"/>
      <c r="L115" s="899"/>
      <c r="M115" s="900"/>
      <c r="N115" s="867"/>
      <c r="O115" s="867"/>
      <c r="P115" s="1111"/>
      <c r="Q115" s="790"/>
    </row>
    <row r="116" spans="1:17">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ht="14.4">
      <c r="A117" s="852"/>
      <c r="B117" s="821" t="s">
        <v>1599</v>
      </c>
      <c r="C117" s="829"/>
      <c r="D117" s="829"/>
      <c r="E117" s="829"/>
      <c r="F117" s="829"/>
      <c r="G117" s="829"/>
      <c r="H117" s="846"/>
      <c r="I117" s="846"/>
      <c r="J117" s="846"/>
      <c r="K117" s="898"/>
      <c r="L117" s="899"/>
      <c r="M117" s="900"/>
      <c r="N117" s="867"/>
      <c r="O117" s="867"/>
      <c r="P117" s="1111"/>
      <c r="Q117" s="790"/>
    </row>
    <row r="118" spans="1:17">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ht="14.4">
      <c r="A119" s="852"/>
      <c r="B119" s="1013" t="s">
        <v>1683</v>
      </c>
      <c r="C119" s="846"/>
      <c r="D119" s="846"/>
      <c r="E119" s="846"/>
      <c r="F119" s="846"/>
      <c r="G119" s="846"/>
      <c r="H119" s="846"/>
      <c r="I119" s="846"/>
      <c r="J119" s="846"/>
      <c r="K119" s="846"/>
      <c r="L119" s="1122"/>
      <c r="M119" s="1123"/>
      <c r="N119" s="870"/>
      <c r="O119" s="870"/>
      <c r="P119" s="1124"/>
      <c r="Q119" s="1024"/>
    </row>
    <row r="120" spans="1:17">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ht="14.4">
      <c r="A121" s="849"/>
      <c r="B121" s="821" t="s">
        <v>1662</v>
      </c>
      <c r="C121" s="829"/>
      <c r="D121" s="829"/>
      <c r="E121" s="829"/>
      <c r="F121" s="846"/>
      <c r="G121" s="830"/>
      <c r="H121" s="830"/>
      <c r="I121" s="830"/>
      <c r="J121" s="830"/>
      <c r="K121" s="830"/>
      <c r="L121" s="878"/>
      <c r="M121" s="879"/>
      <c r="N121" s="880"/>
      <c r="O121" s="880"/>
      <c r="P121" s="1118"/>
      <c r="Q121" s="911"/>
    </row>
    <row r="122" spans="1:17" s="572" customFormat="1">
      <c r="A122" s="828"/>
      <c r="B122" s="819"/>
      <c r="C122" s="831"/>
      <c r="D122" s="831"/>
      <c r="E122" s="831"/>
      <c r="F122" s="831"/>
      <c r="G122" s="831"/>
      <c r="H122" s="831"/>
      <c r="I122" s="831"/>
      <c r="J122" s="831"/>
      <c r="K122" s="831"/>
      <c r="L122" s="831"/>
      <c r="M122" s="831"/>
      <c r="N122" s="880"/>
      <c r="O122" s="880"/>
      <c r="P122" s="1118"/>
      <c r="Q122" s="911"/>
    </row>
    <row r="123" spans="1:17" ht="14.4">
      <c r="A123" s="852"/>
      <c r="B123" s="821" t="s">
        <v>1602</v>
      </c>
      <c r="C123" s="829"/>
      <c r="D123" s="829"/>
      <c r="E123" s="829"/>
      <c r="F123" s="846"/>
      <c r="G123" s="846"/>
      <c r="H123" s="846"/>
      <c r="I123" s="846"/>
      <c r="J123" s="846"/>
      <c r="K123" s="898"/>
      <c r="L123" s="899"/>
      <c r="M123" s="900"/>
      <c r="N123" s="867"/>
      <c r="O123" s="867"/>
      <c r="P123" s="1111"/>
      <c r="Q123" s="790"/>
    </row>
    <row r="124" spans="1:17">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ht="28.8">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5" customWidth="1"/>
    <col min="2" max="16384" width="9" style="505"/>
  </cols>
  <sheetData>
    <row r="1" spans="1:1" ht="22.8">
      <c r="A1" s="2936" t="s">
        <v>82</v>
      </c>
    </row>
    <row r="2" spans="1:1">
      <c r="A2" s="2937"/>
    </row>
    <row r="3" spans="1:1" ht="17.399999999999999">
      <c r="A3" s="2938" t="str">
        <f>项目基本情况!B5&amp;"："</f>
        <v>：</v>
      </c>
    </row>
    <row r="4" spans="1:1" ht="17.399999999999999">
      <c r="A4" s="2939" t="str">
        <f>"受贵公司委托，我公司对"&amp;项目基本情况!S1&amp;"进行了预评估。"</f>
        <v>受贵公司委托，我公司对北京市房地产抵押价值进行了预评估。</v>
      </c>
    </row>
    <row r="5" spans="1:1" ht="17.399999999999999">
      <c r="A5" s="2940" t="s">
        <v>83</v>
      </c>
    </row>
    <row r="6" spans="1:1" ht="17.399999999999999">
      <c r="A6" s="2941" t="s">
        <v>84</v>
      </c>
    </row>
    <row r="7" spans="1:1" ht="52.2">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4.6">
      <c r="A8" s="2942" t="s">
        <v>85</v>
      </c>
    </row>
    <row r="9" spans="1:1" ht="17.399999999999999">
      <c r="A9" s="2941" t="s">
        <v>86</v>
      </c>
    </row>
    <row r="10" spans="1:1" ht="52.2">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2">
      <c r="A11" s="2942" t="s">
        <v>87</v>
      </c>
    </row>
    <row r="12" spans="1:1" ht="17.399999999999999">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44" t="s">
        <v>89</v>
      </c>
    </row>
    <row r="15" spans="1:1" ht="17.399999999999999">
      <c r="A15" s="2945" t="str">
        <f>TEXT(项目基本情况!D3,"yyyy年m月d日;;")&amp;IF(项目基本情况!D3=项目基本情况!B3,"（评估专业人员实地查勘之日）","")</f>
        <v>2019年10月23日（评估专业人员实地查勘之日）</v>
      </c>
    </row>
    <row r="16" spans="1:1" ht="17.399999999999999">
      <c r="A16" s="2944" t="s">
        <v>90</v>
      </c>
    </row>
    <row r="17" spans="1:1" ht="69.599999999999994">
      <c r="A17" s="2939" t="s">
        <v>91</v>
      </c>
    </row>
    <row r="18" spans="1:1" ht="69.59999999999999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44" t="s">
        <v>92</v>
      </c>
    </row>
    <row r="24" spans="1:1" ht="17.399999999999999">
      <c r="A24" s="2911" t="str">
        <f>"本次评估采用的主估价方法为"&amp;结果表!K4&amp;"和"&amp;结果表!L4&amp;"。"</f>
        <v>本次评估采用的主估价方法为成本法和收益法。</v>
      </c>
    </row>
    <row r="25" spans="1:1" ht="17.399999999999999">
      <c r="A25" s="2911"/>
    </row>
    <row r="26" spans="1:1" ht="17.399999999999999">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576" customWidth="1"/>
    <col min="2" max="2" width="15.77734375" style="576" customWidth="1"/>
    <col min="3" max="3" width="14.3320312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576"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4.4">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4.4">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4.4">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ht="14.4">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8.8">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69">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7"/>
      <c r="Q16" s="709"/>
      <c r="R16" s="785"/>
      <c r="S16" s="786"/>
      <c r="T16" s="785"/>
      <c r="U16" s="786"/>
      <c r="V16" s="785"/>
      <c r="W16" s="786"/>
      <c r="X16" s="779"/>
      <c r="Y16" s="3237"/>
      <c r="Z16" s="770"/>
      <c r="AA16" s="796">
        <v>1</v>
      </c>
      <c r="AB16" s="796">
        <v>1</v>
      </c>
      <c r="AC16" s="796">
        <v>1</v>
      </c>
    </row>
    <row r="17" spans="1:29" ht="96.6">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7"/>
      <c r="Q18" s="709"/>
      <c r="R18" s="785"/>
      <c r="S18" s="786"/>
      <c r="T18" s="785"/>
      <c r="U18" s="786"/>
      <c r="V18" s="785"/>
      <c r="W18" s="786"/>
      <c r="X18" s="779"/>
      <c r="Y18" s="3237"/>
      <c r="Z18" s="770"/>
      <c r="AA18" s="796">
        <v>1</v>
      </c>
      <c r="AB18" s="796">
        <v>1</v>
      </c>
      <c r="AC18" s="796">
        <v>1</v>
      </c>
    </row>
    <row r="19" spans="1:29" ht="41.4">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7"/>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7"/>
      <c r="Q20" s="709"/>
      <c r="R20" s="785"/>
      <c r="S20" s="786"/>
      <c r="T20" s="785"/>
      <c r="U20" s="786"/>
      <c r="V20" s="785"/>
      <c r="W20" s="786"/>
      <c r="X20" s="779"/>
      <c r="Y20" s="3237"/>
      <c r="Z20" s="770"/>
      <c r="AA20" s="796">
        <v>1</v>
      </c>
      <c r="AB20" s="796">
        <v>1</v>
      </c>
      <c r="AC20" s="796">
        <v>1</v>
      </c>
    </row>
    <row r="21" spans="1:29" ht="41.4">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7"/>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7"/>
      <c r="Q22" s="709"/>
      <c r="R22" s="785"/>
      <c r="S22" s="786"/>
      <c r="T22" s="785"/>
      <c r="U22" s="786"/>
      <c r="V22" s="785"/>
      <c r="W22" s="786"/>
      <c r="X22" s="779"/>
      <c r="Y22" s="3237"/>
      <c r="Z22" s="770"/>
      <c r="AA22" s="796">
        <v>1</v>
      </c>
      <c r="AB22" s="796">
        <v>1</v>
      </c>
      <c r="AC22" s="796">
        <v>1</v>
      </c>
    </row>
    <row r="23" spans="1:29" ht="82.8">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7"/>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7"/>
      <c r="Q24" s="709"/>
      <c r="R24" s="785"/>
      <c r="S24" s="786"/>
      <c r="T24" s="785"/>
      <c r="U24" s="786"/>
      <c r="V24" s="785"/>
      <c r="W24" s="786"/>
      <c r="X24" s="779"/>
      <c r="Y24" s="3237"/>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7"/>
      <c r="Q25" s="709">
        <f>B25</f>
        <v>111</v>
      </c>
      <c r="R25" s="785" t="s">
        <v>1578</v>
      </c>
      <c r="S25" s="786">
        <f>F25</f>
        <v>100</v>
      </c>
      <c r="T25" s="785" t="s">
        <v>1578</v>
      </c>
      <c r="U25" s="786">
        <f>H25</f>
        <v>100</v>
      </c>
      <c r="V25" s="785" t="s">
        <v>1578</v>
      </c>
      <c r="W25" s="786">
        <f>J25</f>
        <v>100</v>
      </c>
      <c r="X25" s="779"/>
      <c r="Y25" s="3237"/>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7"/>
      <c r="Q26" s="709">
        <f t="shared" ref="Q26:Q40" si="11">B26</f>
        <v>111</v>
      </c>
      <c r="R26" s="785" t="s">
        <v>1578</v>
      </c>
      <c r="S26" s="786">
        <f>F26</f>
        <v>100</v>
      </c>
      <c r="T26" s="785" t="s">
        <v>1578</v>
      </c>
      <c r="U26" s="786">
        <f>H26</f>
        <v>100</v>
      </c>
      <c r="V26" s="785" t="s">
        <v>1578</v>
      </c>
      <c r="W26" s="786">
        <f>J26</f>
        <v>100</v>
      </c>
      <c r="X26" s="779"/>
      <c r="Y26" s="3237"/>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7"/>
      <c r="Q27" s="784">
        <f t="shared" si="11"/>
        <v>111</v>
      </c>
      <c r="R27" s="780" t="s">
        <v>1578</v>
      </c>
      <c r="S27" s="781">
        <f>F27</f>
        <v>100</v>
      </c>
      <c r="T27" s="780" t="s">
        <v>1578</v>
      </c>
      <c r="U27" s="781">
        <f>H27</f>
        <v>100</v>
      </c>
      <c r="V27" s="780" t="s">
        <v>1578</v>
      </c>
      <c r="W27" s="781">
        <f>J27</f>
        <v>100</v>
      </c>
      <c r="X27" s="782"/>
      <c r="Y27" s="3237"/>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7"/>
      <c r="Q28" s="709">
        <f t="shared" si="11"/>
        <v>111</v>
      </c>
      <c r="R28" s="785" t="s">
        <v>1578</v>
      </c>
      <c r="S28" s="786">
        <f t="shared" ref="S28:S40" si="12">F28</f>
        <v>100</v>
      </c>
      <c r="T28" s="785" t="s">
        <v>1578</v>
      </c>
      <c r="U28" s="786">
        <f t="shared" ref="U28:U40" si="13">H28</f>
        <v>100</v>
      </c>
      <c r="V28" s="785" t="s">
        <v>1578</v>
      </c>
      <c r="W28" s="786">
        <f t="shared" ref="W28:W40" si="14">J28</f>
        <v>100</v>
      </c>
      <c r="X28" s="779"/>
      <c r="Y28" s="3237"/>
      <c r="Z28" s="770">
        <f t="shared" ref="Z28:Z40" si="15">Q28</f>
        <v>111</v>
      </c>
      <c r="AA28" s="796">
        <f t="shared" si="3"/>
        <v>1</v>
      </c>
      <c r="AB28" s="796">
        <f t="shared" si="4"/>
        <v>1</v>
      </c>
      <c r="AC28" s="796">
        <f t="shared" si="5"/>
        <v>1</v>
      </c>
    </row>
    <row r="29" spans="1:29" ht="30">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8"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8"/>
      <c r="Q30" s="1011" t="str">
        <f t="shared" si="11"/>
        <v>项目建筑规模</v>
      </c>
      <c r="R30" s="787" t="s">
        <v>1578</v>
      </c>
      <c r="S30" s="788" t="e">
        <f t="shared" si="12"/>
        <v>#N/A</v>
      </c>
      <c r="T30" s="787" t="s">
        <v>1578</v>
      </c>
      <c r="U30" s="788" t="e">
        <f t="shared" si="13"/>
        <v>#N/A</v>
      </c>
      <c r="V30" s="787" t="s">
        <v>1578</v>
      </c>
      <c r="W30" s="788" t="e">
        <f t="shared" si="14"/>
        <v>#N/A</v>
      </c>
      <c r="X30" s="789"/>
      <c r="Y30" s="3238"/>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8"/>
      <c r="Q31" s="709" t="str">
        <f t="shared" si="11"/>
        <v>建筑结构</v>
      </c>
      <c r="R31" s="785" t="s">
        <v>1578</v>
      </c>
      <c r="S31" s="786">
        <f t="shared" si="12"/>
        <v>100</v>
      </c>
      <c r="T31" s="785" t="s">
        <v>1578</v>
      </c>
      <c r="U31" s="786">
        <f t="shared" si="13"/>
        <v>100</v>
      </c>
      <c r="V31" s="785" t="s">
        <v>1578</v>
      </c>
      <c r="W31" s="786">
        <f t="shared" si="14"/>
        <v>100</v>
      </c>
      <c r="X31" s="779"/>
      <c r="Y31" s="3238"/>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8"/>
      <c r="Q32" s="709" t="str">
        <f t="shared" si="11"/>
        <v>公共部分装修</v>
      </c>
      <c r="R32" s="785" t="s">
        <v>1578</v>
      </c>
      <c r="S32" s="786">
        <f t="shared" si="12"/>
        <v>100</v>
      </c>
      <c r="T32" s="785" t="s">
        <v>1578</v>
      </c>
      <c r="U32" s="786">
        <f t="shared" si="13"/>
        <v>100</v>
      </c>
      <c r="V32" s="785" t="s">
        <v>1578</v>
      </c>
      <c r="W32" s="786">
        <f t="shared" si="14"/>
        <v>100</v>
      </c>
      <c r="X32" s="779"/>
      <c r="Y32" s="3238"/>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8"/>
      <c r="Q33" s="709" t="str">
        <f t="shared" si="11"/>
        <v>成新度</v>
      </c>
      <c r="R33" s="785" t="s">
        <v>1578</v>
      </c>
      <c r="S33" s="786" t="e">
        <f t="shared" si="12"/>
        <v>#N/A</v>
      </c>
      <c r="T33" s="785" t="s">
        <v>1578</v>
      </c>
      <c r="U33" s="786" t="e">
        <f t="shared" si="13"/>
        <v>#N/A</v>
      </c>
      <c r="V33" s="785" t="s">
        <v>1578</v>
      </c>
      <c r="W33" s="786" t="e">
        <f t="shared" si="14"/>
        <v>#N/A</v>
      </c>
      <c r="X33" s="779"/>
      <c r="Y33" s="3238"/>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8"/>
      <c r="Q34" s="784" t="str">
        <f t="shared" si="11"/>
        <v>物业管理</v>
      </c>
      <c r="R34" s="780" t="s">
        <v>1578</v>
      </c>
      <c r="S34" s="781">
        <f t="shared" si="12"/>
        <v>100</v>
      </c>
      <c r="T34" s="780" t="s">
        <v>1578</v>
      </c>
      <c r="U34" s="781">
        <f t="shared" si="13"/>
        <v>100</v>
      </c>
      <c r="V34" s="780" t="s">
        <v>1578</v>
      </c>
      <c r="W34" s="781">
        <f t="shared" si="14"/>
        <v>100</v>
      </c>
      <c r="X34" s="782"/>
      <c r="Y34" s="3238"/>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8" t="s">
        <v>1593</v>
      </c>
      <c r="Q35" s="709" t="str">
        <f t="shared" si="11"/>
        <v>市政基础设施</v>
      </c>
      <c r="R35" s="785" t="s">
        <v>1578</v>
      </c>
      <c r="S35" s="786">
        <f t="shared" si="12"/>
        <v>100</v>
      </c>
      <c r="T35" s="785" t="s">
        <v>1578</v>
      </c>
      <c r="U35" s="786">
        <f t="shared" si="13"/>
        <v>100</v>
      </c>
      <c r="V35" s="785" t="s">
        <v>1578</v>
      </c>
      <c r="W35" s="786">
        <f t="shared" si="14"/>
        <v>100</v>
      </c>
      <c r="X35" s="779"/>
      <c r="Y35" s="3238"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8"/>
      <c r="Q36" s="709" t="str">
        <f t="shared" si="11"/>
        <v>内部装修</v>
      </c>
      <c r="R36" s="785" t="s">
        <v>1578</v>
      </c>
      <c r="S36" s="786">
        <f t="shared" si="12"/>
        <v>100</v>
      </c>
      <c r="T36" s="785" t="s">
        <v>1578</v>
      </c>
      <c r="U36" s="786">
        <f t="shared" si="13"/>
        <v>100</v>
      </c>
      <c r="V36" s="785" t="s">
        <v>1578</v>
      </c>
      <c r="W36" s="786">
        <f t="shared" si="14"/>
        <v>100</v>
      </c>
      <c r="X36" s="779"/>
      <c r="Y36" s="3238"/>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8"/>
      <c r="Q37" s="709" t="str">
        <f t="shared" si="11"/>
        <v>内部装修状况</v>
      </c>
      <c r="R37" s="785" t="s">
        <v>1578</v>
      </c>
      <c r="S37" s="786">
        <f t="shared" si="12"/>
        <v>100</v>
      </c>
      <c r="T37" s="785" t="s">
        <v>1578</v>
      </c>
      <c r="U37" s="786">
        <f t="shared" si="13"/>
        <v>100</v>
      </c>
      <c r="V37" s="785" t="s">
        <v>1578</v>
      </c>
      <c r="W37" s="786">
        <f t="shared" si="14"/>
        <v>100</v>
      </c>
      <c r="X37" s="779"/>
      <c r="Y37" s="3238"/>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8"/>
      <c r="Q38" s="1011">
        <f t="shared" si="11"/>
        <v>111</v>
      </c>
      <c r="R38" s="787" t="s">
        <v>1578</v>
      </c>
      <c r="S38" s="788">
        <f t="shared" si="12"/>
        <v>100</v>
      </c>
      <c r="T38" s="787" t="s">
        <v>1578</v>
      </c>
      <c r="U38" s="788">
        <f t="shared" si="13"/>
        <v>100</v>
      </c>
      <c r="V38" s="787" t="s">
        <v>1578</v>
      </c>
      <c r="W38" s="788">
        <f t="shared" si="14"/>
        <v>100</v>
      </c>
      <c r="X38" s="789"/>
      <c r="Y38" s="3238"/>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8"/>
      <c r="Q39" s="709">
        <f t="shared" si="11"/>
        <v>111</v>
      </c>
      <c r="R39" s="785" t="s">
        <v>1578</v>
      </c>
      <c r="S39" s="786">
        <f t="shared" si="12"/>
        <v>100</v>
      </c>
      <c r="T39" s="785" t="s">
        <v>1578</v>
      </c>
      <c r="U39" s="786">
        <f t="shared" si="13"/>
        <v>100</v>
      </c>
      <c r="V39" s="785" t="s">
        <v>1578</v>
      </c>
      <c r="W39" s="786">
        <f t="shared" si="14"/>
        <v>100</v>
      </c>
      <c r="X39" s="779"/>
      <c r="Y39" s="3238"/>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9"/>
      <c r="Q40" s="709">
        <f t="shared" si="11"/>
        <v>111</v>
      </c>
      <c r="R40" s="785" t="s">
        <v>1578</v>
      </c>
      <c r="S40" s="786">
        <f t="shared" si="12"/>
        <v>100</v>
      </c>
      <c r="T40" s="785" t="s">
        <v>1578</v>
      </c>
      <c r="U40" s="786">
        <f t="shared" si="13"/>
        <v>100</v>
      </c>
      <c r="V40" s="785" t="s">
        <v>1578</v>
      </c>
      <c r="W40" s="786">
        <f t="shared" si="14"/>
        <v>100</v>
      </c>
      <c r="X40" s="779"/>
      <c r="Y40" s="3239"/>
      <c r="Z40" s="770">
        <f t="shared" si="15"/>
        <v>111</v>
      </c>
      <c r="AA40" s="796">
        <f t="shared" si="3"/>
        <v>1</v>
      </c>
      <c r="AB40" s="796">
        <f t="shared" si="4"/>
        <v>1</v>
      </c>
      <c r="AC40" s="796">
        <f t="shared" si="5"/>
        <v>1</v>
      </c>
    </row>
    <row r="41" spans="1:29" ht="14.4">
      <c r="A41" s="669" t="s">
        <v>1604</v>
      </c>
      <c r="B41" s="986"/>
      <c r="C41" s="987" t="s">
        <v>124</v>
      </c>
      <c r="D41" s="988"/>
      <c r="E41" s="989"/>
      <c r="F41" s="990"/>
      <c r="G41" s="991"/>
      <c r="H41" s="992"/>
      <c r="I41" s="989"/>
      <c r="J41" s="992"/>
      <c r="K41" s="761"/>
      <c r="L41" s="762"/>
      <c r="M41" s="686"/>
      <c r="N41" s="738"/>
      <c r="O41" s="686"/>
      <c r="P41" s="3223" t="str">
        <f>A41</f>
        <v>成交单价（元/平方米）</v>
      </c>
      <c r="Q41" s="3223"/>
      <c r="R41" s="3224">
        <f>E41</f>
        <v>0</v>
      </c>
      <c r="S41" s="3224"/>
      <c r="T41" s="3224">
        <f>G41</f>
        <v>0</v>
      </c>
      <c r="U41" s="3224"/>
      <c r="V41" s="3224">
        <f>I41</f>
        <v>0</v>
      </c>
      <c r="W41" s="3224"/>
      <c r="X41" s="726"/>
      <c r="Y41" s="798"/>
      <c r="Z41" s="726"/>
      <c r="AA41" s="726"/>
      <c r="AB41" s="726"/>
      <c r="AC41" s="726"/>
    </row>
    <row r="42" spans="1:29" ht="14.4">
      <c r="A42" s="677" t="s">
        <v>1605</v>
      </c>
      <c r="B42" s="993"/>
      <c r="C42" s="994" t="e">
        <f>R43</f>
        <v>#DIV/0!</v>
      </c>
      <c r="D42" s="995"/>
      <c r="E42" s="996" t="e">
        <f>R42</f>
        <v>#DIV/0!</v>
      </c>
      <c r="F42" s="996"/>
      <c r="G42" s="994" t="e">
        <f>T42</f>
        <v>#DIV/0!</v>
      </c>
      <c r="H42" s="995"/>
      <c r="I42" s="996" t="e">
        <f>V42</f>
        <v>#DIV/0!</v>
      </c>
      <c r="J42" s="995"/>
      <c r="K42" s="763"/>
      <c r="L42" s="762"/>
      <c r="M42" s="686"/>
      <c r="N42" s="738"/>
      <c r="O42" s="686"/>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26"/>
      <c r="Y42" s="726"/>
      <c r="Z42" s="726"/>
      <c r="AA42" s="726"/>
      <c r="AB42" s="726"/>
      <c r="AC42" s="726"/>
    </row>
    <row r="43" spans="1:29" ht="14.4">
      <c r="A43" s="683" t="s">
        <v>1606</v>
      </c>
      <c r="B43" s="684"/>
      <c r="C43" s="997" t="e">
        <f>R43</f>
        <v>#DIV/0!</v>
      </c>
      <c r="D43" s="997"/>
      <c r="E43" s="997"/>
      <c r="F43" s="997"/>
      <c r="G43" s="997"/>
      <c r="H43" s="997"/>
      <c r="I43" s="997"/>
      <c r="J43" s="997"/>
      <c r="K43" s="764"/>
      <c r="L43" s="762"/>
      <c r="M43" s="686"/>
      <c r="N43" s="686"/>
      <c r="O43" s="686"/>
      <c r="P43" s="3225" t="str">
        <f>A43</f>
        <v>估价对象XX用房的比较价值（楼面单价，元/平方米）</v>
      </c>
      <c r="Q43" s="3226"/>
      <c r="R43" s="3227" t="e">
        <f>IF(F1="售价",ROUND(AVERAGE(R42:V42),0),ROUND(AVERAGE(R42:V42),1))</f>
        <v>#DIV/0!</v>
      </c>
      <c r="S43" s="3227"/>
      <c r="T43" s="3227"/>
      <c r="U43" s="3227"/>
      <c r="V43" s="3227"/>
      <c r="W43" s="3227"/>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6">
      <c r="A51" s="725" t="s">
        <v>1610</v>
      </c>
      <c r="B51" s="726"/>
      <c r="C51" s="727"/>
      <c r="D51" s="727"/>
      <c r="E51" s="727"/>
      <c r="F51" s="728"/>
      <c r="G51" s="728"/>
      <c r="H51" s="727"/>
      <c r="I51" s="727"/>
      <c r="J51" s="727"/>
      <c r="K51" s="942"/>
      <c r="L51" s="943"/>
      <c r="M51" s="777"/>
      <c r="N51" s="777"/>
      <c r="O51" s="777"/>
      <c r="P51" s="778"/>
      <c r="Q51" s="790"/>
    </row>
    <row r="52" spans="1:17" s="575" customFormat="1" ht="14.4">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c r="A53" s="1002"/>
      <c r="B53" s="811"/>
      <c r="C53" s="1003">
        <v>100</v>
      </c>
      <c r="D53" s="815"/>
      <c r="E53" s="815"/>
      <c r="F53" s="815"/>
      <c r="G53" s="815"/>
      <c r="H53" s="815"/>
      <c r="I53" s="815"/>
      <c r="J53" s="815"/>
      <c r="K53" s="815"/>
      <c r="L53" s="815"/>
      <c r="M53" s="1010"/>
      <c r="N53" s="815"/>
      <c r="O53" s="863"/>
      <c r="P53" s="790"/>
    </row>
    <row r="54" spans="1:17" s="570" customFormat="1" ht="14.4">
      <c r="A54" s="806" t="s">
        <v>1611</v>
      </c>
      <c r="B54" s="807"/>
      <c r="C54" s="808"/>
      <c r="D54" s="809"/>
      <c r="E54" s="809"/>
      <c r="F54" s="809"/>
      <c r="G54" s="809"/>
      <c r="H54" s="809"/>
      <c r="I54" s="809"/>
      <c r="J54" s="809"/>
      <c r="K54" s="809"/>
      <c r="L54" s="809"/>
      <c r="M54" s="857"/>
      <c r="N54" s="809"/>
      <c r="O54" s="858"/>
      <c r="P54" s="790"/>
      <c r="Q54" s="790"/>
    </row>
    <row r="55" spans="1:17" s="570" customFormat="1" ht="14.4">
      <c r="A55" s="810" t="s">
        <v>1579</v>
      </c>
      <c r="B55" s="811"/>
      <c r="C55" s="812" t="s">
        <v>1580</v>
      </c>
      <c r="D55" s="813"/>
      <c r="E55" s="813"/>
      <c r="F55" s="813"/>
      <c r="G55" s="813"/>
      <c r="H55" s="813"/>
      <c r="I55" s="813"/>
      <c r="J55" s="813"/>
      <c r="K55" s="813"/>
      <c r="L55" s="859"/>
      <c r="M55" s="860"/>
      <c r="N55" s="861"/>
      <c r="O55" s="861"/>
      <c r="P55" s="862"/>
      <c r="Q55" s="790"/>
    </row>
    <row r="56" spans="1:17" s="570" customFormat="1">
      <c r="A56" s="810"/>
      <c r="B56" s="811"/>
      <c r="C56" s="814">
        <v>100</v>
      </c>
      <c r="D56" s="815"/>
      <c r="E56" s="815"/>
      <c r="F56" s="815"/>
      <c r="G56" s="815"/>
      <c r="H56" s="815"/>
      <c r="I56" s="815"/>
      <c r="J56" s="815"/>
      <c r="K56" s="815"/>
      <c r="L56" s="815"/>
      <c r="M56" s="863"/>
      <c r="N56" s="861"/>
      <c r="O56" s="861"/>
      <c r="P56" s="790"/>
      <c r="Q56" s="790"/>
    </row>
    <row r="57" spans="1:17" ht="14.4">
      <c r="A57" s="816" t="s">
        <v>1612</v>
      </c>
      <c r="B57" s="817" t="s">
        <v>348</v>
      </c>
      <c r="C57" s="839">
        <f>C9</f>
        <v>0</v>
      </c>
      <c r="D57" s="759"/>
      <c r="E57" s="759"/>
      <c r="F57" s="759"/>
      <c r="G57" s="759"/>
      <c r="H57" s="759"/>
      <c r="I57" s="759"/>
      <c r="J57" s="759"/>
      <c r="K57" s="864"/>
      <c r="L57" s="865"/>
      <c r="M57" s="866"/>
      <c r="N57" s="867"/>
      <c r="O57" s="867"/>
      <c r="P57" s="868"/>
      <c r="Q57" s="790"/>
    </row>
    <row r="58" spans="1:17">
      <c r="A58" s="818"/>
      <c r="B58" s="819"/>
      <c r="C58" s="820">
        <v>100</v>
      </c>
      <c r="D58" s="820"/>
      <c r="E58" s="820"/>
      <c r="F58" s="820"/>
      <c r="G58" s="820"/>
      <c r="H58" s="820"/>
      <c r="I58" s="820"/>
      <c r="J58" s="820"/>
      <c r="K58" s="820"/>
      <c r="L58" s="820"/>
      <c r="M58" s="869"/>
      <c r="N58" s="870"/>
      <c r="O58" s="870"/>
      <c r="P58" s="868"/>
      <c r="Q58" s="790"/>
    </row>
    <row r="59" spans="1:17" ht="28.8">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4.4">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c r="A62" s="818"/>
      <c r="B62" s="827"/>
      <c r="C62" s="617"/>
      <c r="D62" s="617"/>
      <c r="E62" s="617"/>
      <c r="F62" s="617"/>
      <c r="G62" s="617"/>
      <c r="H62" s="617"/>
      <c r="I62" s="617"/>
      <c r="J62" s="617"/>
      <c r="K62" s="875"/>
      <c r="L62" s="876"/>
      <c r="M62" s="877"/>
      <c r="N62" s="867"/>
      <c r="O62" s="867"/>
      <c r="P62" s="868"/>
      <c r="Q62" s="790"/>
    </row>
    <row r="63" spans="1:17">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c r="A64" s="828"/>
      <c r="B64" s="821">
        <f>B12</f>
        <v>111</v>
      </c>
      <c r="C64" s="829"/>
      <c r="D64" s="829"/>
      <c r="E64" s="829"/>
      <c r="F64" s="829"/>
      <c r="G64" s="829"/>
      <c r="H64" s="830"/>
      <c r="I64" s="830"/>
      <c r="J64" s="830"/>
      <c r="K64" s="830"/>
      <c r="L64" s="878"/>
      <c r="M64" s="879"/>
      <c r="N64" s="880"/>
      <c r="O64" s="880"/>
      <c r="P64" s="881"/>
      <c r="Q64" s="911"/>
    </row>
    <row r="65" spans="1:17" s="572" customFormat="1">
      <c r="A65" s="828"/>
      <c r="B65" s="823"/>
      <c r="C65" s="831"/>
      <c r="D65" s="820"/>
      <c r="E65" s="820"/>
      <c r="F65" s="820"/>
      <c r="G65" s="820"/>
      <c r="H65" s="820"/>
      <c r="I65" s="820"/>
      <c r="J65" s="820"/>
      <c r="K65" s="820"/>
      <c r="L65" s="820"/>
      <c r="M65" s="869"/>
      <c r="N65" s="870"/>
      <c r="O65" s="870"/>
      <c r="P65" s="881"/>
      <c r="Q65" s="911"/>
    </row>
    <row r="66" spans="1:17" s="572" customFormat="1">
      <c r="A66" s="828"/>
      <c r="B66" s="821">
        <f>B13</f>
        <v>111</v>
      </c>
      <c r="C66" s="829"/>
      <c r="D66" s="829"/>
      <c r="E66" s="829"/>
      <c r="F66" s="829"/>
      <c r="G66" s="829"/>
      <c r="H66" s="830"/>
      <c r="I66" s="830"/>
      <c r="J66" s="830"/>
      <c r="K66" s="830"/>
      <c r="L66" s="878"/>
      <c r="M66" s="879"/>
      <c r="N66" s="880"/>
      <c r="O66" s="880"/>
      <c r="P66" s="882"/>
      <c r="Q66" s="912"/>
    </row>
    <row r="67" spans="1:17" s="572" customFormat="1">
      <c r="A67" s="828"/>
      <c r="B67" s="823"/>
      <c r="C67" s="831"/>
      <c r="D67" s="820"/>
      <c r="E67" s="820"/>
      <c r="F67" s="820"/>
      <c r="G67" s="831"/>
      <c r="H67" s="832"/>
      <c r="I67" s="832"/>
      <c r="J67" s="832"/>
      <c r="K67" s="832"/>
      <c r="L67" s="832"/>
      <c r="M67" s="883"/>
      <c r="N67" s="880"/>
      <c r="O67" s="880"/>
      <c r="P67" s="881"/>
      <c r="Q67" s="911"/>
    </row>
    <row r="68" spans="1:17" s="572" customFormat="1">
      <c r="A68" s="828"/>
      <c r="B68" s="825">
        <f>B14</f>
        <v>111</v>
      </c>
      <c r="C68" s="813"/>
      <c r="D68" s="813"/>
      <c r="E68" s="813"/>
      <c r="F68" s="813"/>
      <c r="G68" s="813"/>
      <c r="H68" s="833"/>
      <c r="I68" s="833"/>
      <c r="J68" s="833"/>
      <c r="K68" s="833"/>
      <c r="L68" s="884"/>
      <c r="M68" s="885"/>
      <c r="N68" s="880"/>
      <c r="O68" s="880"/>
      <c r="P68" s="886"/>
      <c r="Q68" s="911"/>
    </row>
    <row r="69" spans="1:17" s="572" customFormat="1">
      <c r="A69" s="834"/>
      <c r="B69" s="835"/>
      <c r="C69" s="836"/>
      <c r="D69" s="836"/>
      <c r="E69" s="836"/>
      <c r="F69" s="836"/>
      <c r="G69" s="836"/>
      <c r="H69" s="837"/>
      <c r="I69" s="837"/>
      <c r="J69" s="837"/>
      <c r="K69" s="837"/>
      <c r="L69" s="837"/>
      <c r="M69" s="887"/>
      <c r="N69" s="880"/>
      <c r="O69" s="880"/>
      <c r="P69" s="881"/>
      <c r="Q69" s="911"/>
    </row>
    <row r="70" spans="1:17" ht="14.4">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4.4">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4.4">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4.4">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4.4">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c r="A80" s="841"/>
      <c r="B80" s="821">
        <f>B25</f>
        <v>111</v>
      </c>
      <c r="C80" s="829"/>
      <c r="D80" s="829"/>
      <c r="E80" s="829"/>
      <c r="F80" s="829"/>
      <c r="G80" s="829"/>
      <c r="H80" s="829"/>
      <c r="I80" s="829"/>
      <c r="J80" s="829"/>
      <c r="K80" s="829"/>
      <c r="L80" s="1016"/>
      <c r="M80" s="1017"/>
      <c r="N80" s="861"/>
      <c r="O80" s="861"/>
      <c r="P80" s="868"/>
      <c r="Q80" s="790"/>
    </row>
    <row r="81" spans="1:17" s="570" customFormat="1">
      <c r="A81" s="841"/>
      <c r="B81" s="823"/>
      <c r="C81" s="831"/>
      <c r="D81" s="820"/>
      <c r="E81" s="820"/>
      <c r="F81" s="820"/>
      <c r="G81" s="820"/>
      <c r="H81" s="820"/>
      <c r="I81" s="820"/>
      <c r="J81" s="820"/>
      <c r="K81" s="820"/>
      <c r="L81" s="820"/>
      <c r="M81" s="869"/>
      <c r="N81" s="870"/>
      <c r="O81" s="870"/>
      <c r="P81" s="868"/>
      <c r="Q81" s="790"/>
    </row>
    <row r="82" spans="1:17" s="570" customFormat="1">
      <c r="A82" s="841"/>
      <c r="B82" s="821">
        <f>B26</f>
        <v>111</v>
      </c>
      <c r="C82" s="829"/>
      <c r="D82" s="829"/>
      <c r="E82" s="829"/>
      <c r="F82" s="829"/>
      <c r="G82" s="829"/>
      <c r="H82" s="829"/>
      <c r="I82" s="829"/>
      <c r="J82" s="829"/>
      <c r="K82" s="829"/>
      <c r="L82" s="1016"/>
      <c r="M82" s="1017"/>
      <c r="N82" s="861"/>
      <c r="O82" s="861"/>
      <c r="P82" s="868"/>
      <c r="Q82" s="790"/>
    </row>
    <row r="83" spans="1:17" s="570" customFormat="1">
      <c r="A83" s="841"/>
      <c r="B83" s="823"/>
      <c r="C83" s="831"/>
      <c r="D83" s="820"/>
      <c r="E83" s="820"/>
      <c r="F83" s="820"/>
      <c r="G83" s="820"/>
      <c r="H83" s="820"/>
      <c r="I83" s="820"/>
      <c r="J83" s="820"/>
      <c r="K83" s="820"/>
      <c r="L83" s="820"/>
      <c r="M83" s="869"/>
      <c r="N83" s="870"/>
      <c r="O83" s="870"/>
      <c r="P83" s="868"/>
      <c r="Q83" s="790"/>
    </row>
    <row r="84" spans="1:17" s="572" customFormat="1">
      <c r="A84" s="828"/>
      <c r="B84" s="821">
        <f>B27</f>
        <v>111</v>
      </c>
      <c r="C84" s="829"/>
      <c r="D84" s="829"/>
      <c r="E84" s="829"/>
      <c r="F84" s="829"/>
      <c r="G84" s="829"/>
      <c r="H84" s="829"/>
      <c r="I84" s="829"/>
      <c r="J84" s="829"/>
      <c r="K84" s="829"/>
      <c r="L84" s="1016"/>
      <c r="M84" s="1017"/>
      <c r="N84" s="880"/>
      <c r="O84" s="880"/>
      <c r="P84" s="881"/>
      <c r="Q84" s="911"/>
    </row>
    <row r="85" spans="1:17" s="572" customFormat="1">
      <c r="A85" s="828"/>
      <c r="B85" s="823"/>
      <c r="C85" s="831"/>
      <c r="D85" s="820"/>
      <c r="E85" s="820"/>
      <c r="F85" s="820"/>
      <c r="G85" s="820"/>
      <c r="H85" s="820"/>
      <c r="I85" s="820"/>
      <c r="J85" s="820"/>
      <c r="K85" s="820"/>
      <c r="L85" s="820"/>
      <c r="M85" s="869"/>
      <c r="N85" s="880"/>
      <c r="O85" s="880"/>
      <c r="P85" s="881"/>
      <c r="Q85" s="911"/>
    </row>
    <row r="86" spans="1:17">
      <c r="A86" s="818"/>
      <c r="B86" s="825">
        <f>B28</f>
        <v>111</v>
      </c>
      <c r="C86" s="813"/>
      <c r="D86" s="813"/>
      <c r="E86" s="813"/>
      <c r="F86" s="813"/>
      <c r="G86" s="847"/>
      <c r="H86" s="847"/>
      <c r="I86" s="847"/>
      <c r="J86" s="847"/>
      <c r="K86" s="901"/>
      <c r="L86" s="902"/>
      <c r="M86" s="903"/>
      <c r="N86" s="867"/>
      <c r="O86" s="867"/>
      <c r="P86" s="868"/>
      <c r="Q86" s="790"/>
    </row>
    <row r="87" spans="1:17">
      <c r="A87" s="1094"/>
      <c r="B87" s="835"/>
      <c r="C87" s="836"/>
      <c r="D87" s="836"/>
      <c r="E87" s="836"/>
      <c r="F87" s="836"/>
      <c r="G87" s="848"/>
      <c r="H87" s="848"/>
      <c r="I87" s="848"/>
      <c r="J87" s="848"/>
      <c r="K87" s="848"/>
      <c r="L87" s="848"/>
      <c r="M87" s="904"/>
      <c r="N87" s="870"/>
      <c r="O87" s="870"/>
      <c r="P87" s="868"/>
      <c r="Q87" s="790"/>
    </row>
    <row r="88" spans="1:17" ht="14.4">
      <c r="A88" s="816" t="s">
        <v>1591</v>
      </c>
      <c r="B88" s="817" t="s">
        <v>1592</v>
      </c>
      <c r="C88" s="759"/>
      <c r="D88" s="759"/>
      <c r="E88" s="759"/>
      <c r="F88" s="759"/>
      <c r="G88" s="759"/>
      <c r="H88" s="759"/>
      <c r="I88" s="759"/>
      <c r="J88" s="759"/>
      <c r="K88" s="864"/>
      <c r="L88" s="865"/>
      <c r="M88" s="866"/>
      <c r="N88" s="867"/>
      <c r="O88" s="867"/>
      <c r="P88" s="868"/>
      <c r="Q88" s="790"/>
    </row>
    <row r="89" spans="1:17">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4.4">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c r="A92" s="828"/>
      <c r="B92" s="823"/>
      <c r="C92" s="831"/>
      <c r="D92" s="820"/>
      <c r="E92" s="820"/>
      <c r="F92" s="820"/>
      <c r="G92" s="820"/>
      <c r="H92" s="820"/>
      <c r="I92" s="820"/>
      <c r="J92" s="820"/>
      <c r="K92" s="820"/>
      <c r="L92" s="820"/>
      <c r="M92" s="869"/>
      <c r="N92" s="870"/>
      <c r="O92" s="870"/>
      <c r="P92" s="881"/>
      <c r="Q92" s="911"/>
    </row>
    <row r="93" spans="1:17" ht="14.4">
      <c r="A93" s="852"/>
      <c r="B93" s="821" t="s">
        <v>1595</v>
      </c>
      <c r="C93" s="829"/>
      <c r="D93" s="829"/>
      <c r="E93" s="846"/>
      <c r="F93" s="846"/>
      <c r="G93" s="846"/>
      <c r="H93" s="846"/>
      <c r="I93" s="846"/>
      <c r="J93" s="846"/>
      <c r="K93" s="898"/>
      <c r="L93" s="899"/>
      <c r="M93" s="900"/>
      <c r="N93" s="867"/>
      <c r="O93" s="867"/>
      <c r="P93" s="868"/>
      <c r="Q93" s="790"/>
    </row>
    <row r="94" spans="1:17">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ht="14.4">
      <c r="A95" s="852"/>
      <c r="B95" s="821" t="s">
        <v>1597</v>
      </c>
      <c r="C95" s="829"/>
      <c r="D95" s="829"/>
      <c r="E95" s="829"/>
      <c r="F95" s="846"/>
      <c r="G95" s="846"/>
      <c r="H95" s="846"/>
      <c r="I95" s="846"/>
      <c r="J95" s="846"/>
      <c r="K95" s="898"/>
      <c r="L95" s="899"/>
      <c r="M95" s="900"/>
      <c r="N95" s="867"/>
      <c r="O95" s="867"/>
      <c r="P95" s="868"/>
      <c r="Q95" s="790"/>
    </row>
    <row r="96" spans="1:17">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ht="14.4">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ht="14.4">
      <c r="A100" s="849"/>
      <c r="B100" s="821" t="s">
        <v>1598</v>
      </c>
      <c r="C100" s="829"/>
      <c r="D100" s="829"/>
      <c r="E100" s="829"/>
      <c r="F100" s="829"/>
      <c r="G100" s="829"/>
      <c r="H100" s="846"/>
      <c r="I100" s="846"/>
      <c r="J100" s="846"/>
      <c r="K100" s="898"/>
      <c r="L100" s="899"/>
      <c r="M100" s="900"/>
      <c r="N100" s="880"/>
      <c r="O100" s="880"/>
      <c r="P100" s="881"/>
      <c r="Q100" s="911"/>
    </row>
    <row r="101" spans="1:17" s="572" customFormat="1">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ht="14.4">
      <c r="A102" s="852"/>
      <c r="B102" s="821" t="s">
        <v>1599</v>
      </c>
      <c r="C102" s="829"/>
      <c r="D102" s="829"/>
      <c r="E102" s="829"/>
      <c r="F102" s="829"/>
      <c r="G102" s="829"/>
      <c r="H102" s="846"/>
      <c r="I102" s="846"/>
      <c r="J102" s="846"/>
      <c r="K102" s="898"/>
      <c r="L102" s="899"/>
      <c r="M102" s="900"/>
      <c r="N102" s="867"/>
      <c r="O102" s="867"/>
      <c r="P102" s="868"/>
      <c r="Q102" s="790"/>
    </row>
    <row r="103" spans="1:17">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ht="14.4">
      <c r="A104" s="852"/>
      <c r="B104" s="821" t="s">
        <v>1602</v>
      </c>
      <c r="C104" s="829"/>
      <c r="D104" s="829"/>
      <c r="E104" s="829"/>
      <c r="F104" s="829"/>
      <c r="G104" s="829"/>
      <c r="H104" s="846"/>
      <c r="I104" s="846"/>
      <c r="J104" s="846"/>
      <c r="K104" s="898"/>
      <c r="L104" s="899"/>
      <c r="M104" s="900"/>
      <c r="N104" s="867"/>
      <c r="O104" s="867"/>
      <c r="P104" s="868"/>
      <c r="Q104" s="790"/>
    </row>
    <row r="105" spans="1:17">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ht="28.8">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576" customWidth="1"/>
    <col min="2" max="2" width="15.77734375" style="576" customWidth="1"/>
    <col min="3" max="3" width="14.3320312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5.44140625" style="576" customWidth="1"/>
    <col min="10" max="10" width="12.21875" style="576" customWidth="1"/>
    <col min="11" max="11" width="12.21875" style="577" customWidth="1"/>
    <col min="12" max="12" width="12.21875" style="578" customWidth="1"/>
    <col min="13" max="15" width="12.21875" style="576" customWidth="1"/>
    <col min="16" max="16" width="4.77734375" style="1025"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4.4">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4.4">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4.4">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6" si="3">D8/F8</f>
        <v>#DIV/0!</v>
      </c>
      <c r="AB8" s="794" t="e">
        <f t="shared" ref="AB8:AB36" si="4">D8/H8</f>
        <v>#DIV/0!</v>
      </c>
      <c r="AC8" s="794" t="e">
        <f t="shared" ref="AC8:AC36" si="5">D8/J8</f>
        <v>#DIV/0!</v>
      </c>
    </row>
    <row r="9" spans="1:29" s="570" customFormat="1" ht="14.4">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8.8">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96.6">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7"/>
      <c r="Q15" s="709"/>
      <c r="R15" s="785"/>
      <c r="S15" s="786"/>
      <c r="T15" s="785"/>
      <c r="U15" s="786"/>
      <c r="V15" s="785"/>
      <c r="W15" s="786"/>
      <c r="X15" s="779"/>
      <c r="Y15" s="3237"/>
      <c r="Z15" s="770"/>
      <c r="AA15" s="796">
        <v>1</v>
      </c>
      <c r="AB15" s="796">
        <v>1</v>
      </c>
      <c r="AC15" s="796">
        <v>1</v>
      </c>
    </row>
    <row r="16" spans="1:29" ht="41.4">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7"/>
      <c r="Q17" s="709"/>
      <c r="R17" s="785"/>
      <c r="S17" s="786"/>
      <c r="T17" s="785"/>
      <c r="U17" s="786"/>
      <c r="V17" s="785"/>
      <c r="W17" s="786"/>
      <c r="X17" s="779"/>
      <c r="Y17" s="3237"/>
      <c r="Z17" s="770"/>
      <c r="AA17" s="796">
        <v>1</v>
      </c>
      <c r="AB17" s="796">
        <v>1</v>
      </c>
      <c r="AC17" s="796">
        <v>1</v>
      </c>
    </row>
    <row r="18" spans="1:29" ht="41.4">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7"/>
      <c r="Q19" s="709"/>
      <c r="R19" s="785"/>
      <c r="S19" s="786"/>
      <c r="T19" s="785"/>
      <c r="U19" s="786"/>
      <c r="V19" s="785"/>
      <c r="W19" s="786"/>
      <c r="X19" s="779"/>
      <c r="Y19" s="3237"/>
      <c r="Z19" s="770"/>
      <c r="AA19" s="796">
        <v>1</v>
      </c>
      <c r="AB19" s="796">
        <v>1</v>
      </c>
      <c r="AC19" s="796">
        <v>1</v>
      </c>
    </row>
    <row r="20" spans="1:29" ht="55.2">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7"/>
      <c r="Q21" s="709"/>
      <c r="R21" s="785"/>
      <c r="S21" s="786"/>
      <c r="T21" s="785"/>
      <c r="U21" s="786"/>
      <c r="V21" s="785"/>
      <c r="W21" s="786"/>
      <c r="X21" s="779"/>
      <c r="Y21" s="3237"/>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7"/>
      <c r="Q24" s="709">
        <f t="shared" ref="Q24:Q36"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30">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8"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8"/>
      <c r="Q27" s="1011" t="str">
        <f t="shared" si="11"/>
        <v>项目停车位配比</v>
      </c>
      <c r="R27" s="787" t="s">
        <v>1578</v>
      </c>
      <c r="S27" s="788">
        <f t="shared" si="12"/>
        <v>100</v>
      </c>
      <c r="T27" s="787" t="s">
        <v>1578</v>
      </c>
      <c r="U27" s="788">
        <f t="shared" si="13"/>
        <v>100</v>
      </c>
      <c r="V27" s="787" t="s">
        <v>1578</v>
      </c>
      <c r="W27" s="788">
        <f t="shared" si="14"/>
        <v>100</v>
      </c>
      <c r="X27" s="789"/>
      <c r="Y27" s="3238"/>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8"/>
      <c r="Q28" s="709" t="str">
        <f t="shared" si="11"/>
        <v>公共部分装修</v>
      </c>
      <c r="R28" s="785" t="s">
        <v>1578</v>
      </c>
      <c r="S28" s="786">
        <f t="shared" si="12"/>
        <v>100</v>
      </c>
      <c r="T28" s="785" t="s">
        <v>1578</v>
      </c>
      <c r="U28" s="786">
        <f t="shared" si="13"/>
        <v>100</v>
      </c>
      <c r="V28" s="785" t="s">
        <v>1578</v>
      </c>
      <c r="W28" s="786">
        <f t="shared" si="14"/>
        <v>100</v>
      </c>
      <c r="X28" s="779"/>
      <c r="Y28" s="3238"/>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8"/>
      <c r="Q29" s="709" t="str">
        <f t="shared" si="11"/>
        <v>成新率</v>
      </c>
      <c r="R29" s="785" t="s">
        <v>1578</v>
      </c>
      <c r="S29" s="786" t="e">
        <f t="shared" si="12"/>
        <v>#N/A</v>
      </c>
      <c r="T29" s="785" t="s">
        <v>1578</v>
      </c>
      <c r="U29" s="786" t="e">
        <f t="shared" si="13"/>
        <v>#N/A</v>
      </c>
      <c r="V29" s="785" t="s">
        <v>1578</v>
      </c>
      <c r="W29" s="786" t="e">
        <f t="shared" si="14"/>
        <v>#N/A</v>
      </c>
      <c r="X29" s="779"/>
      <c r="Y29" s="3238"/>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8"/>
      <c r="Q30" s="709" t="str">
        <f t="shared" si="11"/>
        <v>物业等级</v>
      </c>
      <c r="R30" s="785" t="s">
        <v>1578</v>
      </c>
      <c r="S30" s="786">
        <f t="shared" si="12"/>
        <v>100</v>
      </c>
      <c r="T30" s="785" t="s">
        <v>1578</v>
      </c>
      <c r="U30" s="786">
        <f t="shared" si="13"/>
        <v>100</v>
      </c>
      <c r="V30" s="785" t="s">
        <v>1578</v>
      </c>
      <c r="W30" s="786">
        <f t="shared" si="14"/>
        <v>100</v>
      </c>
      <c r="X30" s="779"/>
      <c r="Y30" s="3238"/>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8"/>
      <c r="Q31" s="784" t="str">
        <f t="shared" si="11"/>
        <v>停车位面积</v>
      </c>
      <c r="R31" s="780" t="s">
        <v>1578</v>
      </c>
      <c r="S31" s="781" t="e">
        <f t="shared" si="12"/>
        <v>#N/A</v>
      </c>
      <c r="T31" s="780" t="s">
        <v>1578</v>
      </c>
      <c r="U31" s="781" t="e">
        <f t="shared" si="13"/>
        <v>#N/A</v>
      </c>
      <c r="V31" s="780" t="s">
        <v>1578</v>
      </c>
      <c r="W31" s="781" t="e">
        <f t="shared" si="14"/>
        <v>#N/A</v>
      </c>
      <c r="X31" s="782"/>
      <c r="Y31" s="3238"/>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8" t="s">
        <v>1593</v>
      </c>
      <c r="Q32" s="709" t="str">
        <f t="shared" si="11"/>
        <v>车位类型</v>
      </c>
      <c r="R32" s="785" t="s">
        <v>1578</v>
      </c>
      <c r="S32" s="786">
        <f t="shared" si="12"/>
        <v>100</v>
      </c>
      <c r="T32" s="785" t="s">
        <v>1578</v>
      </c>
      <c r="U32" s="786">
        <f t="shared" si="13"/>
        <v>100</v>
      </c>
      <c r="V32" s="785" t="s">
        <v>1578</v>
      </c>
      <c r="W32" s="786">
        <f t="shared" si="14"/>
        <v>100</v>
      </c>
      <c r="X32" s="779"/>
      <c r="Y32" s="3238"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8"/>
      <c r="Q33" s="709" t="str">
        <f t="shared" si="11"/>
        <v>是否直接入户</v>
      </c>
      <c r="R33" s="785" t="s">
        <v>1578</v>
      </c>
      <c r="S33" s="786">
        <f t="shared" si="12"/>
        <v>100</v>
      </c>
      <c r="T33" s="785" t="s">
        <v>1578</v>
      </c>
      <c r="U33" s="786">
        <f t="shared" si="13"/>
        <v>100</v>
      </c>
      <c r="V33" s="785" t="s">
        <v>1578</v>
      </c>
      <c r="W33" s="786">
        <f t="shared" si="14"/>
        <v>100</v>
      </c>
      <c r="X33" s="779"/>
      <c r="Y33" s="3238"/>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8"/>
      <c r="Q35" s="1011">
        <f t="shared" si="11"/>
        <v>111</v>
      </c>
      <c r="R35" s="787" t="s">
        <v>1578</v>
      </c>
      <c r="S35" s="788">
        <f t="shared" si="12"/>
        <v>100</v>
      </c>
      <c r="T35" s="787" t="s">
        <v>1578</v>
      </c>
      <c r="U35" s="788">
        <f t="shared" si="13"/>
        <v>100</v>
      </c>
      <c r="V35" s="787" t="s">
        <v>1578</v>
      </c>
      <c r="W35" s="788">
        <f t="shared" si="14"/>
        <v>100</v>
      </c>
      <c r="X35" s="789"/>
      <c r="Y35" s="3238"/>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8"/>
      <c r="Q36" s="709">
        <f t="shared" si="11"/>
        <v>111</v>
      </c>
      <c r="R36" s="785" t="s">
        <v>1578</v>
      </c>
      <c r="S36" s="786">
        <f t="shared" si="12"/>
        <v>100</v>
      </c>
      <c r="T36" s="785" t="s">
        <v>1578</v>
      </c>
      <c r="U36" s="786">
        <f t="shared" si="13"/>
        <v>100</v>
      </c>
      <c r="V36" s="785" t="s">
        <v>1578</v>
      </c>
      <c r="W36" s="786">
        <f t="shared" si="14"/>
        <v>100</v>
      </c>
      <c r="X36" s="779"/>
      <c r="Y36" s="3238"/>
      <c r="Z36" s="770">
        <f t="shared" si="15"/>
        <v>111</v>
      </c>
      <c r="AA36" s="796">
        <f t="shared" si="3"/>
        <v>1</v>
      </c>
      <c r="AB36" s="796">
        <f t="shared" si="4"/>
        <v>1</v>
      </c>
      <c r="AC36" s="796">
        <f t="shared" si="5"/>
        <v>1</v>
      </c>
    </row>
    <row r="37" spans="1:29" ht="14.4">
      <c r="A37" s="669" t="s">
        <v>1696</v>
      </c>
      <c r="B37" s="1052" t="s">
        <v>1697</v>
      </c>
      <c r="C37" s="987" t="s">
        <v>124</v>
      </c>
      <c r="D37" s="988"/>
      <c r="E37" s="989"/>
      <c r="F37" s="990"/>
      <c r="G37" s="991"/>
      <c r="H37" s="992"/>
      <c r="I37" s="989"/>
      <c r="J37" s="992"/>
      <c r="K37" s="1061"/>
      <c r="L37" s="762"/>
      <c r="M37" s="686"/>
      <c r="N37" s="738"/>
      <c r="O37" s="686"/>
      <c r="P37" s="3223" t="str">
        <f>A37</f>
        <v>成交单价</v>
      </c>
      <c r="Q37" s="3223"/>
      <c r="R37" s="3224">
        <f>E37</f>
        <v>0</v>
      </c>
      <c r="S37" s="3224"/>
      <c r="T37" s="3224">
        <f>G37</f>
        <v>0</v>
      </c>
      <c r="U37" s="3224"/>
      <c r="V37" s="3224">
        <f>I37</f>
        <v>0</v>
      </c>
      <c r="W37" s="3224"/>
      <c r="X37" s="726"/>
      <c r="Y37" s="798"/>
      <c r="Z37" s="726"/>
      <c r="AA37" s="726"/>
      <c r="AB37" s="726"/>
      <c r="AC37" s="726"/>
    </row>
    <row r="38" spans="1:29" ht="14.4">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26"/>
      <c r="Y38" s="726"/>
      <c r="Z38" s="726"/>
      <c r="AA38" s="726"/>
      <c r="AB38" s="726"/>
      <c r="AC38" s="726"/>
    </row>
    <row r="39" spans="1:29" ht="14.4">
      <c r="A39" s="683" t="s">
        <v>1698</v>
      </c>
      <c r="B39" s="684"/>
      <c r="C39" s="997" t="e">
        <f>R39</f>
        <v>#DIV/0!</v>
      </c>
      <c r="D39" s="997"/>
      <c r="E39" s="997"/>
      <c r="F39" s="997"/>
      <c r="G39" s="997"/>
      <c r="H39" s="997"/>
      <c r="I39" s="997"/>
      <c r="J39" s="997"/>
      <c r="K39" s="1063"/>
      <c r="L39" s="762"/>
      <c r="M39" s="686"/>
      <c r="N39" s="686"/>
      <c r="O39" s="686"/>
      <c r="P39" s="3225" t="str">
        <f>A39</f>
        <v>估价对象XX用房的比较价值（楼面单价，元/平方米）</v>
      </c>
      <c r="Q39" s="3226"/>
      <c r="R39" s="3227" t="e">
        <f>IF(F1="售价",ROUND(AVERAGE(R38:V38),0),ROUND(AVERAGE(R38:V38),1))</f>
        <v>#DIV/0!</v>
      </c>
      <c r="S39" s="3227"/>
      <c r="T39" s="3227"/>
      <c r="U39" s="3227"/>
      <c r="V39" s="3227"/>
      <c r="W39" s="3227"/>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6">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4.4">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4.4">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4.4">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ht="14.4">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8.8">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ht="14.4">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4.4">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4.4">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4.4">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4.4">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8.8">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4.4">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ht="14.4">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ht="14.4">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ht="14.4">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ht="14.4">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ht="14.4">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ht="14.4">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3.8"/>
  <cols>
    <col min="1" max="1" width="10.44140625" style="576" customWidth="1"/>
    <col min="2" max="2" width="15.77734375" style="576" customWidth="1"/>
    <col min="3" max="3" width="14.3320312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576"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4.4">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4.4">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4.4">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4" si="3">D8/F8</f>
        <v>#DIV/0!</v>
      </c>
      <c r="AB8" s="794" t="e">
        <f t="shared" ref="AB8:AB34" si="4">D8/H8</f>
        <v>#DIV/0!</v>
      </c>
      <c r="AC8" s="794" t="e">
        <f t="shared" ref="AC8:AC34" si="5">D8/J8</f>
        <v>#DIV/0!</v>
      </c>
    </row>
    <row r="9" spans="1:29" s="570" customFormat="1" ht="14.4">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8.8">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96.6">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7"/>
      <c r="Q15" s="709"/>
      <c r="R15" s="785"/>
      <c r="S15" s="786"/>
      <c r="T15" s="785"/>
      <c r="U15" s="786"/>
      <c r="V15" s="785"/>
      <c r="W15" s="786"/>
      <c r="X15" s="779"/>
      <c r="Y15" s="3237"/>
      <c r="Z15" s="770"/>
      <c r="AA15" s="796">
        <v>1</v>
      </c>
      <c r="AB15" s="796">
        <v>1</v>
      </c>
      <c r="AC15" s="796">
        <v>1</v>
      </c>
    </row>
    <row r="16" spans="1:29" ht="41.4">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7"/>
      <c r="Q17" s="709"/>
      <c r="R17" s="785"/>
      <c r="S17" s="786"/>
      <c r="T17" s="785"/>
      <c r="U17" s="786"/>
      <c r="V17" s="785"/>
      <c r="W17" s="786"/>
      <c r="X17" s="779"/>
      <c r="Y17" s="3237"/>
      <c r="Z17" s="770"/>
      <c r="AA17" s="796">
        <v>1</v>
      </c>
      <c r="AB17" s="796">
        <v>1</v>
      </c>
      <c r="AC17" s="796">
        <v>1</v>
      </c>
    </row>
    <row r="18" spans="1:29" ht="41.4">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7"/>
      <c r="Q19" s="709"/>
      <c r="R19" s="785"/>
      <c r="S19" s="786"/>
      <c r="T19" s="785"/>
      <c r="U19" s="786"/>
      <c r="V19" s="785"/>
      <c r="W19" s="786"/>
      <c r="X19" s="779"/>
      <c r="Y19" s="3237"/>
      <c r="Z19" s="770"/>
      <c r="AA19" s="796">
        <v>1</v>
      </c>
      <c r="AB19" s="796">
        <v>1</v>
      </c>
      <c r="AC19" s="796">
        <v>1</v>
      </c>
    </row>
    <row r="20" spans="1:29" ht="55.2">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7"/>
      <c r="Q21" s="709"/>
      <c r="R21" s="785"/>
      <c r="S21" s="786"/>
      <c r="T21" s="785"/>
      <c r="U21" s="786"/>
      <c r="V21" s="785"/>
      <c r="W21" s="786"/>
      <c r="X21" s="779"/>
      <c r="Y21" s="3237"/>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7"/>
      <c r="Q24" s="709">
        <f t="shared" ref="Q24:Q34"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30">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8"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8"/>
      <c r="Q27" s="1011" t="str">
        <f t="shared" si="11"/>
        <v>成新率</v>
      </c>
      <c r="R27" s="787" t="s">
        <v>1578</v>
      </c>
      <c r="S27" s="788" t="e">
        <f t="shared" si="12"/>
        <v>#N/A</v>
      </c>
      <c r="T27" s="787" t="s">
        <v>1578</v>
      </c>
      <c r="U27" s="788" t="e">
        <f t="shared" si="13"/>
        <v>#N/A</v>
      </c>
      <c r="V27" s="787" t="s">
        <v>1578</v>
      </c>
      <c r="W27" s="788" t="e">
        <f t="shared" si="14"/>
        <v>#N/A</v>
      </c>
      <c r="X27" s="789"/>
      <c r="Y27" s="3238"/>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8"/>
      <c r="Q28" s="709" t="str">
        <f t="shared" si="11"/>
        <v>物业等级</v>
      </c>
      <c r="R28" s="785" t="s">
        <v>1578</v>
      </c>
      <c r="S28" s="786">
        <f t="shared" si="12"/>
        <v>100</v>
      </c>
      <c r="T28" s="785" t="s">
        <v>1578</v>
      </c>
      <c r="U28" s="786">
        <f t="shared" si="13"/>
        <v>100</v>
      </c>
      <c r="V28" s="785" t="s">
        <v>1578</v>
      </c>
      <c r="W28" s="786">
        <f t="shared" si="14"/>
        <v>100</v>
      </c>
      <c r="X28" s="779"/>
      <c r="Y28" s="3238"/>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8"/>
      <c r="Q29" s="709" t="str">
        <f t="shared" si="11"/>
        <v>有无电梯</v>
      </c>
      <c r="R29" s="785" t="s">
        <v>1578</v>
      </c>
      <c r="S29" s="786">
        <f t="shared" si="12"/>
        <v>100</v>
      </c>
      <c r="T29" s="785" t="s">
        <v>1578</v>
      </c>
      <c r="U29" s="786">
        <f t="shared" si="13"/>
        <v>100</v>
      </c>
      <c r="V29" s="785" t="s">
        <v>1578</v>
      </c>
      <c r="W29" s="786">
        <f t="shared" si="14"/>
        <v>100</v>
      </c>
      <c r="X29" s="779"/>
      <c r="Y29" s="3238"/>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8"/>
      <c r="Q30" s="709" t="str">
        <f t="shared" si="11"/>
        <v>建筑面积</v>
      </c>
      <c r="R30" s="785" t="s">
        <v>1578</v>
      </c>
      <c r="S30" s="786" t="e">
        <f t="shared" si="12"/>
        <v>#N/A</v>
      </c>
      <c r="T30" s="785" t="s">
        <v>1578</v>
      </c>
      <c r="U30" s="786" t="e">
        <f t="shared" si="13"/>
        <v>#N/A</v>
      </c>
      <c r="V30" s="785" t="s">
        <v>1578</v>
      </c>
      <c r="W30" s="786" t="e">
        <f t="shared" si="14"/>
        <v>#N/A</v>
      </c>
      <c r="X30" s="779"/>
      <c r="Y30" s="3238"/>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8"/>
      <c r="Q31" s="784" t="str">
        <f t="shared" si="11"/>
        <v>是否封闭</v>
      </c>
      <c r="R31" s="780" t="s">
        <v>1578</v>
      </c>
      <c r="S31" s="781">
        <f t="shared" si="12"/>
        <v>100</v>
      </c>
      <c r="T31" s="780" t="s">
        <v>1578</v>
      </c>
      <c r="U31" s="781">
        <f t="shared" si="13"/>
        <v>100</v>
      </c>
      <c r="V31" s="780" t="s">
        <v>1578</v>
      </c>
      <c r="W31" s="781">
        <f t="shared" si="14"/>
        <v>100</v>
      </c>
      <c r="X31" s="782"/>
      <c r="Y31" s="3238"/>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8" t="s">
        <v>1593</v>
      </c>
      <c r="Q32" s="709">
        <f t="shared" si="11"/>
        <v>111</v>
      </c>
      <c r="R32" s="785" t="s">
        <v>1578</v>
      </c>
      <c r="S32" s="786">
        <f t="shared" si="12"/>
        <v>100</v>
      </c>
      <c r="T32" s="785" t="s">
        <v>1578</v>
      </c>
      <c r="U32" s="786">
        <f t="shared" si="13"/>
        <v>100</v>
      </c>
      <c r="V32" s="785" t="s">
        <v>1578</v>
      </c>
      <c r="W32" s="786">
        <f t="shared" si="14"/>
        <v>100</v>
      </c>
      <c r="X32" s="779"/>
      <c r="Y32" s="3238"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8"/>
      <c r="Q33" s="709">
        <f t="shared" si="11"/>
        <v>111</v>
      </c>
      <c r="R33" s="785" t="s">
        <v>1578</v>
      </c>
      <c r="S33" s="786">
        <f t="shared" si="12"/>
        <v>100</v>
      </c>
      <c r="T33" s="785" t="s">
        <v>1578</v>
      </c>
      <c r="U33" s="786">
        <f t="shared" si="13"/>
        <v>100</v>
      </c>
      <c r="V33" s="785" t="s">
        <v>1578</v>
      </c>
      <c r="W33" s="786">
        <f t="shared" si="14"/>
        <v>100</v>
      </c>
      <c r="X33" s="779"/>
      <c r="Y33" s="3238"/>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ht="14.4">
      <c r="A35" s="669" t="s">
        <v>1604</v>
      </c>
      <c r="B35" s="986"/>
      <c r="C35" s="987" t="s">
        <v>124</v>
      </c>
      <c r="D35" s="988"/>
      <c r="E35" s="989"/>
      <c r="F35" s="990"/>
      <c r="G35" s="991"/>
      <c r="H35" s="992"/>
      <c r="I35" s="989"/>
      <c r="J35" s="992"/>
      <c r="K35" s="761"/>
      <c r="L35" s="762"/>
      <c r="M35" s="686"/>
      <c r="N35" s="738"/>
      <c r="O35" s="686"/>
      <c r="P35" s="3223" t="str">
        <f>A35</f>
        <v>成交单价（元/平方米）</v>
      </c>
      <c r="Q35" s="3223"/>
      <c r="R35" s="3224">
        <f>E35</f>
        <v>0</v>
      </c>
      <c r="S35" s="3224"/>
      <c r="T35" s="3224">
        <f>G35</f>
        <v>0</v>
      </c>
      <c r="U35" s="3224"/>
      <c r="V35" s="3224">
        <f>I35</f>
        <v>0</v>
      </c>
      <c r="W35" s="3224"/>
      <c r="X35" s="726"/>
      <c r="Y35" s="798"/>
      <c r="Z35" s="726"/>
      <c r="AA35" s="726"/>
      <c r="AB35" s="726"/>
      <c r="AC35" s="726"/>
    </row>
    <row r="36" spans="1:29" ht="14.4">
      <c r="A36" s="677" t="s">
        <v>1605</v>
      </c>
      <c r="B36" s="993"/>
      <c r="C36" s="994" t="e">
        <f>R37</f>
        <v>#DIV/0!</v>
      </c>
      <c r="D36" s="995"/>
      <c r="E36" s="996" t="e">
        <f>R36</f>
        <v>#DIV/0!</v>
      </c>
      <c r="F36" s="996"/>
      <c r="G36" s="994" t="e">
        <f>T36</f>
        <v>#DIV/0!</v>
      </c>
      <c r="H36" s="995"/>
      <c r="I36" s="996" t="e">
        <f>V36</f>
        <v>#DIV/0!</v>
      </c>
      <c r="J36" s="995"/>
      <c r="K36" s="763"/>
      <c r="L36" s="762"/>
      <c r="M36" s="686"/>
      <c r="N36" s="738"/>
      <c r="O36" s="686"/>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26"/>
      <c r="Y36" s="726"/>
      <c r="Z36" s="726"/>
      <c r="AA36" s="726"/>
      <c r="AB36" s="726"/>
      <c r="AC36" s="726"/>
    </row>
    <row r="37" spans="1:29" ht="14.4">
      <c r="A37" s="683" t="s">
        <v>1606</v>
      </c>
      <c r="B37" s="684"/>
      <c r="C37" s="997" t="e">
        <f>R37</f>
        <v>#DIV/0!</v>
      </c>
      <c r="D37" s="997"/>
      <c r="E37" s="997"/>
      <c r="F37" s="997"/>
      <c r="G37" s="997"/>
      <c r="H37" s="997"/>
      <c r="I37" s="997"/>
      <c r="J37" s="997"/>
      <c r="K37" s="764"/>
      <c r="L37" s="762"/>
      <c r="M37" s="686"/>
      <c r="N37" s="686"/>
      <c r="O37" s="686"/>
      <c r="P37" s="3225" t="str">
        <f>A37</f>
        <v>估价对象XX用房的比较价值（楼面单价，元/平方米）</v>
      </c>
      <c r="Q37" s="3226"/>
      <c r="R37" s="3227" t="e">
        <f>IF(F1="售价",ROUND(AVERAGE(R36:V36),0),ROUND(AVERAGE(R36:V36),1))</f>
        <v>#DIV/0!</v>
      </c>
      <c r="S37" s="3227"/>
      <c r="T37" s="3227"/>
      <c r="U37" s="3227"/>
      <c r="V37" s="3227"/>
      <c r="W37" s="3227"/>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6">
      <c r="A45" s="725" t="s">
        <v>1610</v>
      </c>
      <c r="B45" s="726"/>
      <c r="C45" s="727"/>
      <c r="D45" s="727"/>
      <c r="E45" s="727"/>
      <c r="F45" s="728"/>
      <c r="G45" s="728"/>
      <c r="H45" s="727"/>
      <c r="I45" s="727"/>
      <c r="J45" s="727"/>
      <c r="K45" s="775"/>
      <c r="L45" s="776"/>
      <c r="M45" s="727"/>
      <c r="N45" s="727"/>
      <c r="O45" s="727"/>
      <c r="P45" s="778"/>
      <c r="Q45" s="790"/>
    </row>
    <row r="46" spans="1:29" s="575" customFormat="1" ht="14.4">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c r="A47" s="1002"/>
      <c r="B47" s="811"/>
      <c r="C47" s="1003">
        <v>100</v>
      </c>
      <c r="D47" s="815"/>
      <c r="E47" s="815"/>
      <c r="F47" s="815"/>
      <c r="G47" s="815"/>
      <c r="H47" s="815"/>
      <c r="I47" s="815"/>
      <c r="J47" s="815"/>
      <c r="K47" s="815"/>
      <c r="L47" s="815"/>
      <c r="M47" s="1010"/>
      <c r="N47" s="815"/>
      <c r="O47" s="863"/>
      <c r="P47" s="790"/>
    </row>
    <row r="48" spans="1:29" s="570" customFormat="1" ht="14.4">
      <c r="A48" s="806" t="s">
        <v>1611</v>
      </c>
      <c r="B48" s="807"/>
      <c r="C48" s="808"/>
      <c r="D48" s="809"/>
      <c r="E48" s="809"/>
      <c r="F48" s="809"/>
      <c r="G48" s="809"/>
      <c r="H48" s="809"/>
      <c r="I48" s="809"/>
      <c r="J48" s="809"/>
      <c r="K48" s="809"/>
      <c r="L48" s="809"/>
      <c r="M48" s="857"/>
      <c r="N48" s="809"/>
      <c r="O48" s="858"/>
      <c r="P48" s="790"/>
      <c r="Q48" s="790"/>
    </row>
    <row r="49" spans="1:17" s="570" customFormat="1" ht="14.4">
      <c r="A49" s="810" t="s">
        <v>1579</v>
      </c>
      <c r="B49" s="811"/>
      <c r="C49" s="812" t="s">
        <v>1580</v>
      </c>
      <c r="D49" s="813"/>
      <c r="E49" s="813"/>
      <c r="F49" s="813"/>
      <c r="G49" s="813"/>
      <c r="H49" s="813"/>
      <c r="I49" s="813"/>
      <c r="J49" s="813"/>
      <c r="K49" s="813"/>
      <c r="L49" s="859"/>
      <c r="M49" s="860"/>
      <c r="N49" s="861"/>
      <c r="O49" s="861"/>
      <c r="P49" s="862"/>
      <c r="Q49" s="790"/>
    </row>
    <row r="50" spans="1:17" s="570" customFormat="1">
      <c r="A50" s="810"/>
      <c r="B50" s="811"/>
      <c r="C50" s="814">
        <v>100</v>
      </c>
      <c r="D50" s="815"/>
      <c r="E50" s="815"/>
      <c r="F50" s="815"/>
      <c r="G50" s="815"/>
      <c r="H50" s="815"/>
      <c r="I50" s="815"/>
      <c r="J50" s="815"/>
      <c r="K50" s="815"/>
      <c r="L50" s="815"/>
      <c r="M50" s="863"/>
      <c r="N50" s="861"/>
      <c r="O50" s="861"/>
      <c r="P50" s="790"/>
      <c r="Q50" s="790"/>
    </row>
    <row r="51" spans="1:17" ht="14.4">
      <c r="A51" s="816" t="s">
        <v>1612</v>
      </c>
      <c r="B51" s="817" t="s">
        <v>348</v>
      </c>
      <c r="C51" s="839">
        <f>C9</f>
        <v>0</v>
      </c>
      <c r="D51" s="759"/>
      <c r="E51" s="759"/>
      <c r="F51" s="759"/>
      <c r="G51" s="759"/>
      <c r="H51" s="759"/>
      <c r="I51" s="759"/>
      <c r="J51" s="759"/>
      <c r="K51" s="864"/>
      <c r="L51" s="865"/>
      <c r="M51" s="866"/>
      <c r="N51" s="867"/>
      <c r="O51" s="867"/>
      <c r="P51" s="868"/>
      <c r="Q51" s="790"/>
    </row>
    <row r="52" spans="1:17">
      <c r="A52" s="818"/>
      <c r="B52" s="819"/>
      <c r="C52" s="820">
        <v>100</v>
      </c>
      <c r="D52" s="820"/>
      <c r="E52" s="820"/>
      <c r="F52" s="820"/>
      <c r="G52" s="820"/>
      <c r="H52" s="820"/>
      <c r="I52" s="820"/>
      <c r="J52" s="820"/>
      <c r="K52" s="820"/>
      <c r="L52" s="820"/>
      <c r="M52" s="869"/>
      <c r="N52" s="870"/>
      <c r="O52" s="870"/>
      <c r="P52" s="868"/>
      <c r="Q52" s="790"/>
    </row>
    <row r="53" spans="1:17" ht="28.8">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c r="A55" s="818"/>
      <c r="B55" s="845">
        <f>B11</f>
        <v>111</v>
      </c>
      <c r="C55" s="617"/>
      <c r="D55" s="617"/>
      <c r="E55" s="617"/>
      <c r="F55" s="617"/>
      <c r="G55" s="617"/>
      <c r="H55" s="617"/>
      <c r="I55" s="617"/>
      <c r="J55" s="617"/>
      <c r="K55" s="875"/>
      <c r="L55" s="876"/>
      <c r="M55" s="877"/>
      <c r="N55" s="867"/>
      <c r="O55" s="867"/>
      <c r="P55" s="868"/>
      <c r="Q55" s="790"/>
    </row>
    <row r="56" spans="1:17">
      <c r="A56" s="818"/>
      <c r="B56" s="819"/>
      <c r="C56" s="831"/>
      <c r="D56" s="820"/>
      <c r="E56" s="820"/>
      <c r="F56" s="820"/>
      <c r="G56" s="820"/>
      <c r="H56" s="820"/>
      <c r="I56" s="820"/>
      <c r="J56" s="820"/>
      <c r="K56" s="820"/>
      <c r="L56" s="820"/>
      <c r="M56" s="869"/>
      <c r="N56" s="870"/>
      <c r="O56" s="870"/>
      <c r="P56" s="868"/>
      <c r="Q56" s="790"/>
    </row>
    <row r="57" spans="1:17" s="572" customFormat="1">
      <c r="A57" s="828"/>
      <c r="B57" s="821">
        <f>B12</f>
        <v>111</v>
      </c>
      <c r="C57" s="617"/>
      <c r="D57" s="617"/>
      <c r="E57" s="617"/>
      <c r="F57" s="617"/>
      <c r="G57" s="829"/>
      <c r="H57" s="830"/>
      <c r="I57" s="830"/>
      <c r="J57" s="830"/>
      <c r="K57" s="830"/>
      <c r="L57" s="878"/>
      <c r="M57" s="879"/>
      <c r="N57" s="880"/>
      <c r="O57" s="880"/>
      <c r="P57" s="881"/>
      <c r="Q57" s="911"/>
    </row>
    <row r="58" spans="1:17" s="572" customFormat="1">
      <c r="A58" s="828"/>
      <c r="B58" s="823"/>
      <c r="C58" s="831"/>
      <c r="D58" s="820"/>
      <c r="E58" s="820"/>
      <c r="F58" s="820"/>
      <c r="G58" s="820"/>
      <c r="H58" s="820"/>
      <c r="I58" s="820"/>
      <c r="J58" s="820"/>
      <c r="K58" s="820"/>
      <c r="L58" s="820"/>
      <c r="M58" s="869"/>
      <c r="N58" s="870"/>
      <c r="O58" s="870"/>
      <c r="P58" s="881"/>
      <c r="Q58" s="911"/>
    </row>
    <row r="59" spans="1:17" s="572" customFormat="1">
      <c r="A59" s="828"/>
      <c r="B59" s="821">
        <f>B13</f>
        <v>111</v>
      </c>
      <c r="C59" s="617"/>
      <c r="D59" s="617"/>
      <c r="E59" s="617"/>
      <c r="F59" s="617"/>
      <c r="G59" s="829"/>
      <c r="H59" s="830"/>
      <c r="I59" s="830"/>
      <c r="J59" s="830"/>
      <c r="K59" s="830"/>
      <c r="L59" s="878"/>
      <c r="M59" s="879"/>
      <c r="N59" s="880"/>
      <c r="O59" s="880"/>
      <c r="P59" s="882"/>
      <c r="Q59" s="912"/>
    </row>
    <row r="60" spans="1:17" s="572" customFormat="1">
      <c r="A60" s="828"/>
      <c r="B60" s="823"/>
      <c r="C60" s="831"/>
      <c r="D60" s="831"/>
      <c r="E60" s="831"/>
      <c r="F60" s="831"/>
      <c r="G60" s="831"/>
      <c r="H60" s="832"/>
      <c r="I60" s="832"/>
      <c r="J60" s="832"/>
      <c r="K60" s="832"/>
      <c r="L60" s="832"/>
      <c r="M60" s="883"/>
      <c r="N60" s="880"/>
      <c r="O60" s="880"/>
      <c r="P60" s="881"/>
      <c r="Q60" s="911"/>
    </row>
    <row r="61" spans="1:17" ht="14.4">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8.8">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4.4">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4.4">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4.4">
      <c r="A69" s="818"/>
      <c r="B69" s="821" t="s">
        <v>1653</v>
      </c>
      <c r="C69" s="829"/>
      <c r="D69" s="829"/>
      <c r="E69" s="829"/>
      <c r="F69" s="829"/>
      <c r="G69" s="829"/>
      <c r="H69" s="846"/>
      <c r="I69" s="846"/>
      <c r="J69" s="846"/>
      <c r="K69" s="898"/>
      <c r="L69" s="899"/>
      <c r="M69" s="900"/>
      <c r="N69" s="867"/>
      <c r="O69" s="867"/>
      <c r="P69" s="868"/>
      <c r="Q69" s="790"/>
    </row>
    <row r="70" spans="1:17">
      <c r="A70" s="818"/>
      <c r="B70" s="823"/>
      <c r="C70" s="824">
        <v>100</v>
      </c>
      <c r="D70" s="824">
        <f>C70-$K22</f>
        <v>100</v>
      </c>
      <c r="E70" s="824"/>
      <c r="F70" s="824"/>
      <c r="G70" s="824"/>
      <c r="H70" s="824"/>
      <c r="I70" s="824"/>
      <c r="J70" s="824"/>
      <c r="K70" s="824"/>
      <c r="L70" s="824"/>
      <c r="M70" s="874"/>
      <c r="N70" s="870"/>
      <c r="O70" s="870"/>
      <c r="P70" s="868"/>
      <c r="Q70" s="790"/>
    </row>
    <row r="71" spans="1:17" s="570" customFormat="1">
      <c r="A71" s="841"/>
      <c r="B71" s="821">
        <f>B23</f>
        <v>111</v>
      </c>
      <c r="C71" s="617"/>
      <c r="D71" s="617"/>
      <c r="E71" s="617"/>
      <c r="F71" s="617"/>
      <c r="G71" s="829"/>
      <c r="H71" s="829"/>
      <c r="I71" s="829"/>
      <c r="J71" s="829"/>
      <c r="K71" s="829"/>
      <c r="L71" s="1016"/>
      <c r="M71" s="1017"/>
      <c r="N71" s="861"/>
      <c r="O71" s="861"/>
      <c r="P71" s="868"/>
      <c r="Q71" s="790"/>
    </row>
    <row r="72" spans="1:17" s="570" customFormat="1">
      <c r="A72" s="841"/>
      <c r="B72" s="823"/>
      <c r="C72" s="831"/>
      <c r="D72" s="820"/>
      <c r="E72" s="820"/>
      <c r="F72" s="820"/>
      <c r="G72" s="820"/>
      <c r="H72" s="820"/>
      <c r="I72" s="820"/>
      <c r="J72" s="820"/>
      <c r="K72" s="820"/>
      <c r="L72" s="820"/>
      <c r="M72" s="869"/>
      <c r="N72" s="870"/>
      <c r="O72" s="870"/>
      <c r="P72" s="868"/>
      <c r="Q72" s="790"/>
    </row>
    <row r="73" spans="1:17" s="570" customFormat="1">
      <c r="A73" s="841"/>
      <c r="B73" s="821">
        <f>B24</f>
        <v>111</v>
      </c>
      <c r="C73" s="617"/>
      <c r="D73" s="617"/>
      <c r="E73" s="617"/>
      <c r="F73" s="617"/>
      <c r="G73" s="829"/>
      <c r="H73" s="829"/>
      <c r="I73" s="829"/>
      <c r="J73" s="829"/>
      <c r="K73" s="829"/>
      <c r="L73" s="829"/>
      <c r="M73" s="1017"/>
      <c r="N73" s="861"/>
      <c r="O73" s="861"/>
      <c r="P73" s="868"/>
      <c r="Q73" s="790"/>
    </row>
    <row r="74" spans="1:17" s="570" customFormat="1">
      <c r="A74" s="841"/>
      <c r="B74" s="823"/>
      <c r="C74" s="831"/>
      <c r="D74" s="820"/>
      <c r="E74" s="820"/>
      <c r="F74" s="820"/>
      <c r="G74" s="820"/>
      <c r="H74" s="820"/>
      <c r="I74" s="820"/>
      <c r="J74" s="820"/>
      <c r="K74" s="820"/>
      <c r="L74" s="820"/>
      <c r="M74" s="869"/>
      <c r="N74" s="870"/>
      <c r="O74" s="870"/>
      <c r="P74" s="868"/>
      <c r="Q74" s="790"/>
    </row>
    <row r="75" spans="1:17" s="572" customFormat="1">
      <c r="A75" s="828"/>
      <c r="B75" s="821">
        <f>B25</f>
        <v>111</v>
      </c>
      <c r="C75" s="617"/>
      <c r="D75" s="617"/>
      <c r="E75" s="617"/>
      <c r="F75" s="617"/>
      <c r="G75" s="829"/>
      <c r="H75" s="830"/>
      <c r="I75" s="830"/>
      <c r="J75" s="830"/>
      <c r="K75" s="830"/>
      <c r="L75" s="878"/>
      <c r="M75" s="879"/>
      <c r="N75" s="880"/>
      <c r="O75" s="880"/>
      <c r="P75" s="881"/>
      <c r="Q75" s="911"/>
    </row>
    <row r="76" spans="1:17" s="572" customFormat="1">
      <c r="A76" s="828"/>
      <c r="B76" s="823"/>
      <c r="C76" s="831"/>
      <c r="D76" s="831"/>
      <c r="E76" s="831"/>
      <c r="F76" s="831"/>
      <c r="G76" s="820"/>
      <c r="H76" s="820"/>
      <c r="I76" s="820"/>
      <c r="J76" s="820"/>
      <c r="K76" s="820"/>
      <c r="L76" s="820"/>
      <c r="M76" s="869"/>
      <c r="N76" s="880"/>
      <c r="O76" s="880"/>
      <c r="P76" s="881"/>
      <c r="Q76" s="911"/>
    </row>
    <row r="77" spans="1:17" ht="14.4">
      <c r="A77" s="816" t="s">
        <v>1591</v>
      </c>
      <c r="B77" s="817" t="s">
        <v>1597</v>
      </c>
      <c r="C77" s="829"/>
      <c r="D77" s="829"/>
      <c r="E77" s="759"/>
      <c r="F77" s="759"/>
      <c r="G77" s="759"/>
      <c r="H77" s="759"/>
      <c r="I77" s="759"/>
      <c r="J77" s="759"/>
      <c r="K77" s="864"/>
      <c r="L77" s="865"/>
      <c r="M77" s="866"/>
      <c r="N77" s="867"/>
      <c r="O77" s="867"/>
      <c r="P77" s="868"/>
      <c r="Q77" s="790"/>
    </row>
    <row r="78" spans="1:17">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4.4">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ht="14.4">
      <c r="A82" s="852"/>
      <c r="B82" s="825" t="s">
        <v>1692</v>
      </c>
      <c r="C82" s="829"/>
      <c r="D82" s="829"/>
      <c r="E82" s="846"/>
      <c r="F82" s="846"/>
      <c r="G82" s="846"/>
      <c r="H82" s="846"/>
      <c r="I82" s="846"/>
      <c r="J82" s="846"/>
      <c r="K82" s="898"/>
      <c r="L82" s="899"/>
      <c r="M82" s="900"/>
      <c r="N82" s="867"/>
      <c r="O82" s="867"/>
      <c r="P82" s="868"/>
      <c r="Q82" s="790"/>
    </row>
    <row r="83" spans="1:17">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ht="14.4">
      <c r="A84" s="852"/>
      <c r="B84" s="821" t="s">
        <v>1700</v>
      </c>
      <c r="C84" s="829"/>
      <c r="D84" s="829"/>
      <c r="E84" s="829"/>
      <c r="F84" s="829"/>
      <c r="G84" s="829"/>
      <c r="H84" s="829"/>
      <c r="I84" s="846"/>
      <c r="J84" s="846"/>
      <c r="K84" s="898"/>
      <c r="L84" s="899"/>
      <c r="M84" s="900"/>
      <c r="N84" s="867"/>
      <c r="O84" s="867"/>
      <c r="P84" s="868"/>
      <c r="Q84" s="790"/>
    </row>
    <row r="85" spans="1:17">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ht="14.4">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c r="A88" s="818"/>
      <c r="B88" s="823"/>
      <c r="C88" s="831"/>
      <c r="D88" s="820"/>
      <c r="E88" s="820"/>
      <c r="F88" s="820"/>
      <c r="G88" s="820"/>
      <c r="H88" s="820"/>
      <c r="I88" s="820"/>
      <c r="J88" s="820"/>
      <c r="K88" s="820"/>
      <c r="L88" s="820"/>
      <c r="M88" s="820"/>
      <c r="N88" s="870"/>
      <c r="O88" s="870"/>
      <c r="P88" s="868"/>
      <c r="Q88" s="790"/>
    </row>
    <row r="89" spans="1:17" s="572" customFormat="1" ht="14.4">
      <c r="A89" s="849"/>
      <c r="B89" s="821" t="s">
        <v>1701</v>
      </c>
      <c r="C89" s="829"/>
      <c r="D89" s="829"/>
      <c r="E89" s="829"/>
      <c r="F89" s="829"/>
      <c r="G89" s="829"/>
      <c r="H89" s="829"/>
      <c r="I89" s="829"/>
      <c r="J89" s="829"/>
      <c r="K89" s="829"/>
      <c r="L89" s="829"/>
      <c r="M89" s="1017"/>
      <c r="N89" s="880"/>
      <c r="O89" s="880"/>
      <c r="P89" s="881"/>
      <c r="Q89" s="911"/>
    </row>
    <row r="90" spans="1:17" s="572" customFormat="1">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576" customWidth="1"/>
    <col min="2" max="2" width="15.77734375" style="576" customWidth="1"/>
    <col min="3" max="3" width="14.33203125" style="576" customWidth="1"/>
    <col min="4" max="4" width="14.1093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576"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30">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30" ht="14.4">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30" s="570" customFormat="1" ht="14.4">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30" s="570" customFormat="1" ht="14.4">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5" si="3">D8/F8</f>
        <v>#DIV/0!</v>
      </c>
      <c r="AB8" s="794" t="e">
        <f t="shared" ref="AB8:AB45" si="4">D8/H8</f>
        <v>#DIV/0!</v>
      </c>
      <c r="AC8" s="794" t="e">
        <f t="shared" ref="AC8:AC45" si="5">D8/J8</f>
        <v>#DIV/0!</v>
      </c>
    </row>
    <row r="9" spans="1:30" s="570" customFormat="1" ht="14.4">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30" s="571" customFormat="1" ht="28.8">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3"/>
      <c r="Q12" s="784" t="str">
        <f t="shared" si="6"/>
        <v>配建</v>
      </c>
      <c r="R12" s="780" t="s">
        <v>1578</v>
      </c>
      <c r="S12" s="781">
        <f t="shared" si="0"/>
        <v>100</v>
      </c>
      <c r="T12" s="780" t="s">
        <v>1578</v>
      </c>
      <c r="U12" s="781">
        <f t="shared" si="1"/>
        <v>100</v>
      </c>
      <c r="V12" s="780" t="s">
        <v>1578</v>
      </c>
      <c r="W12" s="781">
        <f t="shared" si="2"/>
        <v>100</v>
      </c>
      <c r="X12" s="782"/>
      <c r="Y12" s="3013"/>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30" ht="96.6">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6"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82.8">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7"/>
      <c r="Q17" s="709" t="str">
        <f>B17</f>
        <v>商业繁华度</v>
      </c>
      <c r="R17" s="785" t="s">
        <v>1578</v>
      </c>
      <c r="S17" s="786">
        <f>F17</f>
        <v>100</v>
      </c>
      <c r="T17" s="785" t="s">
        <v>1578</v>
      </c>
      <c r="U17" s="786">
        <f>H17</f>
        <v>100</v>
      </c>
      <c r="V17" s="785" t="s">
        <v>1578</v>
      </c>
      <c r="W17" s="786">
        <f>J17</f>
        <v>100</v>
      </c>
      <c r="X17" s="779"/>
      <c r="Y17" s="3237"/>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82.8">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7"/>
      <c r="Q19" s="709" t="str">
        <f>B19</f>
        <v>办公集聚程度</v>
      </c>
      <c r="R19" s="785" t="s">
        <v>1578</v>
      </c>
      <c r="S19" s="786">
        <f>F19</f>
        <v>100</v>
      </c>
      <c r="T19" s="785" t="s">
        <v>1578</v>
      </c>
      <c r="U19" s="786">
        <f>H19</f>
        <v>100</v>
      </c>
      <c r="V19" s="785" t="s">
        <v>1578</v>
      </c>
      <c r="W19" s="786">
        <f>J19</f>
        <v>100</v>
      </c>
      <c r="X19" s="779"/>
      <c r="Y19" s="3237"/>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7"/>
      <c r="Q20" s="709"/>
      <c r="R20" s="785"/>
      <c r="S20" s="786"/>
      <c r="T20" s="785"/>
      <c r="U20" s="786"/>
      <c r="V20" s="785"/>
      <c r="W20" s="786"/>
      <c r="X20" s="779"/>
      <c r="Y20" s="3237"/>
      <c r="Z20" s="770"/>
      <c r="AA20" s="796">
        <v>1</v>
      </c>
      <c r="AB20" s="796">
        <v>1</v>
      </c>
      <c r="AC20" s="796">
        <v>1</v>
      </c>
    </row>
    <row r="21" spans="1:29" ht="96.6">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7"/>
      <c r="Q21" s="709" t="str">
        <f>B21</f>
        <v>交通便捷度</v>
      </c>
      <c r="R21" s="785" t="s">
        <v>1578</v>
      </c>
      <c r="S21" s="786">
        <f>F21</f>
        <v>100</v>
      </c>
      <c r="T21" s="785" t="s">
        <v>1578</v>
      </c>
      <c r="U21" s="786">
        <f>H21</f>
        <v>100</v>
      </c>
      <c r="V21" s="785" t="s">
        <v>1578</v>
      </c>
      <c r="W21" s="786">
        <f>J21</f>
        <v>100</v>
      </c>
      <c r="X21" s="779"/>
      <c r="Y21" s="3237"/>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ht="28.8">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7"/>
      <c r="Q23" s="709" t="str">
        <f t="shared" ref="Q23:Q38" si="8">B23</f>
        <v>区域土地利用方向</v>
      </c>
      <c r="R23" s="785" t="s">
        <v>1578</v>
      </c>
      <c r="S23" s="786">
        <f>F23</f>
        <v>100</v>
      </c>
      <c r="T23" s="785" t="s">
        <v>1578</v>
      </c>
      <c r="U23" s="786">
        <f>H23</f>
        <v>100</v>
      </c>
      <c r="V23" s="785" t="s">
        <v>1578</v>
      </c>
      <c r="W23" s="786">
        <f>J23</f>
        <v>100</v>
      </c>
      <c r="X23" s="779"/>
      <c r="Y23" s="3237"/>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7"/>
      <c r="Q24" s="709"/>
      <c r="R24" s="785"/>
      <c r="S24" s="786"/>
      <c r="T24" s="785"/>
      <c r="U24" s="786"/>
      <c r="V24" s="785"/>
      <c r="W24" s="786"/>
      <c r="X24" s="779"/>
      <c r="Y24" s="3237"/>
      <c r="Z24" s="770"/>
      <c r="AA24" s="796"/>
      <c r="AB24" s="796"/>
      <c r="AC24" s="796"/>
    </row>
    <row r="25" spans="1:29" ht="55.2">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7"/>
      <c r="Q25" s="709" t="str">
        <f t="shared" si="8"/>
        <v>自然及人文环境状况</v>
      </c>
      <c r="R25" s="785" t="s">
        <v>1578</v>
      </c>
      <c r="S25" s="786">
        <f>F25</f>
        <v>100</v>
      </c>
      <c r="T25" s="785" t="s">
        <v>1578</v>
      </c>
      <c r="U25" s="786">
        <f>H25</f>
        <v>100</v>
      </c>
      <c r="V25" s="785" t="s">
        <v>1578</v>
      </c>
      <c r="W25" s="786">
        <f>J25</f>
        <v>100</v>
      </c>
      <c r="X25" s="779"/>
      <c r="Y25" s="3237"/>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7"/>
      <c r="Q26" s="709"/>
      <c r="R26" s="785"/>
      <c r="S26" s="786"/>
      <c r="T26" s="785"/>
      <c r="U26" s="786"/>
      <c r="V26" s="785"/>
      <c r="W26" s="786"/>
      <c r="X26" s="779"/>
      <c r="Y26" s="3237"/>
      <c r="Z26" s="770"/>
      <c r="AA26" s="796">
        <v>1</v>
      </c>
      <c r="AB26" s="796">
        <v>1</v>
      </c>
      <c r="AC26" s="796">
        <v>1</v>
      </c>
    </row>
    <row r="27" spans="1:29" s="570" customFormat="1" ht="41.4">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7"/>
      <c r="Q27" s="784" t="str">
        <f t="shared" si="8"/>
        <v>公共配套设施</v>
      </c>
      <c r="R27" s="780" t="s">
        <v>1578</v>
      </c>
      <c r="S27" s="781">
        <f>F27</f>
        <v>100</v>
      </c>
      <c r="T27" s="780" t="s">
        <v>1578</v>
      </c>
      <c r="U27" s="781">
        <f>H27</f>
        <v>100</v>
      </c>
      <c r="V27" s="780" t="s">
        <v>1578</v>
      </c>
      <c r="W27" s="781">
        <f>J27</f>
        <v>100</v>
      </c>
      <c r="X27" s="782"/>
      <c r="Y27" s="3237"/>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7"/>
      <c r="Q28" s="784"/>
      <c r="R28" s="780"/>
      <c r="S28" s="781"/>
      <c r="T28" s="780"/>
      <c r="U28" s="781"/>
      <c r="V28" s="780"/>
      <c r="W28" s="781"/>
      <c r="X28" s="782"/>
      <c r="Y28" s="3237"/>
      <c r="Z28" s="795"/>
      <c r="AA28" s="796">
        <v>1</v>
      </c>
      <c r="AB28" s="796">
        <v>1</v>
      </c>
      <c r="AC28" s="796">
        <v>1</v>
      </c>
    </row>
    <row r="29" spans="1:29" s="570" customFormat="1" ht="41.4">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7"/>
      <c r="Q29" s="784" t="str">
        <f t="shared" ref="Q29" si="9">B29</f>
        <v>基础设施水平</v>
      </c>
      <c r="R29" s="780" t="s">
        <v>1578</v>
      </c>
      <c r="S29" s="781">
        <f>F29</f>
        <v>100</v>
      </c>
      <c r="T29" s="780" t="s">
        <v>1578</v>
      </c>
      <c r="U29" s="781">
        <f>H29</f>
        <v>100</v>
      </c>
      <c r="V29" s="780" t="s">
        <v>1578</v>
      </c>
      <c r="W29" s="781">
        <f>J29</f>
        <v>100</v>
      </c>
      <c r="X29" s="782"/>
      <c r="Y29" s="3237"/>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7"/>
      <c r="Q30" s="784"/>
      <c r="R30" s="780"/>
      <c r="S30" s="781"/>
      <c r="T30" s="780"/>
      <c r="U30" s="781"/>
      <c r="V30" s="780"/>
      <c r="W30" s="781"/>
      <c r="X30" s="782"/>
      <c r="Y30" s="3237"/>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7"/>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7"/>
      <c r="Z31" s="770" t="str">
        <f t="shared" ref="Z31:Z45" si="13">Q31</f>
        <v>临街状况</v>
      </c>
      <c r="AA31" s="796">
        <f t="shared" si="3"/>
        <v>1</v>
      </c>
      <c r="AB31" s="796">
        <f t="shared" si="4"/>
        <v>1</v>
      </c>
      <c r="AC31" s="796">
        <f t="shared" si="5"/>
        <v>1</v>
      </c>
    </row>
    <row r="32" spans="1:29" ht="28.8">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7"/>
      <c r="Q32" s="709" t="str">
        <f t="shared" si="8"/>
        <v>毗邻道路的类型与等级</v>
      </c>
      <c r="R32" s="785" t="s">
        <v>1578</v>
      </c>
      <c r="S32" s="786">
        <f t="shared" si="10"/>
        <v>100</v>
      </c>
      <c r="T32" s="785" t="s">
        <v>1578</v>
      </c>
      <c r="U32" s="786">
        <f t="shared" si="11"/>
        <v>100</v>
      </c>
      <c r="V32" s="785" t="s">
        <v>1578</v>
      </c>
      <c r="W32" s="786">
        <f t="shared" si="12"/>
        <v>100</v>
      </c>
      <c r="X32" s="779"/>
      <c r="Y32" s="3237"/>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7"/>
      <c r="Q33" s="709"/>
      <c r="R33" s="785"/>
      <c r="S33" s="786"/>
      <c r="T33" s="785"/>
      <c r="U33" s="786"/>
      <c r="V33" s="785"/>
      <c r="W33" s="786"/>
      <c r="X33" s="779"/>
      <c r="Y33" s="3237"/>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7"/>
      <c r="Q34" s="709" t="str">
        <f t="shared" si="8"/>
        <v>土地级别</v>
      </c>
      <c r="R34" s="785" t="s">
        <v>1578</v>
      </c>
      <c r="S34" s="786">
        <f t="shared" si="10"/>
        <v>100</v>
      </c>
      <c r="T34" s="785" t="s">
        <v>1578</v>
      </c>
      <c r="U34" s="786">
        <f t="shared" si="11"/>
        <v>100</v>
      </c>
      <c r="V34" s="785" t="s">
        <v>1578</v>
      </c>
      <c r="W34" s="786">
        <f t="shared" si="12"/>
        <v>100</v>
      </c>
      <c r="X34" s="779"/>
      <c r="Y34" s="3237"/>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7"/>
      <c r="Q35" s="709">
        <f t="shared" si="8"/>
        <v>111</v>
      </c>
      <c r="R35" s="785" t="s">
        <v>1578</v>
      </c>
      <c r="S35" s="786">
        <f t="shared" si="10"/>
        <v>100</v>
      </c>
      <c r="T35" s="785" t="s">
        <v>1578</v>
      </c>
      <c r="U35" s="786">
        <f t="shared" si="11"/>
        <v>100</v>
      </c>
      <c r="V35" s="785" t="s">
        <v>1578</v>
      </c>
      <c r="W35" s="786">
        <f t="shared" si="12"/>
        <v>100</v>
      </c>
      <c r="X35" s="779"/>
      <c r="Y35" s="3237"/>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8"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8"/>
      <c r="Q37" s="709">
        <f t="shared" si="8"/>
        <v>111</v>
      </c>
      <c r="R37" s="787" t="s">
        <v>1578</v>
      </c>
      <c r="S37" s="788">
        <f t="shared" si="10"/>
        <v>100</v>
      </c>
      <c r="T37" s="787" t="s">
        <v>1578</v>
      </c>
      <c r="U37" s="788">
        <f t="shared" si="11"/>
        <v>100</v>
      </c>
      <c r="V37" s="787" t="s">
        <v>1578</v>
      </c>
      <c r="W37" s="788">
        <f t="shared" si="12"/>
        <v>100</v>
      </c>
      <c r="X37" s="789"/>
      <c r="Y37" s="3238"/>
      <c r="Z37" s="797">
        <f t="shared" si="13"/>
        <v>111</v>
      </c>
      <c r="AA37" s="796">
        <f t="shared" si="3"/>
        <v>1</v>
      </c>
      <c r="AB37" s="796">
        <f t="shared" si="4"/>
        <v>1</v>
      </c>
      <c r="AC37" s="796">
        <f t="shared" si="5"/>
        <v>1</v>
      </c>
    </row>
    <row r="38" spans="1:29" ht="15.6">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8"/>
      <c r="Q38" s="709" t="str">
        <f t="shared" si="8"/>
        <v>宗地面积</v>
      </c>
      <c r="R38" s="785" t="s">
        <v>1578</v>
      </c>
      <c r="S38" s="786" t="e">
        <f t="shared" si="10"/>
        <v>#N/A</v>
      </c>
      <c r="T38" s="785" t="s">
        <v>1578</v>
      </c>
      <c r="U38" s="786" t="e">
        <f t="shared" si="11"/>
        <v>#N/A</v>
      </c>
      <c r="V38" s="785" t="s">
        <v>1578</v>
      </c>
      <c r="W38" s="786" t="e">
        <f t="shared" si="12"/>
        <v>#N/A</v>
      </c>
      <c r="X38" s="779"/>
      <c r="Y38" s="3238"/>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8"/>
      <c r="Q39" s="709" t="str">
        <f t="shared" ref="Q39:Q45" si="14">B39</f>
        <v>宗地形状</v>
      </c>
      <c r="R39" s="785" t="s">
        <v>1578</v>
      </c>
      <c r="S39" s="786">
        <f t="shared" si="10"/>
        <v>100</v>
      </c>
      <c r="T39" s="785" t="s">
        <v>1578</v>
      </c>
      <c r="U39" s="786">
        <f t="shared" si="11"/>
        <v>100</v>
      </c>
      <c r="V39" s="785" t="s">
        <v>1578</v>
      </c>
      <c r="W39" s="786">
        <f t="shared" si="12"/>
        <v>100</v>
      </c>
      <c r="X39" s="779"/>
      <c r="Y39" s="3238"/>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8"/>
      <c r="Q40" s="709" t="str">
        <f t="shared" si="14"/>
        <v>临街宽度及深度</v>
      </c>
      <c r="R40" s="785" t="s">
        <v>1578</v>
      </c>
      <c r="S40" s="786">
        <f t="shared" si="10"/>
        <v>100</v>
      </c>
      <c r="T40" s="785" t="s">
        <v>1578</v>
      </c>
      <c r="U40" s="786">
        <f t="shared" si="11"/>
        <v>100</v>
      </c>
      <c r="V40" s="785" t="s">
        <v>1578</v>
      </c>
      <c r="W40" s="786">
        <f t="shared" si="12"/>
        <v>100</v>
      </c>
      <c r="X40" s="779"/>
      <c r="Y40" s="3238"/>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8"/>
      <c r="Q41" s="709" t="str">
        <f t="shared" si="14"/>
        <v>宗地开发程度</v>
      </c>
      <c r="R41" s="780" t="s">
        <v>1578</v>
      </c>
      <c r="S41" s="781">
        <f t="shared" si="10"/>
        <v>100</v>
      </c>
      <c r="T41" s="780" t="s">
        <v>1578</v>
      </c>
      <c r="U41" s="781">
        <f t="shared" si="11"/>
        <v>100</v>
      </c>
      <c r="V41" s="780" t="s">
        <v>1578</v>
      </c>
      <c r="W41" s="781">
        <f t="shared" si="12"/>
        <v>100</v>
      </c>
      <c r="X41" s="782"/>
      <c r="Y41" s="3238"/>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8" t="s">
        <v>1593</v>
      </c>
      <c r="Q42" s="709" t="str">
        <f t="shared" si="14"/>
        <v>工程地质条件</v>
      </c>
      <c r="R42" s="785" t="s">
        <v>1578</v>
      </c>
      <c r="S42" s="786">
        <f t="shared" si="10"/>
        <v>100</v>
      </c>
      <c r="T42" s="785" t="s">
        <v>1578</v>
      </c>
      <c r="U42" s="786">
        <f t="shared" si="11"/>
        <v>100</v>
      </c>
      <c r="V42" s="785" t="s">
        <v>1578</v>
      </c>
      <c r="W42" s="786">
        <f t="shared" si="12"/>
        <v>100</v>
      </c>
      <c r="X42" s="779"/>
      <c r="Y42" s="3238"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8"/>
      <c r="Q43" s="709">
        <f t="shared" si="14"/>
        <v>111</v>
      </c>
      <c r="R43" s="785" t="s">
        <v>1578</v>
      </c>
      <c r="S43" s="786">
        <f t="shared" si="10"/>
        <v>100</v>
      </c>
      <c r="T43" s="785" t="s">
        <v>1578</v>
      </c>
      <c r="U43" s="786">
        <f t="shared" si="11"/>
        <v>100</v>
      </c>
      <c r="V43" s="785" t="s">
        <v>1578</v>
      </c>
      <c r="W43" s="786">
        <f t="shared" si="12"/>
        <v>100</v>
      </c>
      <c r="X43" s="779"/>
      <c r="Y43" s="3238"/>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8"/>
      <c r="Q44" s="709">
        <f t="shared" si="14"/>
        <v>111</v>
      </c>
      <c r="R44" s="785" t="s">
        <v>1578</v>
      </c>
      <c r="S44" s="786">
        <f t="shared" si="10"/>
        <v>100</v>
      </c>
      <c r="T44" s="785" t="s">
        <v>1578</v>
      </c>
      <c r="U44" s="786">
        <f t="shared" si="11"/>
        <v>100</v>
      </c>
      <c r="V44" s="785" t="s">
        <v>1578</v>
      </c>
      <c r="W44" s="786">
        <f t="shared" si="12"/>
        <v>100</v>
      </c>
      <c r="X44" s="779"/>
      <c r="Y44" s="3238"/>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8"/>
      <c r="Q45" s="709">
        <f t="shared" si="14"/>
        <v>111</v>
      </c>
      <c r="R45" s="787" t="s">
        <v>1578</v>
      </c>
      <c r="S45" s="788">
        <f t="shared" si="10"/>
        <v>100</v>
      </c>
      <c r="T45" s="787" t="s">
        <v>1578</v>
      </c>
      <c r="U45" s="788">
        <f t="shared" si="11"/>
        <v>100</v>
      </c>
      <c r="V45" s="787" t="s">
        <v>1578</v>
      </c>
      <c r="W45" s="788">
        <f t="shared" si="12"/>
        <v>100</v>
      </c>
      <c r="X45" s="789"/>
      <c r="Y45" s="3238"/>
      <c r="Z45" s="797">
        <f t="shared" si="13"/>
        <v>111</v>
      </c>
      <c r="AA45" s="796">
        <f t="shared" si="3"/>
        <v>1</v>
      </c>
      <c r="AB45" s="796">
        <f t="shared" si="4"/>
        <v>1</v>
      </c>
      <c r="AC45" s="796">
        <f t="shared" si="5"/>
        <v>1</v>
      </c>
    </row>
    <row r="46" spans="1:29" ht="14.4">
      <c r="A46" s="669" t="s">
        <v>1696</v>
      </c>
      <c r="B46" s="670" t="s">
        <v>1711</v>
      </c>
      <c r="C46" s="671" t="s">
        <v>124</v>
      </c>
      <c r="D46" s="672"/>
      <c r="E46" s="673"/>
      <c r="F46" s="674"/>
      <c r="G46" s="675"/>
      <c r="H46" s="676"/>
      <c r="I46" s="673"/>
      <c r="J46" s="676"/>
      <c r="K46" s="761"/>
      <c r="L46" s="762"/>
      <c r="M46" s="686"/>
      <c r="N46" s="738"/>
      <c r="O46" s="686"/>
      <c r="P46" s="3223" t="str">
        <f>A46</f>
        <v>成交单价</v>
      </c>
      <c r="Q46" s="3223"/>
      <c r="R46" s="3222">
        <f>E46</f>
        <v>0</v>
      </c>
      <c r="S46" s="3222"/>
      <c r="T46" s="3222">
        <f>G46</f>
        <v>0</v>
      </c>
      <c r="U46" s="3222"/>
      <c r="V46" s="3222">
        <f>I46</f>
        <v>0</v>
      </c>
      <c r="W46" s="3222"/>
      <c r="X46" s="726"/>
      <c r="Y46" s="798"/>
      <c r="Z46" s="726"/>
      <c r="AA46" s="726"/>
      <c r="AB46" s="726"/>
      <c r="AC46" s="726"/>
    </row>
    <row r="47" spans="1:29" ht="14.4">
      <c r="A47" s="677" t="s">
        <v>1605</v>
      </c>
      <c r="B47" s="678"/>
      <c r="C47" s="679" t="e">
        <f>R48</f>
        <v>#DIV/0!</v>
      </c>
      <c r="D47" s="680"/>
      <c r="E47" s="679" t="e">
        <f>R47</f>
        <v>#DIV/0!</v>
      </c>
      <c r="F47" s="681"/>
      <c r="G47" s="682" t="e">
        <f>T47</f>
        <v>#DIV/0!</v>
      </c>
      <c r="H47" s="680"/>
      <c r="I47" s="679" t="e">
        <f>V47</f>
        <v>#DIV/0!</v>
      </c>
      <c r="J47" s="680"/>
      <c r="K47" s="763"/>
      <c r="L47" s="762"/>
      <c r="M47" s="686"/>
      <c r="N47" s="686"/>
      <c r="O47" s="686"/>
      <c r="P47" s="3223" t="str">
        <f>A47</f>
        <v>比较价值（元/平方米）</v>
      </c>
      <c r="Q47" s="3223"/>
      <c r="R47" s="3273" t="e">
        <f>ROUND(PRODUCT(R46,AA7:AA45),0)</f>
        <v>#DIV/0!</v>
      </c>
      <c r="S47" s="3273"/>
      <c r="T47" s="3273" t="e">
        <f>ROUND(PRODUCT(T46,AB7:AB45),0)</f>
        <v>#DIV/0!</v>
      </c>
      <c r="U47" s="3273"/>
      <c r="V47" s="3273" t="e">
        <f>ROUND(PRODUCT(V46,AC7:AC45),0)</f>
        <v>#DIV/0!</v>
      </c>
      <c r="W47" s="3273"/>
      <c r="X47" s="726"/>
      <c r="Y47" s="726"/>
      <c r="Z47" s="726"/>
      <c r="AA47" s="726"/>
      <c r="AB47" s="726"/>
      <c r="AC47" s="726"/>
    </row>
    <row r="48" spans="1:29" ht="14.4">
      <c r="A48" s="683" t="s">
        <v>1712</v>
      </c>
      <c r="B48" s="684"/>
      <c r="C48" s="685" t="e">
        <f>R48</f>
        <v>#DIV/0!</v>
      </c>
      <c r="D48" s="685"/>
      <c r="E48" s="685"/>
      <c r="F48" s="685"/>
      <c r="G48" s="685"/>
      <c r="H48" s="685"/>
      <c r="I48" s="685"/>
      <c r="J48" s="685"/>
      <c r="K48" s="764"/>
      <c r="L48" s="762"/>
      <c r="M48" s="686"/>
      <c r="N48" s="686"/>
      <c r="O48" s="686"/>
      <c r="P48" s="3225" t="str">
        <f>A48</f>
        <v>估价对象XX用房的比较价值（楼面单价，元/平方米）</v>
      </c>
      <c r="Q48" s="3226"/>
      <c r="R48" s="3274" t="e">
        <f>ROUND(AVERAGE(R47:V47),0)</f>
        <v>#DIV/0!</v>
      </c>
      <c r="S48" s="3274"/>
      <c r="T48" s="3274"/>
      <c r="U48" s="3274"/>
      <c r="V48" s="3274"/>
      <c r="W48" s="3274"/>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45" t="s">
        <v>1719</v>
      </c>
      <c r="H55" s="3271"/>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30"/>
      <c r="H56" s="3223"/>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2"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2"/>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2"/>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2"/>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3.2">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6">
      <c r="A69" s="725" t="s">
        <v>1610</v>
      </c>
      <c r="B69" s="726"/>
      <c r="C69" s="727"/>
      <c r="D69" s="727"/>
      <c r="E69" s="727"/>
      <c r="F69" s="728"/>
      <c r="G69" s="728"/>
      <c r="H69" s="727"/>
      <c r="I69" s="727"/>
      <c r="J69" s="777"/>
      <c r="K69" s="942"/>
      <c r="L69" s="943"/>
      <c r="M69" s="777"/>
      <c r="N69" s="777"/>
      <c r="O69" s="777"/>
      <c r="P69" s="778"/>
      <c r="Q69" s="790"/>
    </row>
    <row r="70" spans="1:17" s="575" customFormat="1" ht="14.4">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北京市平均增长率2.16%</v>
      </c>
      <c r="C71" s="804">
        <v>100</v>
      </c>
      <c r="D71" s="805"/>
      <c r="E71" s="805"/>
      <c r="F71" s="805"/>
      <c r="G71" s="805"/>
      <c r="H71" s="805"/>
      <c r="I71" s="805"/>
      <c r="J71" s="805"/>
      <c r="K71" s="805"/>
      <c r="L71" s="805"/>
      <c r="M71" s="855"/>
      <c r="N71" s="805"/>
      <c r="O71" s="944"/>
      <c r="P71" s="790"/>
    </row>
    <row r="72" spans="1:17" s="570" customFormat="1" ht="14.4">
      <c r="A72" s="806" t="s">
        <v>1611</v>
      </c>
      <c r="B72" s="807"/>
      <c r="C72" s="808"/>
      <c r="D72" s="809"/>
      <c r="E72" s="809"/>
      <c r="F72" s="809"/>
      <c r="G72" s="809"/>
      <c r="H72" s="809"/>
      <c r="I72" s="809"/>
      <c r="J72" s="809"/>
      <c r="K72" s="809"/>
      <c r="L72" s="809"/>
      <c r="M72" s="857"/>
      <c r="N72" s="809"/>
      <c r="O72" s="945"/>
      <c r="P72" s="790"/>
      <c r="Q72" s="790"/>
    </row>
    <row r="73" spans="1:17" s="570" customFormat="1" ht="14.4">
      <c r="A73" s="810" t="s">
        <v>1579</v>
      </c>
      <c r="B73" s="811"/>
      <c r="C73" s="812" t="s">
        <v>1580</v>
      </c>
      <c r="D73" s="813"/>
      <c r="E73" s="813"/>
      <c r="F73" s="813"/>
      <c r="G73" s="813"/>
      <c r="H73" s="813"/>
      <c r="I73" s="813"/>
      <c r="J73" s="813"/>
      <c r="K73" s="813"/>
      <c r="L73" s="859"/>
      <c r="M73" s="860"/>
      <c r="N73" s="861"/>
      <c r="O73" s="861"/>
      <c r="P73" s="862"/>
      <c r="Q73" s="790"/>
    </row>
    <row r="74" spans="1:17" s="570" customFormat="1">
      <c r="A74" s="810"/>
      <c r="B74" s="811"/>
      <c r="C74" s="814">
        <v>100</v>
      </c>
      <c r="D74" s="815"/>
      <c r="E74" s="815"/>
      <c r="F74" s="815"/>
      <c r="G74" s="815"/>
      <c r="H74" s="815"/>
      <c r="I74" s="815"/>
      <c r="J74" s="815"/>
      <c r="K74" s="815"/>
      <c r="L74" s="815"/>
      <c r="M74" s="863"/>
      <c r="N74" s="861"/>
      <c r="O74" s="861"/>
      <c r="P74" s="790"/>
      <c r="Q74" s="790"/>
    </row>
    <row r="75" spans="1:17" ht="14.4">
      <c r="A75" s="816" t="s">
        <v>1612</v>
      </c>
      <c r="B75" s="817" t="s">
        <v>348</v>
      </c>
      <c r="C75" s="759"/>
      <c r="D75" s="759"/>
      <c r="E75" s="759"/>
      <c r="F75" s="759"/>
      <c r="G75" s="759"/>
      <c r="H75" s="759"/>
      <c r="I75" s="759"/>
      <c r="J75" s="759"/>
      <c r="K75" s="864"/>
      <c r="L75" s="865"/>
      <c r="M75" s="866"/>
      <c r="N75" s="867"/>
      <c r="O75" s="867"/>
      <c r="P75" s="868"/>
      <c r="Q75" s="790"/>
    </row>
    <row r="76" spans="1:17">
      <c r="A76" s="818"/>
      <c r="B76" s="819"/>
      <c r="C76" s="820"/>
      <c r="D76" s="820"/>
      <c r="E76" s="820"/>
      <c r="F76" s="820"/>
      <c r="G76" s="820"/>
      <c r="H76" s="820"/>
      <c r="I76" s="820"/>
      <c r="J76" s="820"/>
      <c r="K76" s="820"/>
      <c r="L76" s="820"/>
      <c r="M76" s="869"/>
      <c r="N76" s="870"/>
      <c r="O76" s="870"/>
      <c r="P76" s="868"/>
      <c r="Q76" s="790"/>
    </row>
    <row r="77" spans="1:17" ht="28.8">
      <c r="A77" s="818"/>
      <c r="B77" s="821" t="s">
        <v>1585</v>
      </c>
      <c r="C77" s="822"/>
      <c r="D77" s="822"/>
      <c r="E77" s="822"/>
      <c r="F77" s="822"/>
      <c r="G77" s="822"/>
      <c r="H77" s="822"/>
      <c r="I77" s="822"/>
      <c r="J77" s="822"/>
      <c r="K77" s="871"/>
      <c r="L77" s="872"/>
      <c r="M77" s="873"/>
      <c r="N77" s="867"/>
      <c r="O77" s="867"/>
      <c r="P77" s="868"/>
      <c r="Q77" s="790"/>
    </row>
    <row r="78" spans="1:17">
      <c r="A78" s="818"/>
      <c r="B78" s="823"/>
      <c r="C78" s="824"/>
      <c r="D78" s="824"/>
      <c r="E78" s="824"/>
      <c r="F78" s="824"/>
      <c r="G78" s="824"/>
      <c r="H78" s="824"/>
      <c r="I78" s="824"/>
      <c r="J78" s="824"/>
      <c r="K78" s="824"/>
      <c r="L78" s="824"/>
      <c r="M78" s="874"/>
      <c r="N78" s="870"/>
      <c r="O78" s="870"/>
      <c r="P78" s="868"/>
      <c r="Q78" s="790"/>
    </row>
    <row r="79" spans="1:17" ht="14.4">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c r="A80" s="818"/>
      <c r="B80" s="827"/>
      <c r="C80" s="617"/>
      <c r="D80" s="617"/>
      <c r="E80" s="617"/>
      <c r="F80" s="617"/>
      <c r="G80" s="617"/>
      <c r="H80" s="617"/>
      <c r="I80" s="617"/>
      <c r="J80" s="617"/>
      <c r="K80" s="875"/>
      <c r="L80" s="876"/>
      <c r="M80" s="877"/>
      <c r="N80" s="867"/>
      <c r="O80" s="867"/>
      <c r="P80" s="868"/>
      <c r="Q80" s="790"/>
    </row>
    <row r="81" spans="1:17">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c r="A82" s="828"/>
      <c r="B82" s="821" t="str">
        <f>B12</f>
        <v>配建</v>
      </c>
      <c r="C82" s="829"/>
      <c r="D82" s="829"/>
      <c r="E82" s="829"/>
      <c r="F82" s="829"/>
      <c r="G82" s="829"/>
      <c r="H82" s="830"/>
      <c r="I82" s="830"/>
      <c r="J82" s="830"/>
      <c r="K82" s="830"/>
      <c r="L82" s="878"/>
      <c r="M82" s="879"/>
      <c r="N82" s="880"/>
      <c r="O82" s="880"/>
      <c r="P82" s="881"/>
      <c r="Q82" s="911"/>
    </row>
    <row r="83" spans="1:17" s="572" customFormat="1">
      <c r="A83" s="828"/>
      <c r="B83" s="823"/>
      <c r="C83" s="831"/>
      <c r="D83" s="820"/>
      <c r="E83" s="820"/>
      <c r="F83" s="820"/>
      <c r="G83" s="820"/>
      <c r="H83" s="820"/>
      <c r="I83" s="820"/>
      <c r="J83" s="820"/>
      <c r="K83" s="820"/>
      <c r="L83" s="820"/>
      <c r="M83" s="869"/>
      <c r="N83" s="870"/>
      <c r="O83" s="870"/>
      <c r="P83" s="881"/>
      <c r="Q83" s="911"/>
    </row>
    <row r="84" spans="1:17" s="572" customFormat="1">
      <c r="A84" s="828"/>
      <c r="B84" s="821">
        <f>B13</f>
        <v>111</v>
      </c>
      <c r="C84" s="829"/>
      <c r="D84" s="829"/>
      <c r="E84" s="829"/>
      <c r="F84" s="829"/>
      <c r="G84" s="829"/>
      <c r="H84" s="830"/>
      <c r="I84" s="830"/>
      <c r="J84" s="830"/>
      <c r="K84" s="830"/>
      <c r="L84" s="878"/>
      <c r="M84" s="879"/>
      <c r="N84" s="880"/>
      <c r="O84" s="880"/>
      <c r="P84" s="882"/>
      <c r="Q84" s="912"/>
    </row>
    <row r="85" spans="1:17" s="572" customFormat="1">
      <c r="A85" s="828"/>
      <c r="B85" s="823"/>
      <c r="C85" s="831"/>
      <c r="D85" s="831"/>
      <c r="E85" s="831"/>
      <c r="F85" s="831"/>
      <c r="G85" s="831"/>
      <c r="H85" s="832"/>
      <c r="I85" s="832"/>
      <c r="J85" s="832"/>
      <c r="K85" s="832"/>
      <c r="L85" s="832"/>
      <c r="M85" s="883"/>
      <c r="N85" s="880"/>
      <c r="O85" s="880"/>
      <c r="P85" s="881"/>
      <c r="Q85" s="911"/>
    </row>
    <row r="86" spans="1:17" s="572" customFormat="1">
      <c r="A86" s="828"/>
      <c r="B86" s="825">
        <f>B14</f>
        <v>111</v>
      </c>
      <c r="C86" s="813"/>
      <c r="D86" s="813"/>
      <c r="E86" s="813"/>
      <c r="F86" s="813"/>
      <c r="G86" s="813"/>
      <c r="H86" s="833"/>
      <c r="I86" s="833"/>
      <c r="J86" s="833"/>
      <c r="K86" s="833"/>
      <c r="L86" s="884"/>
      <c r="M86" s="885"/>
      <c r="N86" s="880"/>
      <c r="O86" s="880"/>
      <c r="P86" s="886"/>
      <c r="Q86" s="911"/>
    </row>
    <row r="87" spans="1:17" s="572" customFormat="1">
      <c r="A87" s="834"/>
      <c r="B87" s="835"/>
      <c r="C87" s="836"/>
      <c r="D87" s="836"/>
      <c r="E87" s="836"/>
      <c r="F87" s="836"/>
      <c r="G87" s="836"/>
      <c r="H87" s="837"/>
      <c r="I87" s="837"/>
      <c r="J87" s="837"/>
      <c r="K87" s="837"/>
      <c r="L87" s="837"/>
      <c r="M87" s="887"/>
      <c r="N87" s="880"/>
      <c r="O87" s="880"/>
      <c r="P87" s="881"/>
      <c r="Q87" s="911"/>
    </row>
    <row r="88" spans="1:17" ht="14.4">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4.4">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4.4">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4.4">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28.8">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8.8">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4.4">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4.4">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4.4">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8.8">
      <c r="A106" s="818"/>
      <c r="B106" s="821" t="s">
        <v>673</v>
      </c>
      <c r="C106" s="829"/>
      <c r="D106" s="829"/>
      <c r="E106" s="829"/>
      <c r="F106" s="829"/>
      <c r="G106" s="829"/>
      <c r="H106" s="846"/>
      <c r="I106" s="846"/>
      <c r="J106" s="846"/>
      <c r="K106" s="898"/>
      <c r="L106" s="899"/>
      <c r="M106" s="900"/>
      <c r="N106" s="867"/>
      <c r="O106" s="867"/>
      <c r="P106" s="868"/>
      <c r="Q106" s="790"/>
    </row>
    <row r="107" spans="1:17">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4.4">
      <c r="A108" s="818"/>
      <c r="B108" s="821" t="s">
        <v>678</v>
      </c>
      <c r="C108" s="846"/>
      <c r="D108" s="846"/>
      <c r="E108" s="846"/>
      <c r="F108" s="846"/>
      <c r="G108" s="846"/>
      <c r="H108" s="846"/>
      <c r="I108" s="846"/>
      <c r="J108" s="846"/>
      <c r="K108" s="898"/>
      <c r="L108" s="899"/>
      <c r="M108" s="900"/>
      <c r="N108" s="867"/>
      <c r="O108" s="867"/>
      <c r="P108" s="868"/>
      <c r="Q108" s="790"/>
    </row>
    <row r="109" spans="1:17">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c r="A110" s="818"/>
      <c r="B110" s="825">
        <f>B35</f>
        <v>111</v>
      </c>
      <c r="C110" s="829"/>
      <c r="D110" s="829"/>
      <c r="E110" s="829"/>
      <c r="F110" s="829"/>
      <c r="G110" s="847"/>
      <c r="H110" s="847"/>
      <c r="I110" s="847"/>
      <c r="J110" s="847"/>
      <c r="K110" s="901"/>
      <c r="L110" s="902"/>
      <c r="M110" s="903"/>
      <c r="N110" s="867"/>
      <c r="O110" s="867"/>
      <c r="P110" s="868"/>
      <c r="Q110" s="790"/>
    </row>
    <row r="111" spans="1:17">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c r="A115" s="828"/>
      <c r="B115" s="825"/>
      <c r="C115" s="815"/>
      <c r="D115" s="851"/>
      <c r="E115" s="851"/>
      <c r="F115" s="851"/>
      <c r="G115" s="851"/>
      <c r="H115" s="851"/>
      <c r="I115" s="851"/>
      <c r="J115" s="851"/>
      <c r="K115" s="851"/>
      <c r="L115" s="851"/>
      <c r="M115" s="908"/>
      <c r="N115" s="870"/>
      <c r="O115" s="870"/>
      <c r="P115" s="881"/>
      <c r="Q115" s="911"/>
    </row>
    <row r="116" spans="1:17" ht="14.4">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c r="A117" s="818"/>
      <c r="B117" s="825"/>
      <c r="C117" s="805"/>
      <c r="D117" s="805"/>
      <c r="E117" s="805"/>
      <c r="F117" s="805"/>
      <c r="G117" s="805"/>
      <c r="H117" s="805"/>
      <c r="I117" s="805"/>
      <c r="J117" s="905"/>
      <c r="K117" s="905"/>
      <c r="L117" s="906"/>
      <c r="M117" s="907"/>
      <c r="N117" s="867"/>
      <c r="O117" s="867"/>
      <c r="P117" s="868"/>
      <c r="Q117" s="790"/>
    </row>
    <row r="118" spans="1:17">
      <c r="A118" s="818"/>
      <c r="B118" s="823"/>
      <c r="C118" s="836"/>
      <c r="D118" s="848"/>
      <c r="E118" s="848"/>
      <c r="F118" s="848"/>
      <c r="G118" s="848"/>
      <c r="H118" s="848"/>
      <c r="I118" s="848"/>
      <c r="J118" s="848"/>
      <c r="K118" s="848"/>
      <c r="L118" s="848"/>
      <c r="M118" s="904"/>
      <c r="N118" s="870"/>
      <c r="O118" s="870"/>
      <c r="P118" s="868"/>
      <c r="Q118" s="790"/>
    </row>
    <row r="119" spans="1:17" ht="14.4">
      <c r="A119" s="852"/>
      <c r="B119" s="821" t="s">
        <v>1707</v>
      </c>
      <c r="C119" s="846"/>
      <c r="D119" s="846"/>
      <c r="E119" s="846"/>
      <c r="F119" s="846"/>
      <c r="G119" s="846"/>
      <c r="H119" s="846"/>
      <c r="I119" s="846"/>
      <c r="J119" s="846"/>
      <c r="K119" s="898"/>
      <c r="L119" s="899"/>
      <c r="M119" s="900"/>
      <c r="N119" s="867"/>
      <c r="O119" s="867"/>
      <c r="P119" s="868"/>
      <c r="Q119" s="790"/>
    </row>
    <row r="120" spans="1:17">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ht="14.4">
      <c r="A121" s="852"/>
      <c r="B121" s="821" t="s">
        <v>1708</v>
      </c>
      <c r="C121" s="829"/>
      <c r="D121" s="829"/>
      <c r="E121" s="829"/>
      <c r="F121" s="846"/>
      <c r="G121" s="846"/>
      <c r="H121" s="846"/>
      <c r="I121" s="846"/>
      <c r="J121" s="846"/>
      <c r="K121" s="898"/>
      <c r="L121" s="899"/>
      <c r="M121" s="900"/>
      <c r="N121" s="867"/>
      <c r="O121" s="867"/>
      <c r="P121" s="868"/>
      <c r="Q121" s="790"/>
    </row>
    <row r="122" spans="1:17">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ht="14.4">
      <c r="A123" s="849"/>
      <c r="B123" s="821" t="s">
        <v>1709</v>
      </c>
      <c r="C123" s="829"/>
      <c r="D123" s="829"/>
      <c r="E123" s="829"/>
      <c r="F123" s="829"/>
      <c r="G123" s="829"/>
      <c r="H123" s="846"/>
      <c r="I123" s="846"/>
      <c r="J123" s="846"/>
      <c r="K123" s="898"/>
      <c r="L123" s="899"/>
      <c r="M123" s="900"/>
      <c r="N123" s="880"/>
      <c r="O123" s="880"/>
      <c r="P123" s="881"/>
      <c r="Q123" s="911"/>
    </row>
    <row r="124" spans="1:17" s="572" customFormat="1">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ht="14.4">
      <c r="A125" s="852"/>
      <c r="B125" s="821" t="s">
        <v>1710</v>
      </c>
      <c r="C125" s="829"/>
      <c r="D125" s="829"/>
      <c r="E125" s="846"/>
      <c r="F125" s="846"/>
      <c r="G125" s="846"/>
      <c r="H125" s="846"/>
      <c r="I125" s="846"/>
      <c r="J125" s="846"/>
      <c r="K125" s="898"/>
      <c r="L125" s="899"/>
      <c r="M125" s="900"/>
      <c r="N125" s="867"/>
      <c r="O125" s="867"/>
      <c r="P125" s="868"/>
      <c r="Q125" s="790"/>
    </row>
    <row r="126" spans="1:17">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1"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576" customWidth="1"/>
    <col min="2" max="2" width="15.77734375" style="576" customWidth="1"/>
    <col min="3" max="3" width="14.33203125" style="576" customWidth="1"/>
    <col min="4" max="4" width="12.21875" style="576" customWidth="1"/>
    <col min="5" max="5" width="14.33203125" style="576" customWidth="1"/>
    <col min="6" max="6" width="12.21875" style="576" customWidth="1"/>
    <col min="7" max="7" width="14.44140625" style="576" customWidth="1"/>
    <col min="8" max="8" width="12.21875" style="576" customWidth="1"/>
    <col min="9" max="9" width="14.44140625" style="576" customWidth="1"/>
    <col min="10" max="10" width="12.21875" style="576" customWidth="1"/>
    <col min="11" max="11" width="12.21875" style="577" customWidth="1"/>
    <col min="12" max="12" width="12.21875" style="578" customWidth="1"/>
    <col min="13" max="15" width="12.21875" style="576" customWidth="1"/>
    <col min="16" max="16" width="4.77734375" style="576" customWidth="1"/>
    <col min="17" max="17" width="19.44140625" style="576" customWidth="1"/>
    <col min="18" max="22" width="6.109375" style="576" customWidth="1"/>
    <col min="23" max="23" width="5.77734375" style="576" customWidth="1"/>
    <col min="24" max="24" width="4.21875" style="576" customWidth="1"/>
    <col min="25" max="25" width="3.44140625" style="576" customWidth="1"/>
    <col min="26" max="26" width="19.77734375" style="576" customWidth="1"/>
    <col min="27" max="28" width="9.3320312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4.4">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4.4">
      <c r="A6" s="593"/>
      <c r="B6" s="594"/>
      <c r="C6" s="3275" t="s">
        <v>1743</v>
      </c>
      <c r="D6" s="3276"/>
      <c r="E6" s="3277" t="s">
        <v>1743</v>
      </c>
      <c r="F6" s="3278"/>
      <c r="G6" s="3275" t="s">
        <v>1743</v>
      </c>
      <c r="H6" s="3276"/>
      <c r="I6" s="3275" t="s">
        <v>1743</v>
      </c>
      <c r="J6" s="3276"/>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4.4">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4.4">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ht="14.4">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8.8">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69">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96.6">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28.8">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7"/>
      <c r="Q19" s="709" t="str">
        <f t="shared" ref="Q19:Q34" si="8">B19</f>
        <v>区域土地利用方向</v>
      </c>
      <c r="R19" s="785" t="s">
        <v>1578</v>
      </c>
      <c r="S19" s="786">
        <f>F19</f>
        <v>100</v>
      </c>
      <c r="T19" s="785" t="s">
        <v>1578</v>
      </c>
      <c r="U19" s="786">
        <f>H19</f>
        <v>100</v>
      </c>
      <c r="V19" s="785" t="s">
        <v>1578</v>
      </c>
      <c r="W19" s="786">
        <f>J19</f>
        <v>100</v>
      </c>
      <c r="X19" s="779"/>
      <c r="Y19" s="3237"/>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7"/>
      <c r="Q20" s="709"/>
      <c r="R20" s="785"/>
      <c r="S20" s="786"/>
      <c r="T20" s="785"/>
      <c r="U20" s="786"/>
      <c r="V20" s="785"/>
      <c r="W20" s="786"/>
      <c r="X20" s="779"/>
      <c r="Y20" s="3237"/>
      <c r="Z20" s="770"/>
      <c r="AA20" s="796"/>
      <c r="AB20" s="796"/>
      <c r="AC20" s="796"/>
    </row>
    <row r="21" spans="1:29" ht="82.8">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7"/>
      <c r="Q21" s="709" t="str">
        <f t="shared" si="8"/>
        <v>环境状况</v>
      </c>
      <c r="R21" s="785" t="s">
        <v>1578</v>
      </c>
      <c r="S21" s="786">
        <f>F21</f>
        <v>100</v>
      </c>
      <c r="T21" s="785" t="s">
        <v>1578</v>
      </c>
      <c r="U21" s="786">
        <f>H21</f>
        <v>100</v>
      </c>
      <c r="V21" s="785" t="s">
        <v>1578</v>
      </c>
      <c r="W21" s="786">
        <f>J21</f>
        <v>100</v>
      </c>
      <c r="X21" s="779"/>
      <c r="Y21" s="3237"/>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s="570" customFormat="1" ht="41.4">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7"/>
      <c r="Q23" s="784" t="str">
        <f t="shared" si="8"/>
        <v>公共配套设施</v>
      </c>
      <c r="R23" s="780" t="s">
        <v>1578</v>
      </c>
      <c r="S23" s="781">
        <f>F23</f>
        <v>100</v>
      </c>
      <c r="T23" s="780" t="s">
        <v>1578</v>
      </c>
      <c r="U23" s="781">
        <f>H23</f>
        <v>100</v>
      </c>
      <c r="V23" s="780" t="s">
        <v>1578</v>
      </c>
      <c r="W23" s="781">
        <f>J23</f>
        <v>100</v>
      </c>
      <c r="X23" s="782"/>
      <c r="Y23" s="3237"/>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7"/>
      <c r="Q24" s="784"/>
      <c r="R24" s="780"/>
      <c r="S24" s="781"/>
      <c r="T24" s="780"/>
      <c r="U24" s="781"/>
      <c r="V24" s="780"/>
      <c r="W24" s="781"/>
      <c r="X24" s="782"/>
      <c r="Y24" s="3237"/>
      <c r="Z24" s="795"/>
      <c r="AA24" s="794">
        <v>1</v>
      </c>
      <c r="AB24" s="794">
        <v>1</v>
      </c>
      <c r="AC24" s="794">
        <v>1</v>
      </c>
    </row>
    <row r="25" spans="1:29" s="570" customFormat="1" ht="41.4">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7"/>
      <c r="Q25" s="784" t="str">
        <f t="shared" ref="Q25" si="9">B25</f>
        <v>基础设施水平</v>
      </c>
      <c r="R25" s="780" t="s">
        <v>1578</v>
      </c>
      <c r="S25" s="781">
        <f>F25</f>
        <v>100</v>
      </c>
      <c r="T25" s="780" t="s">
        <v>1578</v>
      </c>
      <c r="U25" s="781">
        <f>H25</f>
        <v>100</v>
      </c>
      <c r="V25" s="780" t="s">
        <v>1578</v>
      </c>
      <c r="W25" s="781">
        <f>J25</f>
        <v>100</v>
      </c>
      <c r="X25" s="782"/>
      <c r="Y25" s="3237"/>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7"/>
      <c r="Q26" s="784"/>
      <c r="R26" s="780"/>
      <c r="S26" s="781"/>
      <c r="T26" s="780"/>
      <c r="U26" s="781"/>
      <c r="V26" s="780"/>
      <c r="W26" s="781"/>
      <c r="X26" s="782"/>
      <c r="Y26" s="3237"/>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7"/>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7"/>
      <c r="Z27" s="770" t="str">
        <f t="shared" ref="Z27:Z40" si="13">Q27</f>
        <v>临街状况</v>
      </c>
      <c r="AA27" s="796">
        <f t="shared" si="3"/>
        <v>1</v>
      </c>
      <c r="AB27" s="796">
        <f t="shared" si="4"/>
        <v>1</v>
      </c>
      <c r="AC27" s="796">
        <f t="shared" si="5"/>
        <v>1</v>
      </c>
    </row>
    <row r="28" spans="1:29" ht="28.8">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7"/>
      <c r="Q28" s="709" t="str">
        <f t="shared" si="8"/>
        <v>毗邻道路的类型与等级</v>
      </c>
      <c r="R28" s="785" t="s">
        <v>1578</v>
      </c>
      <c r="S28" s="786">
        <f t="shared" si="10"/>
        <v>100</v>
      </c>
      <c r="T28" s="785" t="s">
        <v>1578</v>
      </c>
      <c r="U28" s="786">
        <f t="shared" si="11"/>
        <v>100</v>
      </c>
      <c r="V28" s="785" t="s">
        <v>1578</v>
      </c>
      <c r="W28" s="786">
        <f t="shared" si="12"/>
        <v>100</v>
      </c>
      <c r="X28" s="779"/>
      <c r="Y28" s="3237"/>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7"/>
      <c r="Q29" s="709"/>
      <c r="R29" s="785"/>
      <c r="S29" s="786"/>
      <c r="T29" s="785"/>
      <c r="U29" s="786"/>
      <c r="V29" s="785"/>
      <c r="W29" s="786"/>
      <c r="X29" s="779"/>
      <c r="Y29" s="3237"/>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7"/>
      <c r="Q30" s="709" t="str">
        <f t="shared" si="8"/>
        <v>土地级别</v>
      </c>
      <c r="R30" s="785" t="s">
        <v>1578</v>
      </c>
      <c r="S30" s="786">
        <f t="shared" si="10"/>
        <v>100</v>
      </c>
      <c r="T30" s="785" t="s">
        <v>1578</v>
      </c>
      <c r="U30" s="786">
        <f t="shared" si="11"/>
        <v>100</v>
      </c>
      <c r="V30" s="785" t="s">
        <v>1578</v>
      </c>
      <c r="W30" s="786">
        <f t="shared" si="12"/>
        <v>100</v>
      </c>
      <c r="X30" s="779"/>
      <c r="Y30" s="3237"/>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7"/>
      <c r="Q31" s="709">
        <f t="shared" si="8"/>
        <v>111</v>
      </c>
      <c r="R31" s="785" t="s">
        <v>1578</v>
      </c>
      <c r="S31" s="786">
        <f t="shared" si="10"/>
        <v>100</v>
      </c>
      <c r="T31" s="785" t="s">
        <v>1578</v>
      </c>
      <c r="U31" s="786">
        <f t="shared" si="11"/>
        <v>100</v>
      </c>
      <c r="V31" s="785" t="s">
        <v>1578</v>
      </c>
      <c r="W31" s="786">
        <f t="shared" si="12"/>
        <v>100</v>
      </c>
      <c r="X31" s="779"/>
      <c r="Y31" s="3237"/>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8"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8"/>
      <c r="Q33" s="709">
        <f t="shared" si="8"/>
        <v>111</v>
      </c>
      <c r="R33" s="787" t="s">
        <v>1578</v>
      </c>
      <c r="S33" s="788">
        <f t="shared" si="10"/>
        <v>100</v>
      </c>
      <c r="T33" s="787" t="s">
        <v>1578</v>
      </c>
      <c r="U33" s="788">
        <f t="shared" si="11"/>
        <v>100</v>
      </c>
      <c r="V33" s="787" t="s">
        <v>1578</v>
      </c>
      <c r="W33" s="788">
        <f t="shared" si="12"/>
        <v>100</v>
      </c>
      <c r="X33" s="789"/>
      <c r="Y33" s="3238"/>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8"/>
      <c r="Q34" s="709" t="str">
        <f t="shared" si="8"/>
        <v>宗地面积</v>
      </c>
      <c r="R34" s="785" t="s">
        <v>1578</v>
      </c>
      <c r="S34" s="786" t="e">
        <f t="shared" si="10"/>
        <v>#N/A</v>
      </c>
      <c r="T34" s="785" t="s">
        <v>1578</v>
      </c>
      <c r="U34" s="786" t="e">
        <f t="shared" si="11"/>
        <v>#N/A</v>
      </c>
      <c r="V34" s="785" t="s">
        <v>1578</v>
      </c>
      <c r="W34" s="786" t="e">
        <f t="shared" si="12"/>
        <v>#N/A</v>
      </c>
      <c r="X34" s="779"/>
      <c r="Y34" s="3238"/>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8"/>
      <c r="Q35" s="709" t="str">
        <f t="shared" ref="Q35:Q40" si="14">B35</f>
        <v>宗地形状</v>
      </c>
      <c r="R35" s="785" t="s">
        <v>1578</v>
      </c>
      <c r="S35" s="786">
        <f t="shared" si="10"/>
        <v>100</v>
      </c>
      <c r="T35" s="785" t="s">
        <v>1578</v>
      </c>
      <c r="U35" s="786">
        <f t="shared" si="11"/>
        <v>100</v>
      </c>
      <c r="V35" s="785" t="s">
        <v>1578</v>
      </c>
      <c r="W35" s="786">
        <f t="shared" si="12"/>
        <v>100</v>
      </c>
      <c r="X35" s="779"/>
      <c r="Y35" s="3238"/>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8"/>
      <c r="Q36" s="709" t="str">
        <f t="shared" si="14"/>
        <v>宗地开发程度</v>
      </c>
      <c r="R36" s="780" t="s">
        <v>1578</v>
      </c>
      <c r="S36" s="781">
        <f t="shared" si="10"/>
        <v>100</v>
      </c>
      <c r="T36" s="780" t="s">
        <v>1578</v>
      </c>
      <c r="U36" s="781">
        <f t="shared" si="11"/>
        <v>100</v>
      </c>
      <c r="V36" s="780" t="s">
        <v>1578</v>
      </c>
      <c r="W36" s="781">
        <f t="shared" si="12"/>
        <v>100</v>
      </c>
      <c r="X36" s="782"/>
      <c r="Y36" s="3238"/>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8" t="s">
        <v>1593</v>
      </c>
      <c r="Q37" s="709" t="str">
        <f t="shared" si="14"/>
        <v>工程地质条件</v>
      </c>
      <c r="R37" s="785" t="s">
        <v>1578</v>
      </c>
      <c r="S37" s="786">
        <f t="shared" si="10"/>
        <v>100</v>
      </c>
      <c r="T37" s="785" t="s">
        <v>1578</v>
      </c>
      <c r="U37" s="786">
        <f t="shared" si="11"/>
        <v>100</v>
      </c>
      <c r="V37" s="785" t="s">
        <v>1578</v>
      </c>
      <c r="W37" s="786">
        <f t="shared" si="12"/>
        <v>100</v>
      </c>
      <c r="X37" s="779"/>
      <c r="Y37" s="3238"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8"/>
      <c r="Q38" s="709">
        <f t="shared" si="14"/>
        <v>111</v>
      </c>
      <c r="R38" s="785" t="s">
        <v>1578</v>
      </c>
      <c r="S38" s="786">
        <f t="shared" si="10"/>
        <v>100</v>
      </c>
      <c r="T38" s="785" t="s">
        <v>1578</v>
      </c>
      <c r="U38" s="786">
        <f t="shared" si="11"/>
        <v>100</v>
      </c>
      <c r="V38" s="785" t="s">
        <v>1578</v>
      </c>
      <c r="W38" s="786">
        <f t="shared" si="12"/>
        <v>100</v>
      </c>
      <c r="X38" s="779"/>
      <c r="Y38" s="3238"/>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8"/>
      <c r="Q39" s="709">
        <f t="shared" si="14"/>
        <v>111</v>
      </c>
      <c r="R39" s="785" t="s">
        <v>1578</v>
      </c>
      <c r="S39" s="786">
        <f t="shared" si="10"/>
        <v>100</v>
      </c>
      <c r="T39" s="785" t="s">
        <v>1578</v>
      </c>
      <c r="U39" s="786">
        <f t="shared" si="11"/>
        <v>100</v>
      </c>
      <c r="V39" s="785" t="s">
        <v>1578</v>
      </c>
      <c r="W39" s="786">
        <f t="shared" si="12"/>
        <v>100</v>
      </c>
      <c r="X39" s="779"/>
      <c r="Y39" s="3238"/>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8"/>
      <c r="Q40" s="709">
        <f t="shared" si="14"/>
        <v>111</v>
      </c>
      <c r="R40" s="787" t="s">
        <v>1578</v>
      </c>
      <c r="S40" s="788">
        <f t="shared" si="10"/>
        <v>100</v>
      </c>
      <c r="T40" s="787" t="s">
        <v>1578</v>
      </c>
      <c r="U40" s="788">
        <f t="shared" si="11"/>
        <v>100</v>
      </c>
      <c r="V40" s="787" t="s">
        <v>1578</v>
      </c>
      <c r="W40" s="788">
        <f t="shared" si="12"/>
        <v>100</v>
      </c>
      <c r="X40" s="789"/>
      <c r="Y40" s="3238"/>
      <c r="Z40" s="797">
        <f t="shared" si="13"/>
        <v>111</v>
      </c>
      <c r="AA40" s="796">
        <f t="shared" si="3"/>
        <v>1</v>
      </c>
      <c r="AB40" s="796">
        <f t="shared" si="4"/>
        <v>1</v>
      </c>
      <c r="AC40" s="796">
        <f t="shared" si="5"/>
        <v>1</v>
      </c>
    </row>
    <row r="41" spans="1:29" ht="14.4">
      <c r="A41" s="669" t="s">
        <v>1696</v>
      </c>
      <c r="B41" s="670" t="s">
        <v>1744</v>
      </c>
      <c r="C41" s="671" t="s">
        <v>124</v>
      </c>
      <c r="D41" s="672"/>
      <c r="E41" s="673"/>
      <c r="F41" s="674"/>
      <c r="G41" s="675"/>
      <c r="H41" s="676"/>
      <c r="I41" s="673"/>
      <c r="J41" s="676"/>
      <c r="K41" s="761"/>
      <c r="L41" s="762"/>
      <c r="M41" s="738"/>
      <c r="N41" s="738"/>
      <c r="O41" s="686"/>
      <c r="P41" s="3223" t="str">
        <f>A41</f>
        <v>成交单价</v>
      </c>
      <c r="Q41" s="3223"/>
      <c r="R41" s="3222">
        <f>E41</f>
        <v>0</v>
      </c>
      <c r="S41" s="3222"/>
      <c r="T41" s="3222">
        <f>G41</f>
        <v>0</v>
      </c>
      <c r="U41" s="3222"/>
      <c r="V41" s="3222">
        <f>I41</f>
        <v>0</v>
      </c>
      <c r="W41" s="3222"/>
      <c r="X41" s="726"/>
      <c r="Y41" s="798"/>
      <c r="Z41" s="726"/>
      <c r="AA41" s="726"/>
      <c r="AB41" s="726"/>
      <c r="AC41" s="726"/>
    </row>
    <row r="42" spans="1:29" ht="14.4">
      <c r="A42" s="677" t="s">
        <v>1605</v>
      </c>
      <c r="B42" s="678"/>
      <c r="C42" s="679" t="e">
        <f>R43</f>
        <v>#DIV/0!</v>
      </c>
      <c r="D42" s="680"/>
      <c r="E42" s="679" t="e">
        <f>R42</f>
        <v>#DIV/0!</v>
      </c>
      <c r="F42" s="681"/>
      <c r="G42" s="682" t="e">
        <f>T42</f>
        <v>#DIV/0!</v>
      </c>
      <c r="H42" s="680"/>
      <c r="I42" s="679" t="e">
        <f>V42</f>
        <v>#DIV/0!</v>
      </c>
      <c r="J42" s="680"/>
      <c r="K42" s="763"/>
      <c r="L42" s="762"/>
      <c r="M42" s="738"/>
      <c r="N42" s="738"/>
      <c r="O42" s="686"/>
      <c r="P42" s="3223" t="str">
        <f>A42</f>
        <v>比较价值（元/平方米）</v>
      </c>
      <c r="Q42" s="3223"/>
      <c r="R42" s="3273" t="e">
        <f>ROUND(PRODUCT(R41,AA7:AA40),0)</f>
        <v>#DIV/0!</v>
      </c>
      <c r="S42" s="3273"/>
      <c r="T42" s="3273" t="e">
        <f>ROUND(PRODUCT(T41,AB7:AB40),0)</f>
        <v>#DIV/0!</v>
      </c>
      <c r="U42" s="3273"/>
      <c r="V42" s="3273" t="e">
        <f>ROUND(PRODUCT(V41,AC7:AC40),0)</f>
        <v>#DIV/0!</v>
      </c>
      <c r="W42" s="3273"/>
      <c r="X42" s="726"/>
      <c r="Y42" s="726"/>
      <c r="Z42" s="726"/>
      <c r="AA42" s="726"/>
      <c r="AB42" s="726"/>
      <c r="AC42" s="726"/>
    </row>
    <row r="43" spans="1:29" ht="14.4">
      <c r="A43" s="683" t="s">
        <v>1606</v>
      </c>
      <c r="B43" s="684"/>
      <c r="C43" s="685" t="e">
        <f>R43</f>
        <v>#DIV/0!</v>
      </c>
      <c r="D43" s="685"/>
      <c r="E43" s="685"/>
      <c r="F43" s="685"/>
      <c r="G43" s="685"/>
      <c r="H43" s="685"/>
      <c r="I43" s="685"/>
      <c r="J43" s="685"/>
      <c r="K43" s="764"/>
      <c r="L43" s="762"/>
      <c r="M43" s="738"/>
      <c r="N43" s="738"/>
      <c r="O43" s="686"/>
      <c r="P43" s="3225" t="str">
        <f>A43</f>
        <v>估价对象XX用房的比较价值（楼面单价，元/平方米）</v>
      </c>
      <c r="Q43" s="3226"/>
      <c r="R43" s="3274" t="e">
        <f>ROUND(AVERAGE(R42:V42),0)</f>
        <v>#DIV/0!</v>
      </c>
      <c r="S43" s="3274"/>
      <c r="T43" s="3274"/>
      <c r="U43" s="3274"/>
      <c r="V43" s="3274"/>
      <c r="W43" s="3274"/>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8.8">
      <c r="A50" s="697" t="s">
        <v>1713</v>
      </c>
      <c r="B50" s="698" t="s">
        <v>1714</v>
      </c>
      <c r="C50" s="699" t="s">
        <v>1715</v>
      </c>
      <c r="D50" s="700" t="s">
        <v>1716</v>
      </c>
      <c r="E50" s="701" t="s">
        <v>1717</v>
      </c>
      <c r="F50" s="702" t="s">
        <v>1718</v>
      </c>
      <c r="G50" s="3245" t="s">
        <v>1719</v>
      </c>
      <c r="H50" s="3271"/>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30"/>
      <c r="H51" s="3223"/>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2"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2"/>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2"/>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2"/>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6">
      <c r="A64" s="725" t="s">
        <v>1610</v>
      </c>
      <c r="B64" s="726"/>
      <c r="C64" s="727"/>
      <c r="D64" s="727"/>
      <c r="E64" s="727"/>
      <c r="F64" s="728"/>
      <c r="G64" s="728"/>
      <c r="H64" s="727"/>
      <c r="I64" s="727"/>
      <c r="J64" s="727"/>
      <c r="K64" s="775"/>
      <c r="L64" s="776"/>
      <c r="M64" s="727"/>
      <c r="N64" s="727"/>
      <c r="O64" s="777"/>
      <c r="P64" s="778"/>
      <c r="Q64" s="790"/>
    </row>
    <row r="65" spans="1:17" s="575" customFormat="1" ht="14.4">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北京市平均增长率1.38%</v>
      </c>
      <c r="C66" s="804">
        <v>100</v>
      </c>
      <c r="D66" s="805"/>
      <c r="E66" s="805"/>
      <c r="F66" s="805"/>
      <c r="G66" s="805"/>
      <c r="H66" s="805"/>
      <c r="I66" s="805"/>
      <c r="J66" s="805"/>
      <c r="K66" s="805"/>
      <c r="L66" s="805"/>
      <c r="M66" s="855"/>
      <c r="N66" s="855"/>
      <c r="O66" s="856"/>
      <c r="P66" s="790"/>
    </row>
    <row r="67" spans="1:17" s="570" customFormat="1" ht="14.4">
      <c r="A67" s="806" t="s">
        <v>1611</v>
      </c>
      <c r="B67" s="807"/>
      <c r="C67" s="808"/>
      <c r="D67" s="809"/>
      <c r="E67" s="809"/>
      <c r="F67" s="809"/>
      <c r="G67" s="809"/>
      <c r="H67" s="809"/>
      <c r="I67" s="809"/>
      <c r="J67" s="809"/>
      <c r="K67" s="809"/>
      <c r="L67" s="809"/>
      <c r="M67" s="857"/>
      <c r="N67" s="857"/>
      <c r="O67" s="858"/>
      <c r="P67" s="790"/>
      <c r="Q67" s="790"/>
    </row>
    <row r="68" spans="1:17" s="570" customFormat="1" ht="14.4">
      <c r="A68" s="810" t="s">
        <v>1579</v>
      </c>
      <c r="B68" s="811"/>
      <c r="C68" s="812" t="s">
        <v>1580</v>
      </c>
      <c r="D68" s="813"/>
      <c r="E68" s="813"/>
      <c r="F68" s="813"/>
      <c r="G68" s="813"/>
      <c r="H68" s="813"/>
      <c r="I68" s="813"/>
      <c r="J68" s="813"/>
      <c r="K68" s="813"/>
      <c r="L68" s="859"/>
      <c r="M68" s="860"/>
      <c r="N68" s="861"/>
      <c r="O68" s="861"/>
      <c r="P68" s="862"/>
      <c r="Q68" s="790"/>
    </row>
    <row r="69" spans="1:17" s="570" customFormat="1">
      <c r="A69" s="810"/>
      <c r="B69" s="811"/>
      <c r="C69" s="814">
        <v>100</v>
      </c>
      <c r="D69" s="815"/>
      <c r="E69" s="815"/>
      <c r="F69" s="815"/>
      <c r="G69" s="815"/>
      <c r="H69" s="815"/>
      <c r="I69" s="815"/>
      <c r="J69" s="815"/>
      <c r="K69" s="815"/>
      <c r="L69" s="815"/>
      <c r="M69" s="863"/>
      <c r="N69" s="861"/>
      <c r="O69" s="861"/>
      <c r="P69" s="790"/>
      <c r="Q69" s="790"/>
    </row>
    <row r="70" spans="1:17" ht="14.4">
      <c r="A70" s="816" t="s">
        <v>1612</v>
      </c>
      <c r="B70" s="817" t="s">
        <v>348</v>
      </c>
      <c r="C70" s="759"/>
      <c r="D70" s="759"/>
      <c r="E70" s="759"/>
      <c r="F70" s="759"/>
      <c r="G70" s="759"/>
      <c r="H70" s="759"/>
      <c r="I70" s="759"/>
      <c r="J70" s="759"/>
      <c r="K70" s="864"/>
      <c r="L70" s="865"/>
      <c r="M70" s="866"/>
      <c r="N70" s="867"/>
      <c r="O70" s="867"/>
      <c r="P70" s="868"/>
      <c r="Q70" s="790"/>
    </row>
    <row r="71" spans="1:17">
      <c r="A71" s="818"/>
      <c r="B71" s="819"/>
      <c r="C71" s="820"/>
      <c r="D71" s="820"/>
      <c r="E71" s="820"/>
      <c r="F71" s="820"/>
      <c r="G71" s="820"/>
      <c r="H71" s="820"/>
      <c r="I71" s="820"/>
      <c r="J71" s="820"/>
      <c r="K71" s="820"/>
      <c r="L71" s="820"/>
      <c r="M71" s="869"/>
      <c r="N71" s="870"/>
      <c r="O71" s="870"/>
      <c r="P71" s="868"/>
      <c r="Q71" s="790"/>
    </row>
    <row r="72" spans="1:17" ht="28.8">
      <c r="A72" s="818"/>
      <c r="B72" s="821" t="s">
        <v>1585</v>
      </c>
      <c r="C72" s="822"/>
      <c r="D72" s="822"/>
      <c r="E72" s="822"/>
      <c r="F72" s="822"/>
      <c r="G72" s="822"/>
      <c r="H72" s="822"/>
      <c r="I72" s="822"/>
      <c r="J72" s="822"/>
      <c r="K72" s="871"/>
      <c r="L72" s="872"/>
      <c r="M72" s="873"/>
      <c r="N72" s="867"/>
      <c r="O72" s="867"/>
      <c r="P72" s="868"/>
      <c r="Q72" s="790"/>
    </row>
    <row r="73" spans="1:17">
      <c r="A73" s="818"/>
      <c r="B73" s="823"/>
      <c r="C73" s="824"/>
      <c r="D73" s="824"/>
      <c r="E73" s="824"/>
      <c r="F73" s="824"/>
      <c r="G73" s="824"/>
      <c r="H73" s="824"/>
      <c r="I73" s="824"/>
      <c r="J73" s="824"/>
      <c r="K73" s="824"/>
      <c r="L73" s="824"/>
      <c r="M73" s="874"/>
      <c r="N73" s="870"/>
      <c r="O73" s="870"/>
      <c r="P73" s="868"/>
      <c r="Q73" s="790"/>
    </row>
    <row r="74" spans="1:17" ht="14.4">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c r="A75" s="818"/>
      <c r="B75" s="827"/>
      <c r="C75" s="617"/>
      <c r="D75" s="617"/>
      <c r="E75" s="617"/>
      <c r="F75" s="617"/>
      <c r="G75" s="617"/>
      <c r="H75" s="617"/>
      <c r="I75" s="617"/>
      <c r="J75" s="617"/>
      <c r="K75" s="875"/>
      <c r="L75" s="876"/>
      <c r="M75" s="877"/>
      <c r="N75" s="867"/>
      <c r="O75" s="867"/>
      <c r="P75" s="868"/>
      <c r="Q75" s="790"/>
    </row>
    <row r="76" spans="1:17">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c r="A77" s="828"/>
      <c r="B77" s="821">
        <f>B12</f>
        <v>111</v>
      </c>
      <c r="C77" s="829"/>
      <c r="D77" s="829"/>
      <c r="E77" s="829"/>
      <c r="F77" s="829"/>
      <c r="G77" s="829"/>
      <c r="H77" s="830"/>
      <c r="I77" s="830"/>
      <c r="J77" s="830"/>
      <c r="K77" s="830"/>
      <c r="L77" s="878"/>
      <c r="M77" s="879"/>
      <c r="N77" s="880"/>
      <c r="O77" s="880"/>
      <c r="P77" s="881"/>
      <c r="Q77" s="911"/>
    </row>
    <row r="78" spans="1:17" s="572" customFormat="1">
      <c r="A78" s="828"/>
      <c r="B78" s="823"/>
      <c r="C78" s="831"/>
      <c r="D78" s="820"/>
      <c r="E78" s="820"/>
      <c r="F78" s="820"/>
      <c r="G78" s="820"/>
      <c r="H78" s="820"/>
      <c r="I78" s="820"/>
      <c r="J78" s="820"/>
      <c r="K78" s="820"/>
      <c r="L78" s="820"/>
      <c r="M78" s="869"/>
      <c r="N78" s="870"/>
      <c r="O78" s="870"/>
      <c r="P78" s="881"/>
      <c r="Q78" s="911"/>
    </row>
    <row r="79" spans="1:17" s="572" customFormat="1">
      <c r="A79" s="828"/>
      <c r="B79" s="821">
        <f>B13</f>
        <v>111</v>
      </c>
      <c r="C79" s="829"/>
      <c r="D79" s="829"/>
      <c r="E79" s="829"/>
      <c r="F79" s="829"/>
      <c r="G79" s="829"/>
      <c r="H79" s="830"/>
      <c r="I79" s="830"/>
      <c r="J79" s="830"/>
      <c r="K79" s="830"/>
      <c r="L79" s="878"/>
      <c r="M79" s="879"/>
      <c r="N79" s="880"/>
      <c r="O79" s="880"/>
      <c r="P79" s="882"/>
      <c r="Q79" s="912"/>
    </row>
    <row r="80" spans="1:17" s="572" customFormat="1">
      <c r="A80" s="828"/>
      <c r="B80" s="823"/>
      <c r="C80" s="831"/>
      <c r="D80" s="831"/>
      <c r="E80" s="831"/>
      <c r="F80" s="831"/>
      <c r="G80" s="831"/>
      <c r="H80" s="832"/>
      <c r="I80" s="832"/>
      <c r="J80" s="832"/>
      <c r="K80" s="832"/>
      <c r="L80" s="832"/>
      <c r="M80" s="883"/>
      <c r="N80" s="880"/>
      <c r="O80" s="880"/>
      <c r="P80" s="881"/>
      <c r="Q80" s="911"/>
    </row>
    <row r="81" spans="1:17" s="572" customFormat="1">
      <c r="A81" s="828"/>
      <c r="B81" s="825">
        <f>B14</f>
        <v>111</v>
      </c>
      <c r="C81" s="813"/>
      <c r="D81" s="813"/>
      <c r="E81" s="813"/>
      <c r="F81" s="813"/>
      <c r="G81" s="813"/>
      <c r="H81" s="833"/>
      <c r="I81" s="833"/>
      <c r="J81" s="833"/>
      <c r="K81" s="833"/>
      <c r="L81" s="884"/>
      <c r="M81" s="885"/>
      <c r="N81" s="880"/>
      <c r="O81" s="880"/>
      <c r="P81" s="886"/>
      <c r="Q81" s="911"/>
    </row>
    <row r="82" spans="1:17" s="572" customFormat="1">
      <c r="A82" s="834"/>
      <c r="B82" s="835"/>
      <c r="C82" s="836"/>
      <c r="D82" s="836"/>
      <c r="E82" s="836"/>
      <c r="F82" s="836"/>
      <c r="G82" s="836"/>
      <c r="H82" s="837"/>
      <c r="I82" s="837"/>
      <c r="J82" s="837"/>
      <c r="K82" s="837"/>
      <c r="L82" s="837"/>
      <c r="M82" s="887"/>
      <c r="N82" s="880"/>
      <c r="O82" s="880"/>
      <c r="P82" s="881"/>
      <c r="Q82" s="911"/>
    </row>
    <row r="83" spans="1:17" ht="14.4">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4.4">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28.8">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8.8">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4.4">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4.4">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4.4">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8.8">
      <c r="A97" s="818"/>
      <c r="B97" s="821" t="s">
        <v>673</v>
      </c>
      <c r="C97" s="829"/>
      <c r="D97" s="829"/>
      <c r="E97" s="829"/>
      <c r="F97" s="829"/>
      <c r="G97" s="829"/>
      <c r="H97" s="846"/>
      <c r="I97" s="846"/>
      <c r="J97" s="846"/>
      <c r="K97" s="898"/>
      <c r="L97" s="899"/>
      <c r="M97" s="900"/>
      <c r="N97" s="867"/>
      <c r="O97" s="867"/>
      <c r="P97" s="868"/>
      <c r="Q97" s="790"/>
    </row>
    <row r="98" spans="1:17">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4.4">
      <c r="A99" s="818"/>
      <c r="B99" s="821" t="s">
        <v>678</v>
      </c>
      <c r="C99" s="846"/>
      <c r="D99" s="846"/>
      <c r="E99" s="846"/>
      <c r="F99" s="846"/>
      <c r="G99" s="846"/>
      <c r="H99" s="846"/>
      <c r="I99" s="846"/>
      <c r="J99" s="846"/>
      <c r="K99" s="898"/>
      <c r="L99" s="899"/>
      <c r="M99" s="900"/>
      <c r="N99" s="867"/>
      <c r="O99" s="867"/>
      <c r="P99" s="868"/>
      <c r="Q99" s="790"/>
    </row>
    <row r="100" spans="1:17">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c r="A101" s="818"/>
      <c r="B101" s="825">
        <f>B31</f>
        <v>111</v>
      </c>
      <c r="C101" s="829"/>
      <c r="D101" s="829"/>
      <c r="E101" s="829"/>
      <c r="F101" s="829"/>
      <c r="G101" s="847"/>
      <c r="H101" s="847"/>
      <c r="I101" s="847"/>
      <c r="J101" s="847"/>
      <c r="K101" s="901"/>
      <c r="L101" s="902"/>
      <c r="M101" s="903"/>
      <c r="N101" s="867"/>
      <c r="O101" s="867"/>
      <c r="P101" s="868"/>
      <c r="Q101" s="790"/>
    </row>
    <row r="102" spans="1:17">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c r="A106" s="828"/>
      <c r="B106" s="825"/>
      <c r="C106" s="836"/>
      <c r="D106" s="836"/>
      <c r="E106" s="836"/>
      <c r="F106" s="836"/>
      <c r="G106" s="851"/>
      <c r="H106" s="851"/>
      <c r="I106" s="851"/>
      <c r="J106" s="851"/>
      <c r="K106" s="851"/>
      <c r="L106" s="851"/>
      <c r="M106" s="908"/>
      <c r="N106" s="870"/>
      <c r="O106" s="870"/>
      <c r="P106" s="881"/>
      <c r="Q106" s="911"/>
    </row>
    <row r="107" spans="1:17" ht="14.4">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c r="A108" s="818"/>
      <c r="B108" s="825"/>
      <c r="C108" s="805"/>
      <c r="D108" s="805"/>
      <c r="E108" s="805"/>
      <c r="F108" s="805"/>
      <c r="G108" s="805"/>
      <c r="H108" s="805"/>
      <c r="I108" s="805"/>
      <c r="J108" s="905"/>
      <c r="K108" s="905"/>
      <c r="L108" s="906"/>
      <c r="M108" s="907"/>
      <c r="N108" s="867"/>
      <c r="O108" s="867"/>
      <c r="P108" s="868"/>
      <c r="Q108" s="790"/>
    </row>
    <row r="109" spans="1:17">
      <c r="A109" s="818"/>
      <c r="B109" s="823"/>
      <c r="C109" s="836"/>
      <c r="D109" s="848"/>
      <c r="E109" s="848"/>
      <c r="F109" s="848"/>
      <c r="G109" s="848"/>
      <c r="H109" s="848"/>
      <c r="I109" s="848"/>
      <c r="J109" s="848"/>
      <c r="K109" s="848"/>
      <c r="L109" s="848"/>
      <c r="M109" s="904"/>
      <c r="N109" s="870"/>
      <c r="O109" s="870"/>
      <c r="P109" s="868"/>
      <c r="Q109" s="790"/>
    </row>
    <row r="110" spans="1:17" ht="14.4">
      <c r="A110" s="852"/>
      <c r="B110" s="821" t="s">
        <v>1707</v>
      </c>
      <c r="C110" s="846"/>
      <c r="D110" s="846"/>
      <c r="E110" s="846"/>
      <c r="F110" s="846"/>
      <c r="G110" s="846"/>
      <c r="H110" s="846"/>
      <c r="I110" s="846"/>
      <c r="J110" s="846"/>
      <c r="K110" s="898"/>
      <c r="L110" s="899"/>
      <c r="M110" s="900"/>
      <c r="N110" s="867"/>
      <c r="O110" s="867"/>
      <c r="P110" s="868"/>
      <c r="Q110" s="790"/>
    </row>
    <row r="111" spans="1:17">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ht="14.4">
      <c r="A112" s="849"/>
      <c r="B112" s="821" t="s">
        <v>1709</v>
      </c>
      <c r="C112" s="829"/>
      <c r="D112" s="829"/>
      <c r="E112" s="829"/>
      <c r="F112" s="829"/>
      <c r="G112" s="829"/>
      <c r="H112" s="846"/>
      <c r="I112" s="846"/>
      <c r="J112" s="846"/>
      <c r="K112" s="898"/>
      <c r="L112" s="899"/>
      <c r="M112" s="900"/>
      <c r="N112" s="880"/>
      <c r="O112" s="880"/>
      <c r="P112" s="881"/>
      <c r="Q112" s="911"/>
    </row>
    <row r="113" spans="1:17" s="572" customFormat="1">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ht="14.4">
      <c r="A114" s="852"/>
      <c r="B114" s="821" t="s">
        <v>1710</v>
      </c>
      <c r="C114" s="829"/>
      <c r="D114" s="829"/>
      <c r="E114" s="846"/>
      <c r="F114" s="846"/>
      <c r="G114" s="846"/>
      <c r="H114" s="846"/>
      <c r="I114" s="846"/>
      <c r="J114" s="846"/>
      <c r="K114" s="898"/>
      <c r="L114" s="899"/>
      <c r="M114" s="900"/>
      <c r="N114" s="867"/>
      <c r="O114" s="867"/>
      <c r="P114" s="868"/>
      <c r="Q114" s="790"/>
    </row>
    <row r="115" spans="1:17">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1"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7" customWidth="1"/>
    <col min="2" max="9" width="8.21875" style="526" customWidth="1"/>
    <col min="10" max="13" width="8.21875" style="527"/>
    <col min="14" max="14" width="10" style="527" customWidth="1"/>
    <col min="15" max="16" width="8.21875" style="527"/>
    <col min="17" max="17" width="34.109375" style="527" customWidth="1"/>
    <col min="18" max="18" width="8.21875" style="527" customWidth="1"/>
    <col min="19" max="19" width="8.21875" style="527"/>
    <col min="20" max="20" width="11.6640625" style="527" customWidth="1"/>
    <col min="21" max="16384" width="8.2187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4.4">
      <c r="A60" s="550"/>
      <c r="B60" s="550"/>
      <c r="C60" s="550" t="s">
        <v>1113</v>
      </c>
      <c r="D60" s="550"/>
      <c r="E60" s="562" t="s">
        <v>124</v>
      </c>
      <c r="F60" s="550" t="s">
        <v>124</v>
      </c>
    </row>
    <row r="61" spans="1:8" s="526" customFormat="1" ht="36">
      <c r="A61" s="550">
        <v>1</v>
      </c>
      <c r="B61" s="3279" t="s">
        <v>1809</v>
      </c>
      <c r="C61" s="541" t="s">
        <v>1810</v>
      </c>
      <c r="D61" s="541" t="s">
        <v>1811</v>
      </c>
      <c r="E61" s="562">
        <v>0.5</v>
      </c>
      <c r="F61" s="550">
        <v>80</v>
      </c>
    </row>
    <row r="62" spans="1:8" s="526" customFormat="1" ht="36">
      <c r="A62" s="550">
        <v>2</v>
      </c>
      <c r="B62" s="3279"/>
      <c r="C62" s="541" t="s">
        <v>1812</v>
      </c>
      <c r="D62" s="541" t="s">
        <v>1813</v>
      </c>
      <c r="E62" s="562">
        <v>0.5</v>
      </c>
      <c r="F62" s="550">
        <v>80</v>
      </c>
    </row>
    <row r="63" spans="1:8" s="526" customFormat="1" ht="48">
      <c r="A63" s="550">
        <v>3</v>
      </c>
      <c r="B63" s="3279"/>
      <c r="C63" s="541" t="s">
        <v>1814</v>
      </c>
      <c r="D63" s="541" t="s">
        <v>1815</v>
      </c>
      <c r="E63" s="562">
        <v>0.5</v>
      </c>
      <c r="F63" s="550">
        <v>80</v>
      </c>
    </row>
    <row r="64" spans="1:8" s="526" customFormat="1" ht="48">
      <c r="A64" s="550">
        <v>4</v>
      </c>
      <c r="B64" s="3279"/>
      <c r="C64" s="541" t="s">
        <v>1816</v>
      </c>
      <c r="D64" s="541" t="s">
        <v>1817</v>
      </c>
      <c r="E64" s="562">
        <v>0.4</v>
      </c>
      <c r="F64" s="550">
        <v>60</v>
      </c>
    </row>
    <row r="65" spans="1:6" s="526" customFormat="1" ht="48">
      <c r="A65" s="550">
        <v>5</v>
      </c>
      <c r="B65" s="3279"/>
      <c r="C65" s="541" t="s">
        <v>1818</v>
      </c>
      <c r="D65" s="541" t="s">
        <v>1819</v>
      </c>
      <c r="E65" s="562">
        <v>0.2</v>
      </c>
      <c r="F65" s="550">
        <v>30</v>
      </c>
    </row>
    <row r="66" spans="1:6" s="526" customFormat="1" ht="48">
      <c r="A66" s="550">
        <v>6</v>
      </c>
      <c r="B66" s="3279"/>
      <c r="C66" s="541" t="s">
        <v>1820</v>
      </c>
      <c r="D66" s="541" t="s">
        <v>1821</v>
      </c>
      <c r="E66" s="562">
        <v>0.3</v>
      </c>
      <c r="F66" s="550">
        <v>50</v>
      </c>
    </row>
    <row r="67" spans="1:6" s="526" customFormat="1" ht="48">
      <c r="A67" s="550">
        <v>7</v>
      </c>
      <c r="B67" s="3279"/>
      <c r="C67" s="541" t="s">
        <v>1822</v>
      </c>
      <c r="D67" s="541" t="s">
        <v>1823</v>
      </c>
      <c r="E67" s="562">
        <v>0.2</v>
      </c>
      <c r="F67" s="550">
        <v>30</v>
      </c>
    </row>
    <row r="68" spans="1:6" s="526" customFormat="1" ht="48">
      <c r="A68" s="550">
        <v>8</v>
      </c>
      <c r="B68" s="3279"/>
      <c r="C68" s="541" t="s">
        <v>1824</v>
      </c>
      <c r="D68" s="541" t="s">
        <v>1825</v>
      </c>
      <c r="E68" s="562">
        <v>0.2</v>
      </c>
      <c r="F68" s="550">
        <v>30</v>
      </c>
    </row>
    <row r="69" spans="1:6" s="526" customFormat="1" ht="48">
      <c r="A69" s="550">
        <v>9</v>
      </c>
      <c r="B69" s="3279"/>
      <c r="C69" s="541" t="s">
        <v>1826</v>
      </c>
      <c r="D69" s="541" t="s">
        <v>1827</v>
      </c>
      <c r="E69" s="562">
        <v>0.2</v>
      </c>
      <c r="F69" s="550">
        <v>30</v>
      </c>
    </row>
    <row r="70" spans="1:6" s="526" customFormat="1" ht="60">
      <c r="A70" s="550">
        <v>10</v>
      </c>
      <c r="B70" s="3279"/>
      <c r="C70" s="541" t="s">
        <v>1828</v>
      </c>
      <c r="D70" s="541" t="s">
        <v>1829</v>
      </c>
      <c r="E70" s="562">
        <v>0.2</v>
      </c>
      <c r="F70" s="550">
        <v>30</v>
      </c>
    </row>
    <row r="71" spans="1:6" s="526" customFormat="1" ht="60">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36">
      <c r="A73" s="550">
        <v>13</v>
      </c>
      <c r="B73" s="3279"/>
      <c r="C73" s="541" t="s">
        <v>1834</v>
      </c>
      <c r="D73" s="541" t="s">
        <v>1835</v>
      </c>
      <c r="E73" s="562">
        <v>0.4</v>
      </c>
      <c r="F73" s="550">
        <v>60</v>
      </c>
    </row>
    <row r="74" spans="1:6" s="526" customFormat="1" ht="36">
      <c r="A74" s="550">
        <v>14</v>
      </c>
      <c r="B74" s="3279"/>
      <c r="C74" s="541" t="s">
        <v>1836</v>
      </c>
      <c r="D74" s="541" t="s">
        <v>1837</v>
      </c>
      <c r="E74" s="562">
        <v>0.2</v>
      </c>
      <c r="F74" s="550">
        <v>30</v>
      </c>
    </row>
    <row r="75" spans="1:6" s="526" customFormat="1" ht="36">
      <c r="A75" s="550">
        <v>15</v>
      </c>
      <c r="B75" s="3279"/>
      <c r="C75" s="541" t="s">
        <v>1838</v>
      </c>
      <c r="D75" s="541" t="s">
        <v>1839</v>
      </c>
      <c r="E75" s="562">
        <v>0.2</v>
      </c>
      <c r="F75" s="550">
        <v>30</v>
      </c>
    </row>
    <row r="76" spans="1:6" s="526" customFormat="1" ht="36">
      <c r="A76" s="550">
        <v>16</v>
      </c>
      <c r="B76" s="3279" t="s">
        <v>1840</v>
      </c>
      <c r="C76" s="541" t="s">
        <v>1841</v>
      </c>
      <c r="D76" s="541" t="s">
        <v>1842</v>
      </c>
      <c r="E76" s="562">
        <v>0.5</v>
      </c>
      <c r="F76" s="550">
        <v>80</v>
      </c>
    </row>
    <row r="77" spans="1:6" s="526" customFormat="1" ht="36">
      <c r="A77" s="550">
        <v>17</v>
      </c>
      <c r="B77" s="3279"/>
      <c r="C77" s="541" t="s">
        <v>1843</v>
      </c>
      <c r="D77" s="541" t="s">
        <v>1844</v>
      </c>
      <c r="E77" s="562">
        <v>0.5</v>
      </c>
      <c r="F77" s="550">
        <v>80</v>
      </c>
    </row>
    <row r="78" spans="1:6" s="526" customFormat="1" ht="36">
      <c r="A78" s="550">
        <v>18</v>
      </c>
      <c r="B78" s="3279"/>
      <c r="C78" s="541" t="s">
        <v>1845</v>
      </c>
      <c r="D78" s="541" t="s">
        <v>1846</v>
      </c>
      <c r="E78" s="562">
        <v>0.2</v>
      </c>
      <c r="F78" s="550">
        <v>30</v>
      </c>
    </row>
    <row r="79" spans="1:6" s="526" customFormat="1" ht="36">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60">
      <c r="A82" s="550">
        <v>22</v>
      </c>
      <c r="B82" s="3279"/>
      <c r="C82" s="541" t="s">
        <v>1853</v>
      </c>
      <c r="D82" s="541" t="s">
        <v>1854</v>
      </c>
      <c r="E82" s="562">
        <v>0.2</v>
      </c>
      <c r="F82" s="550">
        <v>30</v>
      </c>
    </row>
    <row r="83" spans="1:6" s="526" customFormat="1" ht="60">
      <c r="A83" s="550">
        <v>23</v>
      </c>
      <c r="B83" s="3279"/>
      <c r="C83" s="541" t="s">
        <v>1855</v>
      </c>
      <c r="D83" s="541" t="s">
        <v>1856</v>
      </c>
      <c r="E83" s="562">
        <v>0.2</v>
      </c>
      <c r="F83" s="550">
        <v>30</v>
      </c>
    </row>
    <row r="84" spans="1:6" s="526" customFormat="1" ht="48">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36">
      <c r="A89" s="550">
        <v>29</v>
      </c>
      <c r="B89" s="3279"/>
      <c r="C89" s="541" t="s">
        <v>1867</v>
      </c>
      <c r="D89" s="541" t="s">
        <v>1868</v>
      </c>
      <c r="E89" s="562">
        <v>0.2</v>
      </c>
      <c r="F89" s="550">
        <v>30</v>
      </c>
    </row>
    <row r="90" spans="1:6" s="526" customFormat="1" ht="36">
      <c r="A90" s="550">
        <v>30</v>
      </c>
      <c r="B90" s="3279"/>
      <c r="C90" s="541" t="s">
        <v>1869</v>
      </c>
      <c r="D90" s="541" t="s">
        <v>1870</v>
      </c>
      <c r="E90" s="562">
        <v>0.2</v>
      </c>
      <c r="F90" s="550">
        <v>30</v>
      </c>
    </row>
    <row r="91" spans="1:6" s="526" customFormat="1" ht="48">
      <c r="A91" s="550">
        <v>31</v>
      </c>
      <c r="B91" s="3279"/>
      <c r="C91" s="541" t="s">
        <v>1871</v>
      </c>
      <c r="D91" s="541" t="s">
        <v>1872</v>
      </c>
      <c r="E91" s="562">
        <v>0.2</v>
      </c>
      <c r="F91" s="550">
        <v>30</v>
      </c>
    </row>
    <row r="92" spans="1:6" s="526" customFormat="1" ht="36">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60">
      <c r="A94" s="550">
        <v>34</v>
      </c>
      <c r="B94" s="3279"/>
      <c r="C94" s="550" t="s">
        <v>1878</v>
      </c>
      <c r="D94" s="541" t="s">
        <v>1879</v>
      </c>
      <c r="E94" s="562">
        <v>0.2</v>
      </c>
      <c r="F94" s="550">
        <v>30</v>
      </c>
    </row>
    <row r="95" spans="1:6" s="526" customFormat="1" ht="48">
      <c r="A95" s="550">
        <v>35</v>
      </c>
      <c r="B95" s="3279"/>
      <c r="C95" s="550" t="s">
        <v>1880</v>
      </c>
      <c r="D95" s="541" t="s">
        <v>1881</v>
      </c>
      <c r="E95" s="562">
        <v>0.2</v>
      </c>
      <c r="F95" s="550">
        <v>30</v>
      </c>
    </row>
    <row r="96" spans="1:6" s="526" customFormat="1" ht="72">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36">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72">
      <c r="A102" s="550">
        <v>42</v>
      </c>
      <c r="B102" s="550" t="s">
        <v>1894</v>
      </c>
      <c r="C102" s="541" t="s">
        <v>1895</v>
      </c>
      <c r="D102" s="541" t="s">
        <v>1896</v>
      </c>
      <c r="E102" s="562">
        <v>0.2</v>
      </c>
      <c r="F102" s="550">
        <v>30</v>
      </c>
    </row>
    <row r="103" spans="1:6" s="526" customFormat="1" ht="36">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48">
      <c r="A105" s="550">
        <v>45</v>
      </c>
      <c r="B105" s="3279" t="s">
        <v>1903</v>
      </c>
      <c r="C105" s="550" t="s">
        <v>1904</v>
      </c>
      <c r="D105" s="541" t="s">
        <v>1905</v>
      </c>
      <c r="E105" s="562">
        <v>0.2</v>
      </c>
      <c r="F105" s="550">
        <v>30</v>
      </c>
    </row>
    <row r="106" spans="1:6" s="526" customFormat="1" ht="48">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48">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48">
      <c r="A110" s="550">
        <v>50</v>
      </c>
      <c r="B110" s="550" t="s">
        <v>1916</v>
      </c>
      <c r="C110" s="550" t="s">
        <v>1917</v>
      </c>
      <c r="D110" s="541" t="s">
        <v>1918</v>
      </c>
      <c r="E110" s="562">
        <v>0.2</v>
      </c>
      <c r="F110" s="550">
        <v>30</v>
      </c>
    </row>
    <row r="111" spans="1:6" s="526" customFormat="1" ht="48">
      <c r="A111" s="550">
        <v>51</v>
      </c>
      <c r="B111" s="3279" t="s">
        <v>1919</v>
      </c>
      <c r="C111" s="550" t="s">
        <v>1920</v>
      </c>
      <c r="D111" s="541" t="s">
        <v>1921</v>
      </c>
      <c r="E111" s="562">
        <v>0.2</v>
      </c>
      <c r="F111" s="550">
        <v>30</v>
      </c>
    </row>
    <row r="112" spans="1:6" s="526" customFormat="1" ht="36">
      <c r="A112" s="550">
        <v>52</v>
      </c>
      <c r="B112" s="3279"/>
      <c r="C112" s="550" t="s">
        <v>1922</v>
      </c>
      <c r="D112" s="541" t="s">
        <v>1923</v>
      </c>
      <c r="E112" s="562">
        <v>0.2</v>
      </c>
      <c r="F112" s="550">
        <v>30</v>
      </c>
    </row>
    <row r="113" spans="1:6" s="526" customFormat="1" ht="36">
      <c r="A113" s="550">
        <v>53</v>
      </c>
      <c r="B113" s="3279"/>
      <c r="C113" s="550" t="s">
        <v>1924</v>
      </c>
      <c r="D113" s="541" t="s">
        <v>1925</v>
      </c>
      <c r="E113" s="562">
        <v>0.2</v>
      </c>
      <c r="F113" s="550">
        <v>30</v>
      </c>
    </row>
    <row r="114" spans="1:6" ht="48">
      <c r="A114" s="550">
        <v>54</v>
      </c>
      <c r="B114" s="550" t="s">
        <v>1926</v>
      </c>
      <c r="C114" s="550" t="s">
        <v>1927</v>
      </c>
      <c r="D114" s="541" t="s">
        <v>1928</v>
      </c>
      <c r="E114" s="562">
        <v>0.2</v>
      </c>
      <c r="F114" s="550">
        <v>30</v>
      </c>
    </row>
    <row r="115" spans="1:6" ht="36">
      <c r="A115" s="550">
        <v>55</v>
      </c>
      <c r="B115" s="550" t="s">
        <v>1929</v>
      </c>
      <c r="C115" s="550" t="s">
        <v>1930</v>
      </c>
      <c r="D115" s="541" t="s">
        <v>1931</v>
      </c>
      <c r="E115" s="562">
        <v>0.2</v>
      </c>
      <c r="F115" s="550">
        <v>30</v>
      </c>
    </row>
    <row r="116" spans="1:6" ht="36">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4.4">
      <c r="A119" s="550"/>
      <c r="B119" s="550"/>
      <c r="C119" s="550" t="s">
        <v>1113</v>
      </c>
      <c r="D119" s="550"/>
      <c r="E119" s="562" t="s">
        <v>124</v>
      </c>
      <c r="F119" s="55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4"/>
    <col min="2" max="16384" width="9" style="515"/>
  </cols>
  <sheetData>
    <row r="1" spans="1:14" ht="15.6">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5.6">
      <c r="A103" s="516" t="s">
        <v>1942</v>
      </c>
      <c r="B103" s="517"/>
      <c r="C103" s="517"/>
      <c r="D103" s="517"/>
      <c r="E103" s="517"/>
      <c r="F103" s="517"/>
      <c r="G103" s="517"/>
      <c r="H103" s="517"/>
      <c r="I103" s="517"/>
      <c r="J103" s="517"/>
      <c r="K103" s="517"/>
      <c r="L103" s="517"/>
      <c r="M103" s="517"/>
      <c r="N103" s="517"/>
    </row>
    <row r="104" spans="1:14" ht="15.6">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5.6">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5.6">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5" ht="21.6">
      <c r="A1" s="506" t="s">
        <v>1945</v>
      </c>
    </row>
    <row r="2" spans="1:5" ht="15.6">
      <c r="A2" s="507" t="s">
        <v>97</v>
      </c>
      <c r="B2" s="508">
        <f ca="1">SUMIF(B6:B13,"&lt;&gt;#ref!",B6:B13)</f>
        <v>13092</v>
      </c>
      <c r="C2" s="507" t="s">
        <v>1946</v>
      </c>
      <c r="D2" s="507" t="s">
        <v>1947</v>
      </c>
      <c r="E2" s="508">
        <f ca="1">SUMIF(E6:E13,"&lt;&gt;#ref!",E6:E13)</f>
        <v>20000</v>
      </c>
    </row>
    <row r="3" spans="1:5" ht="15.6">
      <c r="A3" s="507" t="s">
        <v>1948</v>
      </c>
      <c r="B3" s="508">
        <f ca="1">ROUND(B2*10000/E2,0)</f>
        <v>6546</v>
      </c>
      <c r="C3" s="507" t="s">
        <v>1949</v>
      </c>
      <c r="D3" s="509"/>
      <c r="E3" s="509"/>
    </row>
    <row r="4" spans="1:5" ht="15.6">
      <c r="A4" s="510"/>
      <c r="B4" s="509"/>
      <c r="C4" s="509"/>
      <c r="D4" s="509"/>
      <c r="E4" s="509"/>
    </row>
    <row r="5" spans="1:5" ht="31.2">
      <c r="A5" s="511" t="s">
        <v>1950</v>
      </c>
      <c r="B5" s="507" t="s">
        <v>1951</v>
      </c>
      <c r="C5" s="508"/>
      <c r="D5" s="509"/>
      <c r="E5" s="507" t="s">
        <v>1952</v>
      </c>
    </row>
    <row r="6" spans="1:5" ht="15.6">
      <c r="A6" s="512" t="s">
        <v>1953</v>
      </c>
      <c r="B6" s="508">
        <f ca="1">SUMIF(INDIRECT("'"&amp;A6&amp;"'"&amp;"!A:A"),"总价",INDIRECT("'"&amp;A6&amp;"'"&amp;"!B:B"))</f>
        <v>13092</v>
      </c>
      <c r="C6" s="507" t="s">
        <v>1946</v>
      </c>
      <c r="D6" s="509"/>
      <c r="E6" s="513">
        <f ca="1">SUMIF(INDIRECT("'"&amp;A6&amp;"'"&amp;"!C:C"),"建筑面积",INDIRECT("'"&amp;A6&amp;"'"&amp;"!D:D"))</f>
        <v>20000</v>
      </c>
    </row>
    <row r="7" spans="1:5" ht="15.6">
      <c r="A7" s="512"/>
      <c r="B7" s="508" t="e">
        <f ca="1">SUMIF(INDIRECT("'"&amp;A7&amp;"'"&amp;"!A:A"),"总价",INDIRECT("'"&amp;A7&amp;"'"&amp;"!B:B"))</f>
        <v>#REF!</v>
      </c>
      <c r="C7" s="507" t="s">
        <v>1946</v>
      </c>
      <c r="D7" s="509"/>
      <c r="E7" s="513" t="e">
        <f t="shared" ref="E7:E13" ca="1" si="0">SUMIF(INDIRECT("'"&amp;A7&amp;"'"&amp;"!C:C"),"建筑面积",INDIRECT("'"&amp;A7&amp;"'"&amp;"!D:D"))</f>
        <v>#REF!</v>
      </c>
    </row>
    <row r="8" spans="1:5" ht="15.6">
      <c r="A8" s="512"/>
      <c r="B8" s="508" t="e">
        <f t="shared" ref="B8:B13" ca="1" si="1">SUMIF(INDIRECT("'"&amp;A8&amp;"'"&amp;"!A:A"),"总价",INDIRECT("'"&amp;A8&amp;"'"&amp;"!B:B"))</f>
        <v>#REF!</v>
      </c>
      <c r="C8" s="507" t="s">
        <v>1946</v>
      </c>
      <c r="D8" s="509"/>
      <c r="E8" s="513" t="e">
        <f t="shared" ca="1" si="0"/>
        <v>#REF!</v>
      </c>
    </row>
    <row r="9" spans="1:5" ht="15.6">
      <c r="A9" s="512"/>
      <c r="B9" s="508" t="e">
        <f t="shared" ca="1" si="1"/>
        <v>#REF!</v>
      </c>
      <c r="C9" s="507" t="s">
        <v>1946</v>
      </c>
      <c r="D9" s="509"/>
      <c r="E9" s="513" t="e">
        <f t="shared" ca="1" si="0"/>
        <v>#REF!</v>
      </c>
    </row>
    <row r="10" spans="1:5" ht="15.6">
      <c r="A10" s="512"/>
      <c r="B10" s="508" t="e">
        <f t="shared" ca="1" si="1"/>
        <v>#REF!</v>
      </c>
      <c r="C10" s="507" t="s">
        <v>1946</v>
      </c>
      <c r="D10" s="509"/>
      <c r="E10" s="513" t="e">
        <f t="shared" ca="1" si="0"/>
        <v>#REF!</v>
      </c>
    </row>
    <row r="11" spans="1:5" ht="15.6">
      <c r="A11" s="512"/>
      <c r="B11" s="508" t="e">
        <f t="shared" ca="1" si="1"/>
        <v>#REF!</v>
      </c>
      <c r="C11" s="507" t="s">
        <v>1946</v>
      </c>
      <c r="D11" s="509"/>
      <c r="E11" s="513" t="e">
        <f t="shared" ca="1" si="0"/>
        <v>#REF!</v>
      </c>
    </row>
    <row r="12" spans="1:5" ht="15.6">
      <c r="A12" s="512"/>
      <c r="B12" s="508" t="e">
        <f t="shared" ca="1" si="1"/>
        <v>#REF!</v>
      </c>
      <c r="C12" s="507" t="s">
        <v>1946</v>
      </c>
      <c r="D12" s="509"/>
      <c r="E12" s="513" t="e">
        <f t="shared" ca="1" si="0"/>
        <v>#REF!</v>
      </c>
    </row>
    <row r="13" spans="1:5" ht="15.6">
      <c r="A13" s="512"/>
      <c r="B13" s="508" t="e">
        <f t="shared" ca="1" si="1"/>
        <v>#REF!</v>
      </c>
      <c r="C13" s="507" t="s">
        <v>1946</v>
      </c>
      <c r="D13" s="509"/>
      <c r="E13" s="51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19" sqref="K19"/>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290" t="s">
        <v>1954</v>
      </c>
      <c r="C1" s="3290"/>
      <c r="D1" s="3290"/>
      <c r="E1" s="3290"/>
      <c r="F1" s="3290"/>
      <c r="G1" s="3287" t="s">
        <v>1955</v>
      </c>
      <c r="H1" s="3287"/>
      <c r="I1" s="3287"/>
      <c r="J1" s="3287"/>
      <c r="K1" s="3287"/>
      <c r="L1" s="3287"/>
      <c r="N1" s="3287" t="s">
        <v>1956</v>
      </c>
      <c r="O1" s="3287"/>
      <c r="P1" s="3287"/>
      <c r="Q1" s="3287"/>
      <c r="R1" s="370"/>
      <c r="S1" s="3287" t="s">
        <v>1957</v>
      </c>
      <c r="T1" s="3287"/>
      <c r="U1" s="3287"/>
      <c r="V1" s="3287"/>
      <c r="X1" s="3286" t="s">
        <v>1958</v>
      </c>
      <c r="Y1" s="3287"/>
      <c r="Z1" s="3287"/>
      <c r="AA1" s="3287"/>
      <c r="AB1" s="3287"/>
      <c r="AD1" s="3286" t="s">
        <v>1959</v>
      </c>
      <c r="AE1" s="3287"/>
      <c r="AF1" s="3287"/>
      <c r="AG1" s="3287"/>
      <c r="AH1" s="3287"/>
    </row>
    <row r="2" spans="1:34" s="360" customFormat="1" ht="14.4">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4">
      <c r="A3" s="375" t="s">
        <v>1964</v>
      </c>
      <c r="B3" s="376"/>
      <c r="C3" s="376"/>
      <c r="D3" s="377"/>
      <c r="E3" s="377"/>
      <c r="F3" s="376"/>
      <c r="G3" s="378"/>
      <c r="H3" s="379"/>
      <c r="I3" s="412">
        <f>ROUND(AVERAGE($I4:$I28),2)</f>
        <v>1.98</v>
      </c>
      <c r="J3" s="412">
        <f>ROUND(AVERAGE($J4:$J28),2)</f>
        <v>1.41</v>
      </c>
      <c r="K3" s="412">
        <f>ROUND(AVERAGE($K4:$K28),2)</f>
        <v>2.16</v>
      </c>
      <c r="L3" s="412">
        <f>ROUND(AVERAGE($L4:$L28),2)</f>
        <v>1.38</v>
      </c>
      <c r="N3" s="378"/>
      <c r="O3" s="413"/>
      <c r="P3" s="413"/>
      <c r="Q3" s="413"/>
      <c r="R3" s="413"/>
      <c r="S3" s="378"/>
      <c r="T3" s="413"/>
      <c r="U3" s="413"/>
      <c r="V3" s="413"/>
      <c r="W3" s="446"/>
      <c r="X3" s="447">
        <f>ROUND(SUMPRODUCT(PRODUCT(1+N3:N$27)),4)</f>
        <v>1.5516000000000001</v>
      </c>
      <c r="Y3" s="447">
        <f>ROUND(SUMPRODUCT(PRODUCT(1+O3:O$27)),4)</f>
        <v>1.3649</v>
      </c>
      <c r="Z3" s="447">
        <f t="shared" ref="Z3:Z25" si="0">Y3</f>
        <v>1.3649</v>
      </c>
      <c r="AA3" s="447">
        <f>ROUND(SUMPRODUCT(PRODUCT(1+P3:P$27)),4)</f>
        <v>1.6133999999999999</v>
      </c>
      <c r="AB3" s="447">
        <f>ROUND(SUMPRODUCT(PRODUCT(1+Q3:Q$27)),4)</f>
        <v>1.3713</v>
      </c>
      <c r="AD3" s="469">
        <f>ROUND(AVERAGE(I3:I$28)/100,4)</f>
        <v>1.9800000000000002E-2</v>
      </c>
      <c r="AE3" s="469">
        <f>ROUND(AVERAGE(J3:J$28)/100,4)</f>
        <v>1.41E-2</v>
      </c>
      <c r="AF3" s="469">
        <f t="shared" ref="AF3:AF26" si="1">AE3</f>
        <v>1.41E-2</v>
      </c>
      <c r="AG3" s="469">
        <f>ROUND(AVERAGE(K3:K$28)/100,4)</f>
        <v>2.1600000000000001E-2</v>
      </c>
      <c r="AH3" s="469">
        <f>ROUND(AVERAGE(L3:L$28)/100,4)</f>
        <v>1.38E-2</v>
      </c>
    </row>
    <row r="4" spans="1:34" s="362" customFormat="1" ht="14.4">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477.19997390765133</v>
      </c>
      <c r="C5" s="385">
        <f t="shared" ref="C5" si="3">C6*(1+O5)</f>
        <v>351.84874729536676</v>
      </c>
      <c r="D5" s="385">
        <f t="shared" ref="D5" si="4">C5</f>
        <v>351.84874729536676</v>
      </c>
      <c r="E5" s="385">
        <f t="shared" ref="E5" si="5">E6*(1+P5)</f>
        <v>682.29768951465246</v>
      </c>
      <c r="F5" s="385">
        <f t="shared" ref="F5" si="6">F6*(1+Q5)</f>
        <v>315.26985675409065</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1.5516000000000001</v>
      </c>
      <c r="Y5" s="452">
        <f>ROUND(IF(项目基本情况!B7="出让",SUMPRODUCT(PRODUCT(1+O5:O$28)),SUMPRODUCT(PRODUCT(1+O5:O$27))),4)</f>
        <v>1.3649</v>
      </c>
      <c r="Z5" s="452">
        <f t="shared" ref="Z5" si="11">Y5</f>
        <v>1.3649</v>
      </c>
      <c r="AA5" s="452">
        <f>ROUND(IF(项目基本情况!B7="出让",SUMPRODUCT(PRODUCT(1+P5:P$28)),SUMPRODUCT(PRODUCT(1+P5:P$27))),4)</f>
        <v>1.6133999999999999</v>
      </c>
      <c r="AB5" s="452">
        <f>ROUND(IF(项目基本情况!B7="出让",SUMPRODUCT(PRODUCT(1+Q5:Q$28)),SUMPRODUCT(PRODUCT(1+Q5:Q$27))),4)</f>
        <v>1.3713</v>
      </c>
      <c r="AD5" s="470">
        <f>ROUND(AVERAGE(I5:I$28)/100,4)</f>
        <v>1.9800000000000002E-2</v>
      </c>
      <c r="AE5" s="470">
        <f>ROUND(AVERAGE(J5:J$28)/100,4)</f>
        <v>1.41E-2</v>
      </c>
      <c r="AF5" s="470">
        <f t="shared" ref="AF5" si="12">AE5</f>
        <v>1.41E-2</v>
      </c>
      <c r="AG5" s="470">
        <f>ROUND(AVERAGE(K5:K$28)/100,4)</f>
        <v>2.1600000000000001E-2</v>
      </c>
      <c r="AH5" s="470">
        <f>ROUND(AVERAGE(L5:L$28)/100,4)</f>
        <v>1.38E-2</v>
      </c>
    </row>
    <row r="6" spans="1:34" s="364" customFormat="1">
      <c r="A6" s="388" t="s">
        <v>1967</v>
      </c>
      <c r="B6" s="389">
        <f t="shared" ref="B6" si="13">B7*(1+N6)</f>
        <v>477.19997390765133</v>
      </c>
      <c r="C6" s="389">
        <f t="shared" ref="C6" si="14">C7*(1+O6)</f>
        <v>351.84874729536676</v>
      </c>
      <c r="D6" s="389">
        <f t="shared" ref="D6" si="15">C6</f>
        <v>351.84874729536676</v>
      </c>
      <c r="E6" s="389">
        <f t="shared" ref="E6" si="16">E7*(1+P6)</f>
        <v>682.29768951465246</v>
      </c>
      <c r="F6" s="389">
        <f t="shared" ref="F6" si="17">F7*(1+Q6)</f>
        <v>315.26985675409065</v>
      </c>
      <c r="G6" s="386">
        <v>2019</v>
      </c>
      <c r="H6" s="390">
        <v>3</v>
      </c>
      <c r="I6" s="418">
        <v>0.61</v>
      </c>
      <c r="J6" s="418">
        <v>0.67</v>
      </c>
      <c r="K6" s="418">
        <v>0.6</v>
      </c>
      <c r="L6" s="419">
        <v>1.03</v>
      </c>
      <c r="M6" s="368"/>
      <c r="N6" s="420">
        <f t="shared" si="7"/>
        <v>6.0999999999999995E-3</v>
      </c>
      <c r="O6" s="421">
        <f t="shared" ref="O6" si="18">J6/100</f>
        <v>6.7000000000000002E-3</v>
      </c>
      <c r="P6" s="421">
        <f t="shared" ref="P6" si="19">K6/100</f>
        <v>6.0000000000000001E-3</v>
      </c>
      <c r="Q6" s="421">
        <f t="shared" ref="Q6" si="20">L6/100</f>
        <v>1.03E-2</v>
      </c>
      <c r="R6" s="453"/>
      <c r="S6" s="420"/>
      <c r="T6" s="421"/>
      <c r="U6" s="421"/>
      <c r="V6" s="421"/>
      <c r="W6" s="454"/>
      <c r="X6" s="455">
        <f>ROUND(IF(项目基本情况!B8="出让",SUMPRODUCT(PRODUCT(1+N6:N$28)),SUMPRODUCT(PRODUCT(1+N6:N$27))),4)</f>
        <v>1.5516000000000001</v>
      </c>
      <c r="Y6" s="455">
        <f>ROUND(IF(项目基本情况!B8="出让",SUMPRODUCT(PRODUCT(1+O6:O$28)),SUMPRODUCT(PRODUCT(1+O6:O$27))),4)</f>
        <v>1.3649</v>
      </c>
      <c r="Z6" s="455">
        <f t="shared" ref="Z6" si="21">Y6</f>
        <v>1.3649</v>
      </c>
      <c r="AA6" s="455">
        <f>ROUND(IF(项目基本情况!B8="出让",SUMPRODUCT(PRODUCT(1+P6:P$28)),SUMPRODUCT(PRODUCT(1+P6:P$27))),4)</f>
        <v>1.6133999999999999</v>
      </c>
      <c r="AB6" s="455">
        <f>ROUND(IF(项目基本情况!B8="出让",SUMPRODUCT(PRODUCT(1+Q6:Q$28)),SUMPRODUCT(PRODUCT(1+Q6:Q$27))),4)</f>
        <v>1.3713</v>
      </c>
      <c r="AC6" s="454"/>
      <c r="AD6" s="471">
        <f>ROUND(AVERAGE(I6:I$28)/100,4)</f>
        <v>2.07E-2</v>
      </c>
      <c r="AE6" s="471">
        <f>ROUND(AVERAGE(J6:J$28)/100,4)</f>
        <v>1.47E-2</v>
      </c>
      <c r="AF6" s="471">
        <f t="shared" ref="AF6" si="22">AE6</f>
        <v>1.47E-2</v>
      </c>
      <c r="AG6" s="471">
        <f>ROUND(AVERAGE(K6:K$28)/100,4)</f>
        <v>2.2599999999999999E-2</v>
      </c>
      <c r="AH6" s="471">
        <f>ROUND(AVERAGE(L6:L$28)/100,4)</f>
        <v>1.44E-2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1">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1"/>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1"/>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8"/>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9">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1"/>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1"/>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8"/>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9">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1"/>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1"/>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2"/>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0">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1"/>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1"/>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2"/>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0">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1"/>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1"/>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2"/>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3">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4"/>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4"/>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85"/>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0">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1"/>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1"/>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2"/>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0">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1">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1">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2">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0">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1">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1">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2">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0">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1">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1">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2">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0">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1">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1">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2">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0">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1">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1">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2">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0">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1">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1">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2">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0">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1">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1">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2">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0">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1">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1">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2">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0">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1">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1">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2">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0">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1">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1">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2">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238" customWidth="1"/>
    <col min="2" max="2" width="9.2187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9.6">
      <c r="A2" s="244"/>
      <c r="B2" s="245" t="s">
        <v>430</v>
      </c>
      <c r="C2" s="246" t="str">
        <f t="shared" ref="C2:L2" si="0">C3&amp;"(含)"&amp;"-"&amp;D3</f>
        <v>0(含)-300</v>
      </c>
      <c r="D2" s="247" t="str">
        <f t="shared" si="0"/>
        <v>300(含)-800</v>
      </c>
      <c r="E2" s="247" t="str">
        <f t="shared" si="0"/>
        <v>800(含)-1500</v>
      </c>
      <c r="F2" s="247" t="str">
        <f t="shared" si="0"/>
        <v>1500(含)-2500</v>
      </c>
      <c r="G2" s="247" t="str">
        <f t="shared" si="0"/>
        <v>2500(含)-5000</v>
      </c>
      <c r="H2" s="247" t="str">
        <f t="shared" si="0"/>
        <v>5000(含)-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300</v>
      </c>
      <c r="E3" s="250">
        <f>'比较法-商业'!E103</f>
        <v>800</v>
      </c>
      <c r="F3" s="250">
        <f>'比较法-商业'!F103</f>
        <v>1500</v>
      </c>
      <c r="G3" s="250">
        <f>'比较法-商业'!G103</f>
        <v>2500</v>
      </c>
      <c r="H3" s="250">
        <f>'比较法-商业'!H103</f>
        <v>5000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6">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6">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132" t="s">
        <v>124</v>
      </c>
      <c r="D22" s="3133"/>
      <c r="E22" s="3133"/>
      <c r="F22" s="3133"/>
      <c r="G22" s="3133"/>
      <c r="H22" s="3133"/>
      <c r="I22" s="3133"/>
      <c r="J22" s="3133"/>
      <c r="K22" s="3133"/>
      <c r="L22" s="3133"/>
      <c r="M22" s="3133"/>
      <c r="N22" s="3133"/>
      <c r="O22" s="3133"/>
      <c r="P22" s="3133"/>
      <c r="Q22" s="3294"/>
      <c r="R22" s="354">
        <f>ROUND(S22*10000/B22,0)</f>
        <v>6</v>
      </c>
      <c r="S22" s="293">
        <f>SUM(S24:S10000)</f>
        <v>56</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8.4</v>
      </c>
      <c r="S24" s="298">
        <f t="shared" ref="S24:S54" si="11">ROUND(R24*B24/10000,0)</f>
        <v>14</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5.88</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5</v>
      </c>
      <c r="S26" s="292">
        <f t="shared" si="11"/>
        <v>9</v>
      </c>
      <c r="T26" s="241">
        <f>ROUND($R$24*Q26*C26,2)</f>
        <v>5.46</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4.62</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4.62</v>
      </c>
    </row>
    <row r="29" spans="1:45">
      <c r="A29" s="300"/>
      <c r="B29" s="297">
        <f>Sheet2!H7</f>
        <v>9331.2900000000009</v>
      </c>
      <c r="C29" s="293">
        <f t="shared" si="12"/>
        <v>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4.2</v>
      </c>
    </row>
    <row r="30" spans="1:45">
      <c r="A30" s="300"/>
      <c r="B30" s="297">
        <f>Sheet2!H8</f>
        <v>9331.2900000000009</v>
      </c>
      <c r="C30" s="293">
        <f t="shared" si="12"/>
        <v>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3.78</v>
      </c>
      <c r="U30" s="241">
        <f>ROUND((B24*R24+B25*T25+B26*T26+B27*T27+B28*T28+B29*T29+B30*T30+B31*T31)/B22,2)</f>
        <v>5.47</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1.73</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15" customWidth="1"/>
    <col min="2" max="2" width="37.21875" style="2915" customWidth="1"/>
    <col min="3" max="3" width="11.33203125" style="2915" customWidth="1"/>
    <col min="4" max="4" width="31.77734375" style="2915" customWidth="1"/>
    <col min="5" max="5" width="0.44140625" style="2915" customWidth="1"/>
    <col min="6" max="7" width="13" style="2915" customWidth="1"/>
    <col min="8" max="16384" width="9" style="2915"/>
  </cols>
  <sheetData>
    <row r="1" spans="1:5" ht="17.399999999999999">
      <c r="A1" s="2916" t="s">
        <v>94</v>
      </c>
      <c r="B1" s="2917"/>
      <c r="C1" s="2917"/>
      <c r="D1" s="2917"/>
      <c r="E1" s="291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7.399999999999999">
      <c r="A3" s="2977" t="str">
        <f>IF(项目基本情况!B9="房地产市场价值","估价结果一览表（市场价值不需“结果表-1”）","估价结果一览表")</f>
        <v>估价结果一览表</v>
      </c>
      <c r="B3" s="2977"/>
      <c r="C3" s="2977"/>
      <c r="D3" s="2977"/>
      <c r="E3" s="2977"/>
    </row>
    <row r="4" spans="1:5" ht="17.399999999999999">
      <c r="A4" s="2918"/>
      <c r="B4" s="2978" t="s">
        <v>95</v>
      </c>
      <c r="C4" s="2978"/>
      <c r="D4" s="2978"/>
      <c r="E4" s="2918"/>
    </row>
    <row r="5" spans="1:5" ht="15.6">
      <c r="A5" s="2917"/>
      <c r="B5" s="2970" t="s">
        <v>96</v>
      </c>
      <c r="C5" s="2919" t="s">
        <v>97</v>
      </c>
      <c r="D5" s="2920">
        <f ca="1">结果表!H101</f>
        <v>271310</v>
      </c>
      <c r="E5" s="2917"/>
    </row>
    <row r="6" spans="1:5" ht="15.6">
      <c r="A6" s="2917"/>
      <c r="B6" s="2970"/>
      <c r="C6" s="2919" t="s">
        <v>98</v>
      </c>
      <c r="D6" s="2920" t="str">
        <f ca="1">NUMBERSTRING(INT(D5*10000),2)&amp;"元整"</f>
        <v>贰拾柒亿壹仟叁佰壹拾万元整</v>
      </c>
      <c r="E6" s="2917"/>
    </row>
    <row r="7" spans="1:5" ht="15.6">
      <c r="A7" s="2917"/>
      <c r="B7" s="2971"/>
      <c r="C7" s="2921" t="s">
        <v>99</v>
      </c>
      <c r="D7" s="2922">
        <f ca="1">结果表!H102</f>
        <v>26139</v>
      </c>
      <c r="E7" s="2917"/>
    </row>
    <row r="8" spans="1:5" ht="15.6">
      <c r="A8" s="2917"/>
      <c r="B8" s="2972" t="str">
        <f>结果表!E103</f>
        <v>2.估价师知悉的法定优先受偿款</v>
      </c>
      <c r="C8" s="2923" t="s">
        <v>100</v>
      </c>
      <c r="D8" s="2922">
        <f>结果表!H103</f>
        <v>0</v>
      </c>
      <c r="E8" s="2917"/>
    </row>
    <row r="9" spans="1:5" ht="15.6">
      <c r="A9" s="2917"/>
      <c r="B9" s="2974"/>
      <c r="C9" s="2919" t="s">
        <v>98</v>
      </c>
      <c r="D9" s="2920" t="str">
        <f>NUMBERSTRING(INT(D8*10000),2)&amp;"元整"</f>
        <v>零元整</v>
      </c>
      <c r="E9" s="2917"/>
    </row>
    <row r="10" spans="1:5" ht="15.6">
      <c r="A10" s="2917"/>
      <c r="B10" s="2924" t="s">
        <v>101</v>
      </c>
      <c r="C10" s="2925" t="s">
        <v>102</v>
      </c>
      <c r="D10" s="2926">
        <f>结果表!H104</f>
        <v>0</v>
      </c>
      <c r="E10" s="2917"/>
    </row>
    <row r="11" spans="1:5" ht="15.6">
      <c r="A11" s="2917"/>
      <c r="B11" s="2924" t="s">
        <v>103</v>
      </c>
      <c r="C11" s="2925" t="s">
        <v>102</v>
      </c>
      <c r="D11" s="2926">
        <f>结果表!H105</f>
        <v>0</v>
      </c>
      <c r="E11" s="2917"/>
    </row>
    <row r="12" spans="1:5" ht="15.6">
      <c r="A12" s="2917"/>
      <c r="B12" s="2924" t="s">
        <v>104</v>
      </c>
      <c r="C12" s="2925" t="s">
        <v>102</v>
      </c>
      <c r="D12" s="2926">
        <f>结果表!H106</f>
        <v>0</v>
      </c>
      <c r="E12" s="2917"/>
    </row>
    <row r="13" spans="1:5" ht="15.6">
      <c r="A13" s="2917"/>
      <c r="B13" s="2969" t="str">
        <f>结果表!E107</f>
        <v>3.房地产抵押价值</v>
      </c>
      <c r="C13" s="2927" t="s">
        <v>97</v>
      </c>
      <c r="D13" s="2928">
        <f ca="1">结果表!H107</f>
        <v>271310</v>
      </c>
      <c r="E13" s="2917"/>
    </row>
    <row r="14" spans="1:5" ht="15.6">
      <c r="A14" s="2917"/>
      <c r="B14" s="2970"/>
      <c r="C14" s="2919" t="s">
        <v>98</v>
      </c>
      <c r="D14" s="2920" t="str">
        <f ca="1">NUMBERSTRING(INT(D13*10000),2)&amp;"元整"</f>
        <v>贰拾柒亿壹仟叁佰壹拾万元整</v>
      </c>
      <c r="E14" s="2917"/>
    </row>
    <row r="15" spans="1:5" ht="15.6">
      <c r="A15" s="2917"/>
      <c r="B15" s="2971"/>
      <c r="C15" s="2921" t="s">
        <v>99</v>
      </c>
      <c r="D15" s="2929">
        <f ca="1">结果表!H108</f>
        <v>26139</v>
      </c>
      <c r="E15" s="2917"/>
    </row>
    <row r="16" spans="1:5" ht="15.6">
      <c r="A16" s="2917"/>
      <c r="B16" s="2972" t="str">
        <f>结果表!E109</f>
        <v>——</v>
      </c>
      <c r="C16" s="2927" t="s">
        <v>97</v>
      </c>
      <c r="D16" s="2930" t="str">
        <f>结果表!H109</f>
        <v>——</v>
      </c>
      <c r="E16" s="2917"/>
    </row>
    <row r="17" spans="1:5" ht="15.6">
      <c r="A17" s="2917"/>
      <c r="B17" s="2973"/>
      <c r="C17" s="2919" t="s">
        <v>98</v>
      </c>
      <c r="D17" s="2920" t="e">
        <f>NUMBERSTRING(INT(D16*10000),2)&amp;"元整"</f>
        <v>#VALUE!</v>
      </c>
      <c r="E17" s="2917"/>
    </row>
    <row r="18" spans="1:5" ht="15.6">
      <c r="A18" s="2917"/>
      <c r="B18" s="2974"/>
      <c r="C18" s="2921" t="s">
        <v>99</v>
      </c>
      <c r="D18" s="2929" t="str">
        <f>结果表!H110</f>
        <v>——</v>
      </c>
      <c r="E18" s="2917"/>
    </row>
    <row r="19" spans="1:5" ht="15.6">
      <c r="A19" s="2917"/>
      <c r="B19" s="2969" t="str">
        <f>结果表!E111</f>
        <v>——</v>
      </c>
      <c r="C19" s="2927" t="s">
        <v>97</v>
      </c>
      <c r="D19" s="2922" t="str">
        <f>结果表!H111</f>
        <v>——</v>
      </c>
      <c r="E19" s="2917"/>
    </row>
    <row r="20" spans="1:5" ht="15.6">
      <c r="A20" s="2917"/>
      <c r="B20" s="2970"/>
      <c r="C20" s="2919" t="s">
        <v>98</v>
      </c>
      <c r="D20" s="2920" t="e">
        <f>NUMBERSTRING(INT(D19*10000),2)&amp;"元整"</f>
        <v>#VALUE!</v>
      </c>
      <c r="E20" s="2917"/>
    </row>
    <row r="21" spans="1:5" ht="15.6">
      <c r="A21" s="2917"/>
      <c r="B21" s="2975"/>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7.399999999999999">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workbookViewId="0">
      <selection activeCell="K26" sqref="K26"/>
    </sheetView>
  </sheetViews>
  <sheetFormatPr defaultColWidth="9" defaultRowHeight="14.4"/>
  <cols>
    <col min="1" max="6" width="9" style="225"/>
    <col min="7" max="7" width="11.33203125" style="225" customWidth="1"/>
    <col min="8"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8.4</v>
      </c>
    </row>
    <row r="3" spans="2:10">
      <c r="B3" s="226" t="s">
        <v>2074</v>
      </c>
      <c r="C3" s="225">
        <v>81158.87</v>
      </c>
      <c r="D3" s="225">
        <f>SUM([2]出租!Q2:Q6)</f>
        <v>12091</v>
      </c>
      <c r="E3" s="225">
        <f>C3-D3</f>
        <v>69067.87</v>
      </c>
      <c r="G3" s="227" t="s">
        <v>2075</v>
      </c>
      <c r="H3" s="227">
        <v>17947.78</v>
      </c>
      <c r="I3" s="227">
        <v>0.7</v>
      </c>
      <c r="J3" s="227">
        <f>ROUND($J$2*I3,2)</f>
        <v>5.88</v>
      </c>
    </row>
    <row r="4" spans="2:10">
      <c r="B4" s="226" t="s">
        <v>2076</v>
      </c>
      <c r="C4" s="225">
        <v>18662.580000000002</v>
      </c>
      <c r="D4" s="225">
        <f>SUM([2]出租!Q7:Q9)</f>
        <v>11673.170000000002</v>
      </c>
      <c r="E4" s="225">
        <f>C4-D4</f>
        <v>6989.41</v>
      </c>
      <c r="G4" s="227" t="s">
        <v>2077</v>
      </c>
      <c r="H4" s="227">
        <v>17125.5</v>
      </c>
      <c r="I4" s="227">
        <v>0.65</v>
      </c>
      <c r="J4" s="227">
        <f t="shared" ref="J4:J8" si="0">ROUND($J$2*I4,2)</f>
        <v>5.46</v>
      </c>
    </row>
    <row r="5" spans="2:10">
      <c r="B5" s="226" t="s">
        <v>2078</v>
      </c>
      <c r="C5" s="225">
        <v>2599.87</v>
      </c>
      <c r="G5" s="227" t="s">
        <v>2079</v>
      </c>
      <c r="H5" s="227">
        <v>16939.89</v>
      </c>
      <c r="I5" s="227">
        <v>0.55000000000000004</v>
      </c>
      <c r="J5" s="227">
        <f t="shared" si="0"/>
        <v>4.62</v>
      </c>
    </row>
    <row r="6" spans="2:10">
      <c r="G6" s="227" t="s">
        <v>2080</v>
      </c>
      <c r="H6" s="227">
        <v>12063.72</v>
      </c>
      <c r="I6" s="228">
        <v>0.55000000000000004</v>
      </c>
      <c r="J6" s="227">
        <f t="shared" si="0"/>
        <v>4.62</v>
      </c>
    </row>
    <row r="7" spans="2:10">
      <c r="G7" s="227" t="s">
        <v>2081</v>
      </c>
      <c r="H7" s="227">
        <v>9331.2900000000009</v>
      </c>
      <c r="I7" s="228">
        <v>0.5</v>
      </c>
      <c r="J7" s="227">
        <f t="shared" si="0"/>
        <v>4.2</v>
      </c>
    </row>
    <row r="8" spans="2:10">
      <c r="G8" s="228" t="s">
        <v>2082</v>
      </c>
      <c r="H8" s="227">
        <f>9331.29</f>
        <v>9331.2900000000009</v>
      </c>
      <c r="I8" s="228">
        <v>0.45</v>
      </c>
      <c r="J8" s="227">
        <f t="shared" si="0"/>
        <v>3.78</v>
      </c>
    </row>
    <row r="9" spans="2:10">
      <c r="G9" s="228" t="s">
        <v>2558</v>
      </c>
      <c r="H9" s="227">
        <v>1337.42</v>
      </c>
      <c r="I9" s="228">
        <v>0.15</v>
      </c>
      <c r="J9" s="227">
        <v>1.5</v>
      </c>
    </row>
    <row r="10" spans="2:10">
      <c r="H10" s="225">
        <f>SUM(H2:H9)</f>
        <v>101158.87000000001</v>
      </c>
      <c r="J10" s="225">
        <f>ROUND((J2*H2+J3*H3+J4*H4+J5*H5+J6*H6+J7*H7+J8*H8+H9*J9)/H10,2)</f>
        <v>5.47</v>
      </c>
    </row>
    <row r="13" spans="2:10">
      <c r="C13" s="225" t="s">
        <v>2561</v>
      </c>
      <c r="D13" s="225">
        <v>2016</v>
      </c>
      <c r="E13" s="225">
        <v>2017</v>
      </c>
      <c r="F13" s="225">
        <v>2018</v>
      </c>
      <c r="G13" s="225">
        <v>2019</v>
      </c>
    </row>
    <row r="14" spans="2:10">
      <c r="C14" s="225" t="s">
        <v>2560</v>
      </c>
      <c r="D14" s="225">
        <v>1.26</v>
      </c>
      <c r="E14" s="225">
        <v>1.3</v>
      </c>
      <c r="F14" s="225">
        <v>1.69</v>
      </c>
      <c r="G14" s="225" t="s">
        <v>2559</v>
      </c>
    </row>
    <row r="15" spans="2:10">
      <c r="C15" s="225" t="s">
        <v>2562</v>
      </c>
      <c r="E15" s="225">
        <f>(E14-D14)/D14</f>
        <v>3.1746031746031772E-2</v>
      </c>
      <c r="F15" s="225">
        <f>(F14-E14)/E14</f>
        <v>0.29999999999999993</v>
      </c>
    </row>
    <row r="25" spans="2:8" ht="15" thickBot="1"/>
    <row r="26" spans="2:8" ht="15.75" customHeight="1" thickBot="1">
      <c r="B26" s="3298" t="s">
        <v>2083</v>
      </c>
      <c r="C26" s="3298" t="s">
        <v>2084</v>
      </c>
      <c r="D26" s="3301" t="s">
        <v>2085</v>
      </c>
      <c r="E26" s="3301" t="s">
        <v>474</v>
      </c>
      <c r="F26" s="3295" t="s">
        <v>475</v>
      </c>
      <c r="G26" s="3296"/>
      <c r="H26" s="3297"/>
    </row>
    <row r="27" spans="2:8" ht="16.8"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6.8" thickBot="1">
      <c r="B29" s="3300"/>
      <c r="C29" s="3300"/>
      <c r="D29" s="231" t="s">
        <v>460</v>
      </c>
      <c r="E29" s="230">
        <v>382.9</v>
      </c>
      <c r="F29" s="230">
        <v>1337.42</v>
      </c>
      <c r="G29" s="230"/>
      <c r="H29" s="230">
        <v>1337.42</v>
      </c>
    </row>
    <row r="30" spans="2:8" ht="16.8" thickBot="1">
      <c r="B30" s="3300"/>
      <c r="C30" s="3300"/>
      <c r="D30" s="230" t="s">
        <v>476</v>
      </c>
      <c r="E30" s="230">
        <f>SUM(E28:E29)</f>
        <v>28961.27</v>
      </c>
      <c r="F30" s="230">
        <f t="shared" ref="F30:H30" si="1">SUM(F28:F29)</f>
        <v>101158.87</v>
      </c>
      <c r="G30" s="230">
        <f t="shared" si="1"/>
        <v>81158.87</v>
      </c>
      <c r="H30" s="230">
        <f t="shared" si="1"/>
        <v>20000</v>
      </c>
    </row>
    <row r="31" spans="2:8" ht="33" thickBot="1">
      <c r="B31" s="3300"/>
      <c r="C31" s="3300"/>
      <c r="D31" s="230" t="s">
        <v>2088</v>
      </c>
      <c r="E31" s="230">
        <v>744.33</v>
      </c>
      <c r="F31" s="230">
        <v>2599.87</v>
      </c>
      <c r="G31" s="232">
        <v>0</v>
      </c>
      <c r="H31" s="230">
        <v>2599.87</v>
      </c>
    </row>
    <row r="32" spans="2:8" ht="33" thickBot="1">
      <c r="B32" s="3300"/>
      <c r="C32" s="3300"/>
      <c r="D32" s="230" t="s">
        <v>2088</v>
      </c>
      <c r="E32" s="230">
        <v>9.9700000000000006</v>
      </c>
      <c r="F32" s="230">
        <v>34.840000000000003</v>
      </c>
      <c r="G32" s="230">
        <v>0</v>
      </c>
      <c r="H32" s="230">
        <v>34.840000000000003</v>
      </c>
    </row>
    <row r="33" spans="2:8" ht="16.8" thickBot="1">
      <c r="B33" s="3300"/>
      <c r="C33" s="3300"/>
      <c r="D33" s="230" t="s">
        <v>476</v>
      </c>
      <c r="E33" s="230">
        <f>SUM(E31:E32)</f>
        <v>754.30000000000007</v>
      </c>
      <c r="F33" s="230">
        <f t="shared" ref="F33:H33" si="2">SUM(F31:F32)</f>
        <v>2634.71</v>
      </c>
      <c r="G33" s="230">
        <f t="shared" si="2"/>
        <v>0</v>
      </c>
      <c r="H33" s="230">
        <f t="shared" si="2"/>
        <v>2634.71</v>
      </c>
    </row>
    <row r="34" spans="2:8" ht="16.8"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7" customWidth="1"/>
    <col min="2" max="2" width="29.21875" style="138" customWidth="1"/>
    <col min="3" max="3" width="12.109375" style="138" customWidth="1"/>
    <col min="4" max="5" width="11.21875" style="139" customWidth="1"/>
    <col min="6" max="6" width="9.44140625" style="138" customWidth="1"/>
    <col min="7" max="7" width="31.88671875" style="138" customWidth="1"/>
    <col min="8" max="254" width="9" style="138" customWidth="1"/>
    <col min="255" max="16384" width="8.33203125" style="138"/>
  </cols>
  <sheetData>
    <row r="1" spans="1:7" s="132" customFormat="1" ht="21">
      <c r="A1" s="140" t="s">
        <v>2090</v>
      </c>
      <c r="B1" s="141"/>
      <c r="C1" s="142"/>
      <c r="D1" s="142"/>
      <c r="E1" s="142"/>
      <c r="F1" s="142"/>
      <c r="G1" s="143"/>
    </row>
    <row r="2" spans="1:7" s="132" customFormat="1" ht="18" customHeight="1">
      <c r="A2" s="144" t="s">
        <v>2091</v>
      </c>
      <c r="B2" s="145">
        <f ca="1">C52</f>
        <v>88757</v>
      </c>
      <c r="C2" s="146" t="s">
        <v>2092</v>
      </c>
      <c r="D2" s="143"/>
      <c r="E2" s="143"/>
      <c r="F2" s="143"/>
      <c r="G2" s="143"/>
    </row>
    <row r="3" spans="1:7" s="132" customFormat="1" ht="18" customHeight="1">
      <c r="A3" s="147" t="s">
        <v>2093</v>
      </c>
      <c r="B3" s="148">
        <f ca="1">ROUND(B2*10000/'数据-汇总表'!E3,0)</f>
        <v>8551</v>
      </c>
      <c r="C3" s="146" t="s">
        <v>2094</v>
      </c>
      <c r="D3" s="143"/>
      <c r="E3" s="143"/>
      <c r="F3" s="143"/>
      <c r="G3" s="143"/>
    </row>
    <row r="4" spans="1:7" s="133" customFormat="1" ht="16.2">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6.4">
      <c r="A27" s="177" t="s">
        <v>2133</v>
      </c>
      <c r="B27" s="196" t="s">
        <v>2134</v>
      </c>
      <c r="C27" s="197">
        <f>C28</f>
        <v>5785</v>
      </c>
      <c r="D27" s="183">
        <f>C29</f>
        <v>5.0000000000000001E-3</v>
      </c>
      <c r="E27" s="184" t="s">
        <v>2122</v>
      </c>
      <c r="F27" s="198">
        <f>'数据-取费表'!Q16</f>
        <v>0.25</v>
      </c>
      <c r="G27" s="199" t="s">
        <v>2135</v>
      </c>
    </row>
    <row r="28" spans="1:7" s="134" customFormat="1" ht="13.5" customHeight="1">
      <c r="A28" s="188" t="s">
        <v>930</v>
      </c>
      <c r="B28" s="200" t="s">
        <v>2136</v>
      </c>
      <c r="C28" s="201">
        <f>ROUND((C5+C19+C20)*F27*'数据-取费表'!B21/'数据-取费表'!B20,0)</f>
        <v>5785</v>
      </c>
      <c r="D28" s="183"/>
      <c r="E28" s="184"/>
      <c r="F28" s="198"/>
      <c r="G28" s="199"/>
    </row>
    <row r="29" spans="1:7" s="134" customFormat="1" ht="13.5" customHeight="1">
      <c r="A29" s="188" t="s">
        <v>932</v>
      </c>
      <c r="B29" s="200" t="s">
        <v>2137</v>
      </c>
      <c r="C29" s="190">
        <f>ROUND(C21*F27*'数据-取费表'!B21/'数据-取费表'!B20,4)</f>
        <v>5.0000000000000001E-3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35150</v>
      </c>
      <c r="D31" s="203"/>
      <c r="E31" s="154"/>
      <c r="F31" s="204"/>
      <c r="G31" s="185" t="s">
        <v>2143</v>
      </c>
    </row>
    <row r="32" spans="1:7" s="133" customFormat="1" ht="16.2">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10140</v>
      </c>
      <c r="D45" s="183">
        <f>C47</f>
        <v>5.0000000000000001E-3</v>
      </c>
      <c r="E45" s="184" t="s">
        <v>2155</v>
      </c>
      <c r="F45" s="198"/>
      <c r="G45" s="199" t="s">
        <v>2158</v>
      </c>
    </row>
    <row r="46" spans="1:7" s="134" customFormat="1" ht="13.5" customHeight="1">
      <c r="A46" s="188" t="s">
        <v>930</v>
      </c>
      <c r="B46" s="200" t="s">
        <v>2159</v>
      </c>
      <c r="C46" s="201">
        <f>ROUND((C33+C39)*F27,0)</f>
        <v>10140</v>
      </c>
      <c r="D46" s="214"/>
      <c r="E46" s="184"/>
      <c r="F46" s="198"/>
      <c r="G46" s="199"/>
    </row>
    <row r="47" spans="1:7" s="134" customFormat="1" ht="13.5" customHeight="1">
      <c r="A47" s="188" t="s">
        <v>932</v>
      </c>
      <c r="B47" s="200" t="s">
        <v>2160</v>
      </c>
      <c r="C47" s="190">
        <f>ROUND(C40*F27,4)</f>
        <v>5.0000000000000001E-3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58269</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53607</v>
      </c>
      <c r="D51" s="180"/>
      <c r="E51" s="180"/>
      <c r="F51" s="215"/>
      <c r="G51" s="185" t="s">
        <v>2170</v>
      </c>
    </row>
    <row r="52" spans="1:7" s="133" customFormat="1" ht="16.2">
      <c r="A52" s="216" t="s">
        <v>2171</v>
      </c>
      <c r="B52" s="217"/>
      <c r="C52" s="218">
        <f ca="1">C31+C51</f>
        <v>88757</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1" customWidth="1"/>
    <col min="2" max="5" width="10.2187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1" customWidth="1"/>
    <col min="2" max="2" width="10.2187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ht="24">
      <c r="A72" s="87" t="s">
        <v>261</v>
      </c>
      <c r="B72" s="91" t="s">
        <v>2412</v>
      </c>
      <c r="C72" s="101"/>
      <c r="D72" s="101"/>
      <c r="E72" s="101"/>
      <c r="F72" s="93">
        <v>0.05</v>
      </c>
    </row>
    <row r="73" spans="1:6" ht="24">
      <c r="A73" s="87" t="s">
        <v>261</v>
      </c>
      <c r="B73" s="91" t="s">
        <v>2419</v>
      </c>
      <c r="C73" s="101"/>
      <c r="D73" s="101"/>
      <c r="E73" s="101"/>
      <c r="F73" s="93">
        <v>0.05</v>
      </c>
    </row>
    <row r="74" spans="1:6" ht="24">
      <c r="A74" s="87" t="s">
        <v>261</v>
      </c>
      <c r="B74" s="91" t="s">
        <v>2426</v>
      </c>
      <c r="C74" s="101"/>
      <c r="D74" s="101"/>
      <c r="E74" s="101"/>
      <c r="F74" s="93">
        <v>0.05</v>
      </c>
    </row>
    <row r="75" spans="1:6" ht="24">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ht="24">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ht="24">
      <c r="A105" s="87" t="s">
        <v>269</v>
      </c>
      <c r="B105" s="91" t="s">
        <v>2449</v>
      </c>
      <c r="C105" s="101"/>
      <c r="D105" s="101"/>
      <c r="E105" s="101"/>
      <c r="F105" s="93">
        <v>0.05</v>
      </c>
    </row>
    <row r="106" spans="1:6" ht="24">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ht="24">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ht="24">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2">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31.2">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6.8">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2550</v>
      </c>
      <c r="E1" s="2" t="s">
        <v>2551</v>
      </c>
      <c r="F1" s="3" t="s">
        <v>2552</v>
      </c>
    </row>
    <row r="2" spans="1:13" ht="19.8">
      <c r="A2" s="4" t="s">
        <v>2553</v>
      </c>
    </row>
    <row r="3" spans="1:13" ht="15.6">
      <c r="A3" s="5" t="s">
        <v>2554</v>
      </c>
    </row>
    <row r="4" spans="1:13">
      <c r="A4" s="6" t="s">
        <v>1752</v>
      </c>
      <c r="B4" s="7" t="s">
        <v>459</v>
      </c>
      <c r="C4" s="8"/>
      <c r="D4" s="9"/>
      <c r="E4" s="7" t="s">
        <v>1746</v>
      </c>
      <c r="F4" s="8"/>
      <c r="G4" s="9"/>
      <c r="H4" s="7" t="s">
        <v>1783</v>
      </c>
      <c r="I4" s="8"/>
      <c r="J4" s="9"/>
      <c r="K4" s="7" t="s">
        <v>1748</v>
      </c>
      <c r="L4" s="8"/>
      <c r="M4" s="9"/>
    </row>
    <row r="5" spans="1:13">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4.4"/>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2988" t="str">
        <f>IF(项目基本情况!B9="房地产市场价值","估价结果一览表","结果表-2")</f>
        <v>结果表-2</v>
      </c>
      <c r="B1" s="2988"/>
      <c r="C1" s="2988"/>
      <c r="D1" s="2988"/>
      <c r="E1" s="2988"/>
      <c r="F1" s="2988"/>
      <c r="G1" s="2988"/>
      <c r="H1" s="2988"/>
      <c r="I1" s="2988"/>
    </row>
    <row r="2" spans="1:9" ht="30" customHeight="1">
      <c r="A2" s="2989" t="s">
        <v>107</v>
      </c>
      <c r="B2" s="2989" t="s">
        <v>108</v>
      </c>
      <c r="C2" s="2989" t="s">
        <v>109</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6">
      <c r="A3" s="2983"/>
      <c r="B3" s="2983"/>
      <c r="C3" s="2983"/>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217591</v>
      </c>
      <c r="E4" s="2912">
        <f ca="1">结果表!E118</f>
        <v>20963</v>
      </c>
      <c r="F4" s="2912">
        <f ca="1">结果表!F118</f>
        <v>53719</v>
      </c>
      <c r="G4" s="2912">
        <f ca="1">结果表!G118</f>
        <v>5176</v>
      </c>
      <c r="H4" s="2912">
        <f ca="1">结果表!H118</f>
        <v>271310</v>
      </c>
      <c r="I4" s="2912">
        <f ca="1">结果表!I118</f>
        <v>26139</v>
      </c>
    </row>
    <row r="5" spans="1:9" ht="30" customHeight="1">
      <c r="A5" s="2983" t="s">
        <v>112</v>
      </c>
      <c r="B5" s="2983"/>
      <c r="C5" s="2983"/>
      <c r="D5" s="2984" t="str">
        <f ca="1">结果表!D119</f>
        <v>贰拾壹亿柒仟伍佰玖拾壹万元整</v>
      </c>
      <c r="E5" s="2984"/>
      <c r="F5" s="2984" t="str">
        <f ca="1">结果表!F119</f>
        <v>伍亿叁仟柒佰壹拾玖万元整</v>
      </c>
      <c r="G5" s="2984"/>
      <c r="H5" s="2984" t="str">
        <f ca="1">结果表!H119</f>
        <v>贰拾柒亿壹仟叁佰壹拾万元整</v>
      </c>
      <c r="I5" s="2984"/>
    </row>
    <row r="6" spans="1:9" ht="15.6">
      <c r="A6" s="2979" t="str">
        <f>结果表!A120</f>
        <v>估价师知悉的法定优先受偿款</v>
      </c>
      <c r="B6" s="2979"/>
      <c r="C6" s="2979"/>
      <c r="D6" s="2979">
        <f>结果表!D120</f>
        <v>0</v>
      </c>
      <c r="E6" s="2979"/>
      <c r="F6" s="2979"/>
      <c r="G6" s="2979"/>
      <c r="H6" s="2979"/>
      <c r="I6" s="2979"/>
    </row>
    <row r="7" spans="1:9" ht="15">
      <c r="A7" s="2983" t="s">
        <v>112</v>
      </c>
      <c r="B7" s="2983"/>
      <c r="C7" s="2983"/>
      <c r="D7" s="2985" t="str">
        <f>结果表!D121</f>
        <v>零元整</v>
      </c>
      <c r="E7" s="2986"/>
      <c r="F7" s="2986"/>
      <c r="G7" s="2986"/>
      <c r="H7" s="2986"/>
      <c r="I7" s="2987"/>
    </row>
    <row r="8" spans="1:9" ht="15.6">
      <c r="A8" s="2979" t="str">
        <f>结果表!A122</f>
        <v>房地产抵押价值</v>
      </c>
      <c r="B8" s="2979"/>
      <c r="C8" s="2979"/>
      <c r="D8" s="2979">
        <f ca="1">结果表!D122</f>
        <v>271310</v>
      </c>
      <c r="E8" s="2979"/>
      <c r="F8" s="2979"/>
      <c r="G8" s="2979"/>
      <c r="H8" s="2979"/>
      <c r="I8" s="2979"/>
    </row>
    <row r="9" spans="1:9" ht="15">
      <c r="A9" s="2983" t="s">
        <v>112</v>
      </c>
      <c r="B9" s="2983"/>
      <c r="C9" s="2983"/>
      <c r="D9" s="2984" t="str">
        <f ca="1">结果表!D123</f>
        <v>贰拾柒亿壹仟叁佰壹拾万元整</v>
      </c>
      <c r="E9" s="2984"/>
      <c r="F9" s="2984"/>
      <c r="G9" s="2984"/>
      <c r="H9" s="2984"/>
      <c r="I9" s="2984"/>
    </row>
    <row r="10" spans="1:9" ht="15.6">
      <c r="A10" s="2979" t="str">
        <f>结果表!A124</f>
        <v/>
      </c>
      <c r="B10" s="2979"/>
      <c r="C10" s="2979"/>
      <c r="D10" s="2979" t="str">
        <f>结果表!D124</f>
        <v>——</v>
      </c>
      <c r="E10" s="2979"/>
      <c r="F10" s="2979"/>
      <c r="G10" s="2979"/>
      <c r="H10" s="2979"/>
      <c r="I10" s="2979"/>
    </row>
    <row r="11" spans="1:9" ht="15">
      <c r="A11" s="2983" t="s">
        <v>112</v>
      </c>
      <c r="B11" s="2983"/>
      <c r="C11" s="2983"/>
      <c r="D11" s="2984" t="e">
        <f>结果表!D125</f>
        <v>#VALUE!</v>
      </c>
      <c r="E11" s="2984"/>
      <c r="F11" s="2984"/>
      <c r="G11" s="2984"/>
      <c r="H11" s="2984"/>
      <c r="I11" s="2984"/>
    </row>
    <row r="12" spans="1:9" ht="15.6">
      <c r="A12" s="2979" t="str">
        <f>结果表!A126</f>
        <v/>
      </c>
      <c r="B12" s="2979"/>
      <c r="C12" s="2979"/>
      <c r="D12" s="2979" t="str">
        <f>结果表!D126</f>
        <v>——</v>
      </c>
      <c r="E12" s="2979"/>
      <c r="F12" s="2979"/>
      <c r="G12" s="2979"/>
      <c r="H12" s="2979"/>
      <c r="I12" s="2979"/>
    </row>
    <row r="13" spans="1:9" ht="15">
      <c r="A13" s="2980" t="s">
        <v>112</v>
      </c>
      <c r="B13" s="2980"/>
      <c r="C13" s="2980"/>
      <c r="D13" s="2981" t="e">
        <f>结果表!D127</f>
        <v>#VALUE!</v>
      </c>
      <c r="E13" s="2981"/>
      <c r="F13" s="2981"/>
      <c r="G13" s="2981"/>
      <c r="H13" s="2981"/>
      <c r="I13" s="2981"/>
    </row>
    <row r="14" spans="1:9">
      <c r="A14" s="2982" t="s">
        <v>113</v>
      </c>
      <c r="B14" s="2982"/>
      <c r="C14" s="2982"/>
      <c r="D14" s="2982"/>
      <c r="E14" s="2982"/>
      <c r="F14" s="2982"/>
      <c r="G14" s="2982"/>
      <c r="H14" s="2982"/>
      <c r="I14" s="2982"/>
    </row>
    <row r="16" spans="1:9" ht="17.399999999999999">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2996" t="s">
        <v>114</v>
      </c>
      <c r="B1" s="2996"/>
      <c r="C1" s="2996"/>
      <c r="D1" s="2996"/>
    </row>
    <row r="2" spans="1:4" ht="17.399999999999999">
      <c r="A2" s="2997" t="s">
        <v>115</v>
      </c>
      <c r="B2" s="2997"/>
      <c r="C2" s="2997"/>
      <c r="D2" s="2997"/>
    </row>
    <row r="3" spans="1:4" ht="17.399999999999999">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7.399999999999999">
      <c r="A6" s="2997" t="s">
        <v>121</v>
      </c>
      <c r="B6" s="2997"/>
      <c r="C6" s="2997"/>
      <c r="D6" s="2997"/>
    </row>
    <row r="7" spans="1:4" ht="17.399999999999999">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7.399999999999999">
      <c r="A10" s="2899" t="s">
        <v>125</v>
      </c>
      <c r="B10" s="2907"/>
      <c r="C10" s="2907"/>
      <c r="D10" s="2907"/>
    </row>
    <row r="11" spans="1:4" ht="30" customHeight="1">
      <c r="A11" s="2998" t="s">
        <v>126</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1" t="str">
        <f>IF(项目基本情况!B8="抵押","4.本次评估估价师所知悉的法定优先受偿款情况说明如下：","——")</f>
        <v>4.本次评估估价师所知悉的法定优先受偿款情况说明如下：</v>
      </c>
      <c r="B14" s="2994"/>
      <c r="C14" s="2994"/>
      <c r="D14" s="2994"/>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5" t="s">
        <v>127</v>
      </c>
      <c r="B16" s="2995"/>
      <c r="C16" s="2995"/>
      <c r="D16" s="2995"/>
    </row>
    <row r="17" spans="1:4" ht="144" customHeight="1">
      <c r="A17" s="2995" t="s">
        <v>128</v>
      </c>
      <c r="B17" s="2995"/>
      <c r="C17" s="2995"/>
      <c r="D17" s="2995"/>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908"/>
      <c r="B23" s="2909"/>
      <c r="C23" s="2909"/>
      <c r="D23" s="2909"/>
    </row>
    <row r="24" spans="1:4">
      <c r="A24" s="2908"/>
      <c r="B24" s="2909"/>
      <c r="C24" s="2909"/>
      <c r="D24" s="2909"/>
    </row>
    <row r="25" spans="1:4" ht="17.399999999999999">
      <c r="A25" s="2910" t="s">
        <v>130</v>
      </c>
    </row>
    <row r="26" spans="1:4" ht="17.399999999999999">
      <c r="A26" s="2911"/>
    </row>
    <row r="27" spans="1:4" ht="17.399999999999999">
      <c r="A27" s="2911" t="s">
        <v>131</v>
      </c>
    </row>
    <row r="30" spans="1:4" ht="17.399999999999999">
      <c r="D30" s="2910" t="s">
        <v>132</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895" customWidth="1"/>
    <col min="3" max="10" width="12.44140625" style="2895" customWidth="1"/>
    <col min="11" max="16384" width="9" style="2895"/>
  </cols>
  <sheetData>
    <row r="1" spans="1:10" ht="17.399999999999999">
      <c r="A1" s="2896" t="s">
        <v>133</v>
      </c>
      <c r="B1" s="2897"/>
      <c r="C1" s="2897"/>
      <c r="D1" s="2897"/>
      <c r="E1" s="2897"/>
      <c r="F1" s="2897"/>
      <c r="G1" s="2897"/>
      <c r="H1" s="2897"/>
      <c r="I1" s="2897"/>
      <c r="J1" s="2897"/>
    </row>
    <row r="2" spans="1:10" ht="17.399999999999999">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44140625" defaultRowHeight="15.6"/>
  <cols>
    <col min="1" max="1" width="14.44140625" style="2878" customWidth="1"/>
    <col min="2" max="16384" width="14.44140625" style="2828"/>
  </cols>
  <sheetData>
    <row r="1" spans="1:7" s="2877" customFormat="1" ht="17.399999999999999">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4.4">
      <c r="A15" s="3001" t="s">
        <v>146</v>
      </c>
      <c r="B15" s="3006" t="s">
        <v>147</v>
      </c>
      <c r="C15" s="3000"/>
    </row>
    <row r="16" spans="1:7" ht="14.4">
      <c r="A16" s="3002"/>
      <c r="B16" s="3006" t="s">
        <v>148</v>
      </c>
      <c r="C16" s="3000"/>
    </row>
    <row r="17" spans="1:3" ht="14.4">
      <c r="A17" s="3002"/>
      <c r="B17" s="3005" t="s">
        <v>149</v>
      </c>
      <c r="C17" s="2888" t="s">
        <v>146</v>
      </c>
    </row>
    <row r="18" spans="1:3" ht="14.4">
      <c r="A18" s="3002"/>
      <c r="B18" s="3005"/>
      <c r="C18" s="2888" t="s">
        <v>150</v>
      </c>
    </row>
    <row r="19" spans="1:3" ht="14.4">
      <c r="A19" s="3002"/>
      <c r="B19" s="3005"/>
      <c r="C19" s="2888" t="s">
        <v>151</v>
      </c>
    </row>
    <row r="20" spans="1:3" ht="14.4">
      <c r="A20" s="3003"/>
      <c r="B20" s="2999" t="s">
        <v>152</v>
      </c>
      <c r="C20" s="3000"/>
    </row>
    <row r="21" spans="1:3" ht="14.4">
      <c r="A21" s="2889" t="s">
        <v>153</v>
      </c>
      <c r="B21" s="2890"/>
      <c r="C21" s="2891"/>
    </row>
    <row r="22" spans="1:3" ht="14.4">
      <c r="A22" s="3004" t="s">
        <v>154</v>
      </c>
      <c r="B22" s="2999" t="s">
        <v>155</v>
      </c>
      <c r="C22" s="3000"/>
    </row>
    <row r="23" spans="1:3" ht="14.4">
      <c r="A23" s="3004"/>
      <c r="B23" s="2999" t="s">
        <v>156</v>
      </c>
      <c r="C23" s="3000"/>
    </row>
    <row r="24" spans="1:3" ht="14.4">
      <c r="A24" s="3004"/>
      <c r="B24" s="2999" t="s">
        <v>157</v>
      </c>
      <c r="C24" s="3000"/>
    </row>
    <row r="25" spans="1:3" ht="14.4">
      <c r="A25" s="3004"/>
      <c r="B25" s="3005" t="s">
        <v>158</v>
      </c>
      <c r="C25" s="2888" t="s">
        <v>159</v>
      </c>
    </row>
    <row r="26" spans="1:3" ht="14.4">
      <c r="A26" s="3004"/>
      <c r="B26" s="3005"/>
      <c r="C26" s="2888" t="s">
        <v>160</v>
      </c>
    </row>
    <row r="27" spans="1:3" ht="14.4">
      <c r="A27" s="3004"/>
      <c r="B27" s="3005"/>
      <c r="C27" s="2888" t="s">
        <v>161</v>
      </c>
    </row>
    <row r="28" spans="1:3" ht="14.4">
      <c r="A28" s="3004"/>
      <c r="B28" s="3005"/>
      <c r="C28" s="2888" t="s">
        <v>162</v>
      </c>
    </row>
    <row r="29" spans="1:3" ht="14.4">
      <c r="A29" s="3004"/>
      <c r="B29" s="3005"/>
      <c r="C29" s="2888" t="s">
        <v>163</v>
      </c>
    </row>
    <row r="30" spans="1:3" ht="14.4">
      <c r="A30" s="3004"/>
      <c r="B30" s="3005"/>
      <c r="C30" s="2888" t="s">
        <v>164</v>
      </c>
    </row>
    <row r="31" spans="1:3" ht="14.4">
      <c r="A31" s="3004"/>
      <c r="B31" s="3005"/>
      <c r="C31" s="2888" t="s">
        <v>165</v>
      </c>
    </row>
    <row r="32" spans="1:3" ht="14.4">
      <c r="A32" s="3004"/>
      <c r="B32" s="3005"/>
      <c r="C32" s="2888" t="s">
        <v>166</v>
      </c>
    </row>
    <row r="33" spans="1:3" ht="14.4">
      <c r="A33" s="3004"/>
      <c r="B33" s="3005"/>
      <c r="C33" s="2888" t="s">
        <v>167</v>
      </c>
    </row>
    <row r="34" spans="1:3">
      <c r="A34" s="2892" t="s">
        <v>168</v>
      </c>
    </row>
    <row r="37" spans="1:3">
      <c r="A37" s="2892" t="s">
        <v>169</v>
      </c>
    </row>
    <row r="38" spans="1:3" ht="14.4">
      <c r="A38" s="2893" t="s">
        <v>170</v>
      </c>
    </row>
    <row r="39" spans="1:3" ht="14.4">
      <c r="A39" s="2893" t="s">
        <v>171</v>
      </c>
    </row>
    <row r="40" spans="1:3" ht="14.4">
      <c r="A40" s="2893" t="s">
        <v>172</v>
      </c>
    </row>
    <row r="41" spans="1:3" ht="14.4">
      <c r="A41" s="2894" t="s">
        <v>173</v>
      </c>
    </row>
    <row r="42" spans="1:3" ht="14.4">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2848"/>
    <col min="3" max="3" width="32.21875" style="2848" customWidth="1"/>
    <col min="4" max="5" width="22.6640625" style="2848"/>
    <col min="6" max="6" width="25.6640625" style="2848" customWidth="1"/>
    <col min="7" max="16384" width="22.6640625" style="2848"/>
  </cols>
  <sheetData>
    <row r="2" spans="1:6" ht="24" customHeight="1">
      <c r="A2" s="2849" t="s">
        <v>175</v>
      </c>
      <c r="B2" s="2850">
        <f ca="1">TODAY()</f>
        <v>43766</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2019-10-28T09:19:02Z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