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r:id="rId30"/>
    <sheet name="收益法 (车库)" sheetId="77" r:id="rId31"/>
    <sheet name="比较法-工业" sheetId="37" state="hidden" r:id="rId32"/>
    <sheet name="比较法-仓储" sheetId="36" state="hidden" r:id="rId33"/>
    <sheet name="土地比较法-住宅、综合" sheetId="39"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成本法" sheetId="68" r:id="rId47"/>
    <sheet name="基准地价修正" sheetId="43" r:id="rId48"/>
  </sheets>
  <definedNames>
    <definedName name="_xlnm._FilterDatabase" localSheetId="20" hidden="1">'比较法-办公'!$A$1:$L$50</definedName>
    <definedName name="_xlnm._FilterDatabase" localSheetId="27" hidden="1">'比较法-办公 (租金)'!$A$1:$L$50</definedName>
    <definedName name="_xlnm._FilterDatabase" localSheetId="32" hidden="1">'比较法-仓储'!$A$1:$L$37</definedName>
    <definedName name="_xlnm._FilterDatabase" localSheetId="29"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G67" i="80"/>
  <c r="H67" i="80" s="1"/>
  <c r="I67" i="80" s="1"/>
  <c r="F67" i="80"/>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C7" i="80"/>
  <c r="C59" i="80" s="1"/>
  <c r="D59" i="80" s="1"/>
  <c r="E59" i="80" s="1"/>
  <c r="F59" i="80" s="1"/>
  <c r="G59" i="80" s="1"/>
  <c r="H59" i="80" s="1"/>
  <c r="I59" i="80" s="1"/>
  <c r="J59" i="80" s="1"/>
  <c r="K59" i="80" s="1"/>
  <c r="L59" i="80" s="1"/>
  <c r="M59" i="80" s="1"/>
  <c r="N59" i="80" s="1"/>
  <c r="O59" i="80" s="1"/>
  <c r="D3"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C17" i="79"/>
  <c r="D14" i="79"/>
  <c r="D17" i="79" s="1"/>
  <c r="L4" i="79"/>
  <c r="K4" i="79"/>
  <c r="A2" i="79"/>
  <c r="H1" i="79"/>
  <c r="D2" i="80"/>
  <c r="D35" i="79"/>
  <c r="D34" i="79"/>
  <c r="F80" i="80" l="1"/>
  <c r="G80" i="80" s="1"/>
  <c r="H17" i="80"/>
  <c r="AB17" i="80" s="1"/>
  <c r="J17" i="80"/>
  <c r="AC17" i="80" s="1"/>
  <c r="F17" i="80"/>
  <c r="AA17" i="80" s="1"/>
  <c r="F7" i="80"/>
  <c r="J7" i="80"/>
  <c r="S8" i="80"/>
  <c r="W8" i="80"/>
  <c r="S9" i="80"/>
  <c r="W9" i="80"/>
  <c r="U10" i="80"/>
  <c r="S11" i="80"/>
  <c r="W11" i="80"/>
  <c r="U12" i="80"/>
  <c r="S13" i="80"/>
  <c r="W13" i="80"/>
  <c r="U14" i="80"/>
  <c r="U15" i="80"/>
  <c r="U17" i="80"/>
  <c r="U19" i="80"/>
  <c r="AA19" i="80"/>
  <c r="H7"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74" i="79"/>
  <c r="C92" i="79"/>
  <c r="C94" i="79"/>
  <c r="K120" i="79"/>
  <c r="D121" i="79"/>
  <c r="H109" i="79"/>
  <c r="Q72" i="77"/>
  <c r="Q59" i="77"/>
  <c r="K59" i="77"/>
  <c r="P74" i="77" s="1"/>
  <c r="F59" i="77"/>
  <c r="Q58" i="77"/>
  <c r="Q51" i="77"/>
  <c r="J50"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D14" i="9"/>
  <c r="D39" i="43"/>
  <c r="D29" i="43"/>
  <c r="C76" i="77"/>
  <c r="W17" i="80" l="1"/>
  <c r="AB7" i="80"/>
  <c r="T49" i="80" s="1"/>
  <c r="G49" i="80" s="1"/>
  <c r="U7" i="80"/>
  <c r="W7" i="80"/>
  <c r="AC7" i="80"/>
  <c r="V49" i="80" s="1"/>
  <c r="I49" i="80" s="1"/>
  <c r="S7" i="80"/>
  <c r="AA7" i="80"/>
  <c r="R49" i="80" s="1"/>
  <c r="D124" i="79"/>
  <c r="D125" i="79" s="1"/>
  <c r="H110" i="79"/>
  <c r="Q71" i="77"/>
  <c r="P61" i="77"/>
  <c r="G20" i="6"/>
  <c r="F19" i="6"/>
  <c r="B7" i="4"/>
  <c r="F16" i="77"/>
  <c r="M29" i="77"/>
  <c r="M23" i="77"/>
  <c r="M9" i="77"/>
  <c r="C14" i="77"/>
  <c r="M8" i="77"/>
  <c r="F36" i="77"/>
  <c r="M24" i="77"/>
  <c r="F43" i="77"/>
  <c r="M26" i="77"/>
  <c r="F38" i="77"/>
  <c r="F9" i="77"/>
  <c r="M27" i="77"/>
  <c r="M22" i="77"/>
  <c r="F13" i="77"/>
  <c r="J15" i="77"/>
  <c r="F7" i="77"/>
  <c r="M28" i="77"/>
  <c r="F42" i="77"/>
  <c r="M6" i="77"/>
  <c r="F37" i="77"/>
  <c r="F8" i="77"/>
  <c r="F40" i="77"/>
  <c r="F26" i="77"/>
  <c r="F6" i="77"/>
  <c r="E49" i="80" l="1"/>
  <c r="R50" i="80"/>
  <c r="I54" i="80"/>
  <c r="J54" i="80" s="1"/>
  <c r="I53" i="80"/>
  <c r="J53" i="80" s="1"/>
  <c r="G54" i="80"/>
  <c r="H54" i="80" s="1"/>
  <c r="G53" i="80"/>
  <c r="H53" i="80" s="1"/>
  <c r="F71" i="77"/>
  <c r="F68" i="77"/>
  <c r="F50" i="77"/>
  <c r="M7" i="77"/>
  <c r="J6" i="77" s="1"/>
  <c r="F66" i="77"/>
  <c r="F64" i="77"/>
  <c r="C18" i="77"/>
  <c r="C15" i="77"/>
  <c r="F51" i="77"/>
  <c r="F65" i="77"/>
  <c r="C27" i="77"/>
  <c r="C6" i="77"/>
  <c r="L3" i="71"/>
  <c r="K3" i="71"/>
  <c r="I3" i="71"/>
  <c r="C16" i="77"/>
  <c r="C17" i="77"/>
  <c r="E54" i="80" l="1"/>
  <c r="F54" i="80" s="1"/>
  <c r="E53" i="80"/>
  <c r="F53" i="80" s="1"/>
  <c r="C50" i="80"/>
  <c r="U6" i="1" s="1"/>
  <c r="C49" i="80"/>
  <c r="C49" i="77"/>
  <c r="C19" i="77"/>
  <c r="J3" i="71"/>
  <c r="B3" i="80" l="1"/>
  <c r="B2" i="80"/>
  <c r="C20" i="77"/>
  <c r="C26" i="77" s="1"/>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8" i="76"/>
  <c r="B7" i="76"/>
  <c r="E10" i="76"/>
  <c r="E9" i="76"/>
  <c r="E12" i="76"/>
  <c r="B10" i="76"/>
  <c r="B9" i="76"/>
  <c r="B12" i="76"/>
  <c r="B13" i="76"/>
  <c r="B11" i="76"/>
  <c r="E7" i="76"/>
  <c r="E8"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D3" i="73"/>
  <c r="F5" i="73"/>
  <c r="F3" i="73"/>
  <c r="D6" i="73"/>
  <c r="F4" i="73"/>
  <c r="I1" i="73" l="1"/>
  <c r="B39" i="1" s="1"/>
  <c r="D7" i="73"/>
  <c r="D4"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J18" i="77"/>
  <c r="C53" i="77"/>
  <c r="C48" i="77" s="1"/>
  <c r="C10" i="77"/>
  <c r="C5" i="77" s="1"/>
  <c r="AA10" i="43"/>
  <c r="AC10" i="43"/>
  <c r="AE10" i="43"/>
  <c r="AG10" i="43"/>
  <c r="AI10" i="43"/>
  <c r="Z10" i="43"/>
  <c r="AB10" i="43"/>
  <c r="AD10" i="43"/>
  <c r="AF10" i="43"/>
  <c r="AH10" i="43"/>
  <c r="AJ10" i="43"/>
  <c r="C38" i="77" l="1"/>
  <c r="C32" i="77"/>
  <c r="C66" i="77"/>
  <c r="C6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BR5" i="3"/>
  <c r="AZ384" i="3"/>
  <c r="AZ396" i="3"/>
  <c r="AZ394" i="3"/>
  <c r="AZ509"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L47" i="77"/>
  <c r="L48" i="77"/>
  <c r="U33" i="35" l="1"/>
  <c r="AA29" i="35"/>
  <c r="S14" i="35"/>
  <c r="AC14" i="35"/>
  <c r="S44" i="34"/>
  <c r="AA41" i="34"/>
  <c r="W37" i="34"/>
  <c r="AC36" i="34"/>
  <c r="S35" i="34"/>
  <c r="AB23" i="34"/>
  <c r="AB17" i="34"/>
  <c r="AC15" i="34"/>
  <c r="AA15" i="34"/>
  <c r="S34" i="34"/>
  <c r="W8" i="34"/>
  <c r="L59" i="77"/>
  <c r="N59" i="77"/>
  <c r="M59" i="77"/>
  <c r="L57" i="77"/>
  <c r="J53" i="77"/>
  <c r="J59" i="77"/>
  <c r="I54" i="77"/>
  <c r="L58" i="77"/>
  <c r="L56" i="77"/>
  <c r="J57" i="77"/>
  <c r="J55" i="77" s="1"/>
  <c r="J58" i="77" s="1"/>
  <c r="Q50" i="77" s="1"/>
  <c r="J60" i="77"/>
  <c r="Q48" i="77" s="1"/>
  <c r="L60" i="77"/>
  <c r="L46" i="77"/>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15"/>
  <c r="F40" i="15"/>
  <c r="M26" i="67"/>
  <c r="M23" i="67"/>
  <c r="F38" i="67"/>
  <c r="L47" i="67"/>
  <c r="L48" i="15"/>
  <c r="F42" i="67"/>
  <c r="M6" i="15"/>
  <c r="F26" i="15"/>
  <c r="F40" i="67"/>
  <c r="F16" i="67"/>
  <c r="L47" i="15"/>
  <c r="M9" i="15"/>
  <c r="F7" i="67"/>
  <c r="F36" i="15"/>
  <c r="M8" i="67"/>
  <c r="J15" i="67"/>
  <c r="M9" i="67"/>
  <c r="L48" i="67"/>
  <c r="F13" i="67"/>
  <c r="F42" i="15"/>
  <c r="G1" i="73"/>
  <c r="F13" i="15"/>
  <c r="M26" i="15"/>
  <c r="F8" i="67"/>
  <c r="M28" i="15"/>
  <c r="F38" i="15"/>
  <c r="F9" i="67"/>
  <c r="F6" i="67"/>
  <c r="F26" i="67"/>
  <c r="M22" i="15"/>
  <c r="F7" i="15"/>
  <c r="M22" i="67"/>
  <c r="F16" i="15"/>
  <c r="J15" i="15"/>
  <c r="F43" i="67"/>
  <c r="M6" i="67"/>
  <c r="M8" i="15"/>
  <c r="M28" i="67"/>
  <c r="C76" i="67"/>
  <c r="M24" i="15"/>
  <c r="F9" i="15"/>
  <c r="M23" i="15"/>
  <c r="F37" i="15"/>
  <c r="F6" i="15"/>
  <c r="F8" i="15"/>
  <c r="F43" i="15"/>
  <c r="F37" i="67"/>
  <c r="C76" i="15"/>
  <c r="M24" i="67"/>
  <c r="M29" i="67"/>
  <c r="F36" i="67"/>
  <c r="AA11" i="34" l="1"/>
  <c r="Q74" i="77"/>
  <c r="Q61" i="77"/>
  <c r="F1" i="77"/>
  <c r="Q52" i="77"/>
  <c r="Q66" i="77"/>
  <c r="Q57" i="77"/>
  <c r="Q60" i="77"/>
  <c r="Q73" i="77"/>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15"/>
  <c r="C17" i="15"/>
  <c r="C16" i="67"/>
  <c r="B73" i="72" l="1"/>
  <c r="B71" i="72"/>
  <c r="K4" i="4"/>
  <c r="B46" i="48" s="1"/>
  <c r="C24" i="77"/>
  <c r="C23" i="77"/>
  <c r="C30" i="69"/>
  <c r="S3" i="43"/>
  <c r="C23" i="43"/>
  <c r="C21" i="43" s="1"/>
  <c r="C29" i="43" s="1"/>
  <c r="S5" i="43"/>
  <c r="S7" i="43"/>
  <c r="S4" i="43"/>
  <c r="S6" i="43"/>
  <c r="T6" i="43" s="1"/>
  <c r="V6" i="43"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B4" i="72" l="1"/>
  <c r="C29" i="77"/>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A7" i="34" l="1"/>
  <c r="R49" i="34" s="1"/>
  <c r="C57" i="77"/>
  <c r="C36" i="77"/>
  <c r="J19" i="77"/>
  <c r="J14" i="77"/>
  <c r="C13" i="77"/>
  <c r="Q49" i="77"/>
  <c r="C33" i="77"/>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R50" i="34" l="1"/>
  <c r="C50" i="34" s="1"/>
  <c r="J13" i="77"/>
  <c r="J23" i="77" s="1"/>
  <c r="J22" i="77"/>
  <c r="C75" i="77"/>
  <c r="Q70" i="77"/>
  <c r="C37" i="77"/>
  <c r="C56" i="77"/>
  <c r="C65" i="77" s="1"/>
  <c r="C64" i="77"/>
  <c r="C61" i="77"/>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77"/>
  <c r="M21" i="15"/>
  <c r="M21" i="77"/>
  <c r="F35" i="15"/>
  <c r="F35" i="67"/>
  <c r="M21" i="67"/>
  <c r="B6" i="76"/>
  <c r="J20" i="77" l="1"/>
  <c r="J17" i="77" s="1"/>
  <c r="J16" i="77" s="1"/>
  <c r="J25" i="77" s="1"/>
  <c r="F63" i="77"/>
  <c r="C62" i="77" s="1"/>
  <c r="C59" i="77" s="1"/>
  <c r="C58" i="77" s="1"/>
  <c r="C67" i="77" s="1"/>
  <c r="C34" i="77"/>
  <c r="C31" i="77" s="1"/>
  <c r="C30" i="77" s="1"/>
  <c r="C39" i="77" s="1"/>
  <c r="C80" i="77" s="1"/>
  <c r="C79"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77" l="1"/>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M27" i="15"/>
  <c r="F41" i="67"/>
  <c r="M27" i="67"/>
  <c r="F41" i="15"/>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B3" i="77" s="1"/>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9"/>
  <c r="AO6" i="1"/>
  <c r="AO8" i="1"/>
  <c r="E2" i="69"/>
  <c r="AO7" i="1"/>
  <c r="D21" i="79" l="1"/>
  <c r="D102" i="79"/>
  <c r="B3" i="15"/>
  <c r="B8" i="70"/>
  <c r="B7" i="70"/>
  <c r="B6" i="70"/>
  <c r="C46" i="15"/>
  <c r="B2" i="69"/>
  <c r="B3" i="69" s="1"/>
  <c r="B2" i="68"/>
  <c r="B3" i="67"/>
  <c r="D20" i="79"/>
  <c r="D2" i="33"/>
  <c r="E2" i="68"/>
  <c r="D2" i="37"/>
  <c r="D2" i="35"/>
  <c r="D2" i="34"/>
  <c r="D2" i="36"/>
  <c r="D2" i="21"/>
  <c r="F20" i="31"/>
  <c r="D103" i="79" l="1"/>
  <c r="B20" i="31"/>
  <c r="B2" i="36"/>
  <c r="B3" i="36" s="1"/>
  <c r="B2" i="35"/>
  <c r="B3" i="35" s="1"/>
  <c r="B2" i="37"/>
  <c r="B3" i="37" s="1"/>
  <c r="B2" i="34"/>
  <c r="B2" i="21"/>
  <c r="B3" i="21" s="1"/>
  <c r="B2" i="70"/>
  <c r="B3" i="70" s="1"/>
  <c r="B3" i="68"/>
  <c r="D20" i="9"/>
  <c r="C19" i="79"/>
  <c r="C19" i="9"/>
  <c r="D19" i="9"/>
  <c r="C21" i="79" l="1"/>
  <c r="C102" i="79"/>
  <c r="D22" i="79"/>
  <c r="G19" i="79"/>
  <c r="D15" i="74" s="1"/>
  <c r="G15" i="74" s="1"/>
  <c r="C102" i="9"/>
  <c r="C21" i="9"/>
  <c r="B3" i="34"/>
  <c r="G19" i="9"/>
  <c r="D102" i="9"/>
  <c r="D22" i="9"/>
  <c r="D21" i="9"/>
  <c r="D103" i="9"/>
  <c r="C20" i="79"/>
  <c r="C20" i="9"/>
  <c r="E15" i="74" l="1"/>
  <c r="F15" i="74"/>
  <c r="C103" i="79"/>
  <c r="G20" i="79"/>
  <c r="C103" i="9"/>
  <c r="G20" i="9"/>
  <c r="C32" i="79"/>
  <c r="G21" i="79"/>
  <c r="C32" i="9"/>
  <c r="G21" i="9"/>
  <c r="D34" i="9"/>
  <c r="H118" i="79" l="1"/>
  <c r="C35" i="79"/>
  <c r="H109" i="9"/>
  <c r="F118" i="79" l="1"/>
  <c r="C34" i="79"/>
  <c r="D118" i="79" s="1"/>
  <c r="D119" i="79" s="1"/>
  <c r="I118" i="79"/>
  <c r="H119" i="79"/>
  <c r="C104" i="79"/>
  <c r="H101" i="79"/>
  <c r="H110" i="9"/>
  <c r="D18" i="53" s="1"/>
  <c r="B35" i="72" s="1"/>
  <c r="D124" i="9"/>
  <c r="D16" i="53"/>
  <c r="B34" i="72" s="1"/>
  <c r="H107" i="79" l="1"/>
  <c r="M48" i="79"/>
  <c r="D45" i="79"/>
  <c r="C105" i="79"/>
  <c r="H102" i="79"/>
  <c r="F119" i="79"/>
  <c r="G118" i="79"/>
  <c r="E118" i="79" s="1"/>
  <c r="D10" i="52"/>
  <c r="H14" i="74"/>
  <c r="D17" i="53"/>
  <c r="B36" i="72" s="1"/>
  <c r="D125" i="9"/>
  <c r="D11" i="52" s="1"/>
  <c r="C78" i="79" l="1"/>
  <c r="C73" i="79" s="1"/>
  <c r="C93" i="79"/>
  <c r="C86" i="79" s="1"/>
  <c r="C72" i="79"/>
  <c r="C79" i="79" s="1"/>
  <c r="C80" i="79" s="1"/>
  <c r="E80" i="79" s="1"/>
  <c r="E81" i="79" s="1"/>
  <c r="D55" i="79"/>
  <c r="M53" i="79" s="1"/>
  <c r="D52" i="79"/>
  <c r="C85" i="79"/>
  <c r="C95" i="79" s="1"/>
  <c r="C96" i="79" s="1"/>
  <c r="E96" i="79" s="1"/>
  <c r="E97" i="79" s="1"/>
  <c r="C64" i="79"/>
  <c r="C63" i="79" s="1"/>
  <c r="C67" i="79" s="1"/>
  <c r="C68" i="79" s="1"/>
  <c r="D54" i="79" s="1"/>
  <c r="D53" i="79"/>
  <c r="D122" i="79"/>
  <c r="D123" i="79" s="1"/>
  <c r="M49" i="79"/>
  <c r="H108" i="79"/>
  <c r="B7" i="74"/>
  <c r="D7" i="74" s="1"/>
  <c r="C81" i="79" l="1"/>
  <c r="L66" i="79"/>
  <c r="M66" i="79" s="1"/>
  <c r="L64" i="79"/>
  <c r="M64" i="79" s="1"/>
  <c r="L65" i="79"/>
  <c r="M65" i="79" s="1"/>
  <c r="L68" i="79"/>
  <c r="M68" i="79" s="1"/>
  <c r="L63" i="79"/>
  <c r="M63" i="79" s="1"/>
  <c r="L67" i="79"/>
  <c r="M67" i="79" s="1"/>
  <c r="C97" i="79"/>
  <c r="D58" i="79" s="1"/>
  <c r="D56" i="79" s="1"/>
  <c r="M54" i="79" s="1"/>
  <c r="N57" i="79" s="1"/>
  <c r="N58" i="79" s="1"/>
  <c r="C7" i="74"/>
  <c r="M69" i="79" l="1"/>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<sst xmlns="http://schemas.openxmlformats.org/spreadsheetml/2006/main" count="8559" uniqueCount="3174">
  <si>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</si>
  <si>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</si>
  <si>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</si>
  <si>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</si>
  <si>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</si>
  <si>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</si>
  <si>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</si>
  <si>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</si>
  <si>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</si>
  <si>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</si>
  <si>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</si>
  <si>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</si>
  <si>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</si>
  <si>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</si>
  <si>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</si>
  <si>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</si>
  <si>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</si>
  <si>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</si>
  <si>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</si>
  <si>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</si>
  <si>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</si>
  <si>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</si>
  <si>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</si>
  <si>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</si>
  <si>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</si>
  <si>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</si>
  <si>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</si>
  <si>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</si>
  <si>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</si>
  <si>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</si>
  <si>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</si>
  <si>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</si>
  <si>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</si>
  <si>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</si>
  <si>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</si>
  <si>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</si>
  <si>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</si>
  <si>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</si>
  <si>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</si>
  <si>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</si>
  <si>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</si>
  <si>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</si>
  <si>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</si>
  <si>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</si>
  <si>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</si>
  <si>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</si>
  <si>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</si>
  <si>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</si>
  <si>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</si>
  <si>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</si>
  <si>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</si>
  <si>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</si>
  <si>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</si>
  <si>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</si>
  <si>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</si>
  <si>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</si>
  <si>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</si>
  <si>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</si>
  <si>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</si>
  <si>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</si>
  <si>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</si>
  <si>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</si>
  <si>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</si>
  <si>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</si>
  <si>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</si>
  <si>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</si>
  <si>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</si>
  <si>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</si>
  <si>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</si>
  <si>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</si>
  <si>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</si>
  <si>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</si>
  <si>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</si>
  <si>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</si>
  <si>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</si>
  <si>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</si>
  <si>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</si>
  <si>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</si>
  <si>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</si>
  <si>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</si>
  <si>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</si>
  <si>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</si>
  <si>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</si>
  <si>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</si>
  <si>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</si>
  <si>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</si>
  <si>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</si>
  <si>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</si>
  <si>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</si>
  <si>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</si>
  <si>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</si>
  <si>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</si>
  <si>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</si>
  <si>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</si>
  <si>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</si>
  <si>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</si>
  <si>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</si>
  <si>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</si>
  <si>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</si>
  <si>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</si>
  <si>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</si>
  <si>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</si>
  <si>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</si>
  <si>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</si>
  <si>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</si>
  <si>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</si>
  <si>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</si>
  <si>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</si>
  <si>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</si>
  <si>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</si>
  <si>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</si>
  <si>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</si>
  <si>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</si>
  <si>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</si>
  <si>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</si>
  <si>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</si>
  <si>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</si>
  <si>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</si>
  <si>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</si>
  <si>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</si>
  <si>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</si>
  <si>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</si>
  <si>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</si>
  <si>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</si>
  <si>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</si>
  <si>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</si>
  <si>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</si>
  <si>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</si>
  <si>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</si>
  <si>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</si>
  <si>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</si>
  <si>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</si>
  <si>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</si>
  <si>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</si>
  <si>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</si>
  <si>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</si>
  <si>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</si>
  <si>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</si>
  <si>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</si>
  <si>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</si>
  <si>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</si>
  <si>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</si>
  <si>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</si>
  <si>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</si>
  <si>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</si>
  <si>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</si>
  <si>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</si>
  <si>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</si>
  <si>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</si>
  <si>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</si>
  <si>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</si>
  <si>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</si>
  <si>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</si>
  <si>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</si>
  <si>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</si>
  <si>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</si>
  <si>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</si>
  <si>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</si>
  <si>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</si>
  <si>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</si>
  <si>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</si>
  <si>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</si>
  <si>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</si>
  <si>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</si>
  <si>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</si>
  <si>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</si>
  <si>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</si>
  <si>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</si>
  <si>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</si>
  <si>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</si>
  <si>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</si>
  <si>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</si>
  <si>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</si>
  <si>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</si>
  <si>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</si>
  <si>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</si>
  <si>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</si>
  <si>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</si>
  <si>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</si>
  <si>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</si>
  <si>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</si>
  <si>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</si>
  <si>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</si>
  <si>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</si>
  <si>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</si>
  <si>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</si>
  <si>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</si>
  <si>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</si>
  <si>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</si>
  <si>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</si>
  <si>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</si>
  <si>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</si>
  <si>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</si>
  <si>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</si>
  <si>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</si>
  <si>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</si>
  <si>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</si>
  <si>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</si>
  <si>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</si>
  <si>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</si>
  <si>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</si>
  <si>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</si>
  <si>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</si>
  <si>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</si>
  <si>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</si>
  <si>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</si>
  <si>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</si>
  <si>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</si>
  <si>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</si>
  <si>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</si>
  <si>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</si>
  <si>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</si>
  <si>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</si>
  <si>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</si>
  <si>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</si>
  <si>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</si>
  <si>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</si>
  <si>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</si>
  <si>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</si>
  <si>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</si>
  <si>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</si>
  <si>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</si>
  <si>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</si>
  <si>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</si>
  <si>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</si>
  <si>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</si>
  <si>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</si>
  <si>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</si>
  <si>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</si>
  <si>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</si>
  <si>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</si>
  <si>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</si>
  <si>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</si>
  <si>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</si>
  <si>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</si>
  <si>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</si>
  <si>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</si>
  <si>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</si>
  <si>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</si>
  <si>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</si>
  <si>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</si>
  <si>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</si>
  <si>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</si>
  <si>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</si>
  <si>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</si>
  <si>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</si>
  <si>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</si>
  <si>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</si>
  <si>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</si>
  <si>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</si>
  <si>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</si>
  <si>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</si>
  <si>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</si>
  <si>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</si>
  <si>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</si>
  <si>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</si>
  <si>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</si>
  <si>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</si>
  <si>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</si>
  <si>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</si>
  <si>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</si>
  <si>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</si>
  <si>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</si>
  <si>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</si>
  <si>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</si>
  <si>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</si>
  <si>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</si>
  <si>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</si>
  <si>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</si>
  <si>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</si>
  <si>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</si>
  <si>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</si>
  <si>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</si>
  <si>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</si>
  <si>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</si>
  <si>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</si>
  <si>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</si>
  <si>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</si>
  <si>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</si>
  <si>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</si>
  <si>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</si>
  <si>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</si>
  <si>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</si>
  <si>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</si>
  <si>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</si>
  <si>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</si>
  <si>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</si>
  <si>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</si>
  <si>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</si>
  <si>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</si>
  <si>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</si>
  <si>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</si>
  <si>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</si>
  <si>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</si>
  <si>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</si>
  <si>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</si>
  <si>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</si>
  <si>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</si>
  <si>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</si>
  <si>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</si>
  <si>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</si>
  <si>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</si>
  <si>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</si>
  <si>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</si>
  <si>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</si>
  <si>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</si>
  <si>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</si>
  <si>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</si>
  <si>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</si>
  <si>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</si>
  <si>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</si>
  <si>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</si>
  <si>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</si>
  <si>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</si>
  <si>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</si>
  <si>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</si>
  <si>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</si>
  <si>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</si>
  <si>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</si>
  <si>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</si>
  <si>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</si>
  <si>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</si>
  <si>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</si>
  <si>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</si>
  <si>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</si>
  <si>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</si>
  <si>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</si>
  <si>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</si>
  <si>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</si>
  <si>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</si>
  <si>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</si>
  <si>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</si>
  <si>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</si>
  <si>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</si>
  <si>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</si>
  <si>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</si>
  <si>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</si>
  <si>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</si>
  <si>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</si>
  <si>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</si>
  <si>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</si>
  <si>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</si>
  <si>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</si>
  <si>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</si>
  <si>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</si>
  <si>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</si>
  <si>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</si>
  <si>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</si>
  <si>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</si>
  <si>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</si>
  <si>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</si>
  <si>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</si>
  <si>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</si>
  <si>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</si>
  <si>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</si>
  <si>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</si>
  <si>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</si>
  <si>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</si>
  <si>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</si>
  <si>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</si>
  <si>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</si>
  <si>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</si>
  <si>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</si>
  <si>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</si>
  <si>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</si>
  <si>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</si>
  <si>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</si>
  <si>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</si>
  <si>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</si>
  <si>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</si>
  <si>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</si>
  <si>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</si>
  <si>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</si>
  <si>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</si>
  <si>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</si>
  <si>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</si>
  <si>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</si>
  <si>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</si>
  <si>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</si>
  <si>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</si>
  <si>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</si>
  <si>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</si>
  <si>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</si>
  <si>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</si>
  <si>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</si>
  <si>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</si>
  <si>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</si>
  <si>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</si>
  <si>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</si>
  <si>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</si>
  <si>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</si>
  <si>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</si>
  <si>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</si>
  <si>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</si>
  <si>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</si>
  <si>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</si>
  <si>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</si>
  <si>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</si>
  <si>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</si>
  <si>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</si>
  <si>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</si>
  <si>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</si>
  <si>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</si>
  <si>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</si>
  <si>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</si>
  <si>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</si>
  <si>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</si>
  <si>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</si>
  <si>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</si>
  <si>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</si>
  <si>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</si>
  <si>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</si>
  <si>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</si>
  <si>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</si>
  <si>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</si>
  <si>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</si>
  <si>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</si>
  <si>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</si>
  <si>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</si>
  <si>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</si>
  <si>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</si>
  <si>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</si>
  <si>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</si>
  <si>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</si>
  <si>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</si>
  <si>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</si>
  <si>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</si>
  <si>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</si>
  <si>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</si>
  <si>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</si>
  <si>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</si>
  <si>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</si>
  <si>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</si>
  <si>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</si>
  <si>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</si>
  <si>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</si>
  <si>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</si>
  <si>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</si>
  <si>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</si>
  <si>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</si>
  <si>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</si>
  <si>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</si>
  <si>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</si>
  <si>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</si>
  <si>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</si>
  <si>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</si>
  <si>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</si>
  <si>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</si>
  <si>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</si>
  <si>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</si>
  <si>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</si>
  <si>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</si>
  <si>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</si>
  <si>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</si>
  <si>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</si>
  <si>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</si>
  <si>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</si>
  <si>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</si>
  <si>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</si>
  <si>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</si>
  <si>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</si>
  <si>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</si>
  <si>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</si>
  <si>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</si>
  <si>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</si>
  <si>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</si>
  <si>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</si>
  <si>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</si>
  <si>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</si>
  <si>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</si>
  <si>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</si>
  <si>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</si>
  <si>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</si>
  <si>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</si>
  <si>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</si>
  <si>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</si>
  <si>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</si>
  <si>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</si>
  <si>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</si>
  <si>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</si>
  <si>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</si>
  <si>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</si>
  <si>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</si>
  <si>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</si>
  <si>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</si>
  <si>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</si>
  <si>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</si>
  <si>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</si>
  <si>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</si>
  <si>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</si>
  <si>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</si>
  <si>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</si>
  <si>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</si>
  <si>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</si>
  <si>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</si>
  <si>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</si>
  <si>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</si>
  <si>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</si>
  <si>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</si>
  <si>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</si>
  <si>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</si>
  <si>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</si>
  <si>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</si>
  <si>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</si>
  <si>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</si>
  <si>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</si>
  <si>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</si>
  <si>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</si>
  <si>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</si>
  <si>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</si>
  <si>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</si>
  <si>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</si>
  <si>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</si>
  <si>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</si>
  <si>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</si>
  <si>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</si>
  <si>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</si>
  <si>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</si>
  <si>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</si>
  <si>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</si>
  <si>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</si>
  <si>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</si>
  <si>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</si>
  <si>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</si>
  <si>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</si>
  <si>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</si>
  <si>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</si>
  <si>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</si>
  <si>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</si>
  <si>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</si>
  <si>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</si>
  <si>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</si>
  <si>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</si>
  <si>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</si>
  <si>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</si>
  <si>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</si>
  <si>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</si>
  <si>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</si>
  <si>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</si>
  <si>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</si>
  <si>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</si>
  <si>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</si>
  <si>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</si>
  <si>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</si>
  <si>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</si>
  <si>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</si>
  <si>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</si>
  <si>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</si>
  <si>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</si>
  <si>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</si>
  <si>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</si>
  <si>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</si>
  <si>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</si>
  <si>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</si>
  <si>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</si>
  <si>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</si>
  <si>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</si>
  <si>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</si>
  <si>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</si>
  <si>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</si>
  <si>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</si>
  <si>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</si>
  <si>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</si>
  <si>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</si>
  <si>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</si>
  <si>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</si>
  <si>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</si>
  <si>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</si>
  <si>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</si>
  <si>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</si>
  <si>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</si>
  <si>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</si>
  <si>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</si>
  <si>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</si>
  <si>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</si>
  <si>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</si>
  <si>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</si>
  <si>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</si>
  <si>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</si>
  <si>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</si>
  <si>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</si>
  <si>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</si>
  <si>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</si>
  <si>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</si>
  <si>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</si>
  <si>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</si>
  <si>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</si>
  <si>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</si>
  <si>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</si>
  <si>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</si>
  <si>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</si>
  <si>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</si>
  <si>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</si>
  <si>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</si>
  <si>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</si>
  <si>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</si>
  <si>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</si>
  <si>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</si>
  <si>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</si>
  <si>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</si>
  <si>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</si>
  <si>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</si>
  <si>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</si>
  <si>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</si>
  <si>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</si>
  <si>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</si>
  <si>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</si>
  <si>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</si>
  <si>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</si>
  <si>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</si>
  <si>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</si>
  <si>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</si>
  <si>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</si>
  <si>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</si>
  <si>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</si>
  <si>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</si>
  <si>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</si>
  <si>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</si>
  <si>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</si>
  <si>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</si>
  <si>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</si>
  <si>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</si>
  <si>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</si>
  <si>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</si>
  <si>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</si>
  <si>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</si>
  <si>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</si>
  <si>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</si>
  <si>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</si>
  <si>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</si>
  <si>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</si>
  <si>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</si>
  <si>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</si>
  <si>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</si>
  <si>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</si>
  <si>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</si>
  <si>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</si>
  <si>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</si>
  <si>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</si>
  <si>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</si>
  <si>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</si>
  <si>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</si>
  <si>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</si>
  <si>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</si>
  <si>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</si>
  <si>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</si>
  <si>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</si>
  <si>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</si>
  <si>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</si>
  <si>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</si>
  <si>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</si>
  <si>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</si>
  <si>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</si>
  <si>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</si>
  <si>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</si>
  <si>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</si>
  <si>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</si>
  <si>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</si>
  <si>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</si>
  <si>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</si>
  <si>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</si>
  <si>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</si>
  <si>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</si>
  <si>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</si>
  <si>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</si>
  <si>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</si>
  <si>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</si>
  <si>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</si>
  <si>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</si>
  <si>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</si>
  <si>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</si>
  <si>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</si>
  <si>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</si>
  <si>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</si>
  <si>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</si>
  <si>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</si>
  <si>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</si>
  <si>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</si>
  <si>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</si>
  <si>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</si>
  <si>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</si>
  <si>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</si>
  <si>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</si>
  <si>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</si>
  <si>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</si>
  <si>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</si>
  <si>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</si>
  <si>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</si>
  <si>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</si>
  <si>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</si>
  <si>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</si>
  <si>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</si>
  <si>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</si>
  <si>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</si>
  <si>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</si>
  <si>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</si>
  <si>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</si>
  <si>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</si>
  <si>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</si>
  <si>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</si>
  <si>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</si>
  <si>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</si>
  <si>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</si>
  <si>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</si>
  <si>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</si>
  <si>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</si>
  <si>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</si>
  <si>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</si>
  <si>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</si>
  <si>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</si>
  <si>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</si>
  <si>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</si>
  <si>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</si>
  <si>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</si>
  <si>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</si>
  <si>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</si>
  <si>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</si>
  <si>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</si>
  <si>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</si>
  <si>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</si>
  <si>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</si>
  <si>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</si>
  <si>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</si>
  <si>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</si>
  <si>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</si>
  <si>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</si>
  <si>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</si>
  <si>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</si>
  <si>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</si>
  <si>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</si>
  <si>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</si>
  <si>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</si>
  <si>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</si>
  <si>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</si>
  <si>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</si>
  <si>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</si>
  <si>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</si>
  <si>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</si>
  <si>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</si>
  <si>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</si>
  <si>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</si>
  <si>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</si>
  <si>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</si>
  <si>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</si>
  <si>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</si>
  <si>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</si>
  <si>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</si>
  <si>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</si>
  <si>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</si>
  <si>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</si>
  <si>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</si>
  <si>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</si>
  <si>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</si>
  <si>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</si>
  <si>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</si>
  <si>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</si>
  <si>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</si>
  <si>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</si>
  <si>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</si>
  <si>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</si>
  <si>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</si>
  <si>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</si>
  <si>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</si>
  <si>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</si>
  <si>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</si>
  <si>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</si>
  <si>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</si>
  <si>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</si>
  <si>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</si>
  <si>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</si>
  <si>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</si>
  <si>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</si>
  <si>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</si>
  <si>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</si>
  <si>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</si>
  <si>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</si>
  <si>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</si>
  <si>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</si>
  <si>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</si>
  <si>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</si>
  <si>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</si>
  <si>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</si>
  <si>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</si>
  <si>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</si>
  <si>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</si>
  <si>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</si>
  <si>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</si>
  <si>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</si>
  <si>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</si>
  <si>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</si>
  <si>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</si>
  <si>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</si>
  <si>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</si>
  <si>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</si>
  <si>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</si>
  <si>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</si>
  <si>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</si>
  <si>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</si>
  <si>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</si>
  <si>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</si>
  <si>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</si>
  <si>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</si>
  <si>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</si>
  <si>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</si>
  <si>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</si>
  <si>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</si>
  <si>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</si>
  <si>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</si>
  <si>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</si>
  <si>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</si>
  <si>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</si>
  <si>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</si>
  <si>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</si>
  <si>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</si>
  <si>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</si>
  <si>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</si>
  <si>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</si>
  <si>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</si>
  <si>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</si>
  <si>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</si>
  <si>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</si>
  <si>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</si>
  <si>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</si>
  <si>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</si>
  <si>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</si>
  <si>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</si>
  <si>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</si>
  <si>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</si>
  <si>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</si>
  <si>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</si>
  <si>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</si>
  <si>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</si>
  <si>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</si>
  <si>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</si>
  <si>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</si>
  <si>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</si>
  <si>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</si>
  <si>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</si>
  <si>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</si>
  <si>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</si>
  <si>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</si>
  <si>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</si>
  <si>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</si>
  <si>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</si>
  <si>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</si>
  <si>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</si>
  <si>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</si>
  <si>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</si>
  <si>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</si>
  <si>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</si>
  <si>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</si>
  <si>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</si>
  <si>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</si>
  <si>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</si>
  <si>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</si>
  <si>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</si>
  <si>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</si>
  <si>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</si>
  <si>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</si>
  <si>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</si>
  <si>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</si>
  <si>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</si>
  <si>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</si>
  <si>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</si>
  <si>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</si>
  <si>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</si>
  <si>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</si>
  <si>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</si>
  <si>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</si>
  <si>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</si>
  <si>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</si>
  <si>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</si>
  <si>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</si>
  <si>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</si>
  <si>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</si>
  <si>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</si>
  <si>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</si>
  <si>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</si>
  <si>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</si>
  <si>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</si>
  <si>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</si>
  <si>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</si>
  <si>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</si>
  <si>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</si>
  <si>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</si>
  <si>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</si>
  <si>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</si>
  <si>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</si>
  <si>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</si>
  <si>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</si>
  <si>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</si>
  <si>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</si>
  <si>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</si>
  <si>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</si>
  <si>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</si>
  <si>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</si>
  <si>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</si>
  <si>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</si>
  <si>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</si>
  <si>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</si>
  <si>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</si>
  <si>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</si>
  <si>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</si>
  <si>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</si>
  <si>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</si>
  <si>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</si>
  <si>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</si>
  <si>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</si>
  <si>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</si>
  <si>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</si>
  <si>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</si>
  <si>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</si>
  <si>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</si>
  <si>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</si>
  <si>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</si>
  <si>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</si>
  <si>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</si>
  <si>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</si>
  <si>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</si>
  <si>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</si>
  <si>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</si>
  <si>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</si>
  <si>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</si>
  <si>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</si>
  <si>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</si>
  <si>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</si>
  <si>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</si>
  <si>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</si>
  <si>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</si>
  <si>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</si>
  <si>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</si>
  <si>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</si>
  <si>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</si>
  <si>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</si>
  <si>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</si>
  <si>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</si>
  <si>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</si>
  <si>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</si>
  <si>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</si>
  <si>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</si>
  <si>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</si>
  <si>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</si>
  <si>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</si>
  <si>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</si>
  <si>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</si>
  <si>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</si>
  <si>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</si>
  <si>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</si>
  <si>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</si>
  <si>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</si>
  <si>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</si>
  <si>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</si>
  <si>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</si>
  <si>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</si>
  <si>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</si>
  <si>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</si>
  <si>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</si>
  <si>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</si>
  <si>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</si>
  <si>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</si>
  <si>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</si>
  <si>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</si>
  <si>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</si>
  <si>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</si>
  <si>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</si>
  <si>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</si>
  <si>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</si>
  <si>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</si>
  <si>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</si>
  <si>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</si>
  <si>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</si>
  <si>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</si>
  <si>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</si>
  <si>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</si>
  <si>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</si>
  <si>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</si>
  <si>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</si>
  <si>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</si>
  <si>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</si>
  <si>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</si>
  <si>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</si>
  <si>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</si>
  <si>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</si>
  <si>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</si>
  <si>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</si>
  <si>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</si>
  <si>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</si>
  <si>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</si>
  <si>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</si>
  <si>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</si>
  <si>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</si>
  <si>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</si>
  <si>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</si>
  <si>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</si>
  <si>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</si>
  <si>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</si>
  <si>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</si>
  <si>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</si>
  <si>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</si>
  <si>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</si>
  <si>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</si>
  <si>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</si>
  <si>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</si>
  <si>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</si>
  <si>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</si>
  <si>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</si>
  <si>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</si>
  <si>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</si>
  <si>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</si>
  <si>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</si>
  <si>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</si>
  <si>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</si>
  <si>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</si>
  <si>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</si>
  <si>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</si>
  <si>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</si>
  <si>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</si>
  <si>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</si>
  <si>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</si>
  <si>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</si>
  <si>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</si>
  <si>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</si>
  <si>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</si>
  <si>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</si>
  <si>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</si>
  <si>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</si>
  <si>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</si>
  <si>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</si>
  <si>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</si>
  <si>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</si>
  <si>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</si>
  <si>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</si>
  <si>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</si>
  <si>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</si>
  <si>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</si>
  <si>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</si>
  <si>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</si>
  <si>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</si>
  <si>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</si>
  <si>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</si>
  <si>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</si>
  <si>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</si>
  <si>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</si>
  <si>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</si>
  <si>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</si>
  <si>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</si>
  <si>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</si>
  <si>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</si>
  <si>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</si>
  <si>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</si>
  <si>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</si>
  <si>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</si>
  <si>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</si>
  <si>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</si>
  <si>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</si>
  <si>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</si>
  <si>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</si>
  <si>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</si>
  <si>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</si>
  <si>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</si>
  <si>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</si>
  <si>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</si>
  <si>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</si>
  <si>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</si>
  <si>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</si>
  <si>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</si>
  <si>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</si>
  <si>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</si>
  <si>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</si>
  <si>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</si>
  <si>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</si>
  <si>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</si>
  <si>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</si>
  <si>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</si>
  <si>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</si>
  <si>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</si>
  <si>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</si>
  <si>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</si>
  <si>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</si>
  <si>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</si>
  <si>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</si>
  <si>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</si>
  <si>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</si>
  <si>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</si>
  <si>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</si>
  <si>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</si>
  <si>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</si>
  <si>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</si>
  <si>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</si>
  <si>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</si>
  <si>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</si>
  <si>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</si>
  <si>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</si>
  <si>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</si>
  <si>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</si>
  <si>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</si>
  <si>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</si>
  <si>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</si>
  <si>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</si>
  <si>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</si>
  <si>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</si>
  <si>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</si>
  <si>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</si>
  <si>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</si>
  <si>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</si>
  <si>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</si>
  <si>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</si>
  <si>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</si>
  <si>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</si>
  <si>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</si>
  <si>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</si>
  <si>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</si>
  <si>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</si>
  <si>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</si>
  <si>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</si>
  <si>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</si>
  <si>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</si>
  <si>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</si>
  <si>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</si>
  <si>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</si>
  <si>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</si>
  <si>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</si>
  <si>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</si>
  <si>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</si>
  <si>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</si>
  <si>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</si>
  <si>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</si>
  <si>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</si>
  <si>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</si>
  <si>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</si>
  <si>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</si>
  <si>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</si>
  <si>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</si>
  <si>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</si>
  <si>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</si>
  <si>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</si>
  <si>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</si>
  <si>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</si>
  <si>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</si>
  <si>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</si>
  <si>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</si>
  <si>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</si>
  <si>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</si>
  <si>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</si>
  <si>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</si>
  <si>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</si>
  <si>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</si>
  <si>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</si>
  <si>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</si>
  <si>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</si>
  <si>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</si>
  <si>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</si>
  <si>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</si>
  <si>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</si>
  <si>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</si>
  <si>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</si>
  <si>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</si>
  <si>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</si>
  <si>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</si>
  <si>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</si>
  <si>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</si>
  <si>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</si>
  <si>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</si>
  <si>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</si>
  <si>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</si>
  <si>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</si>
  <si>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</si>
  <si>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</si>
  <si>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</si>
  <si>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</si>
  <si>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</si>
  <si>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</si>
  <si>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</si>
  <si>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</si>
  <si>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</si>
  <si>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</si>
  <si>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</si>
  <si>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</si>
  <si>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</si>
  <si>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</si>
  <si>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</si>
  <si>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</si>
  <si>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</si>
  <si>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</si>
  <si>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</si>
  <si>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</si>
  <si>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</si>
  <si>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</si>
  <si>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</si>
  <si>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</si>
  <si>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</si>
  <si>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</si>
  <si>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</si>
  <si>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</si>
  <si>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</si>
  <si>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</si>
  <si>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</si>
  <si>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</si>
  <si>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</si>
  <si>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</si>
  <si>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</si>
  <si>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</si>
  <si>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</si>
  <si>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</si>
  <si>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</si>
  <si>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</si>
  <si>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</si>
  <si>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</si>
  <si>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</si>
  <si>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</si>
  <si>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</si>
  <si>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</si>
  <si>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</si>
  <si>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</si>
  <si>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</si>
  <si>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</si>
  <si>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</si>
  <si>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</si>
  <si>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</si>
  <si>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</si>
  <si>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</si>
  <si>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</si>
  <si>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</si>
  <si>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</si>
  <si>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</si>
  <si>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</si>
  <si>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</si>
  <si>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</si>
  <si>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</si>
  <si>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</si>
  <si>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</si>
  <si>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</si>
  <si>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</si>
  <si>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</si>
  <si>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</si>
  <si>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</si>
  <si>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</si>
  <si>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</si>
  <si>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</si>
  <si>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</si>
  <si>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</si>
  <si>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</si>
  <si>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</si>
  <si>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</si>
  <si>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</si>
  <si>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</si>
  <si>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</si>
  <si>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</si>
  <si>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</si>
  <si>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</si>
  <si>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</si>
  <si>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</si>
  <si>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</si>
  <si>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</si>
  <si>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</si>
  <si>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</si>
  <si>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</si>
  <si>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</si>
  <si>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</si>
  <si>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</si>
  <si>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</si>
  <si>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</si>
  <si>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</si>
  <si>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</si>
  <si>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</si>
  <si>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</si>
  <si>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</si>
  <si>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</si>
  <si>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</si>
  <si>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</si>
  <si>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</si>
  <si>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</si>
  <si>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</si>
  <si>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</si>
  <si>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</si>
  <si>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</si>
  <si>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</si>
  <si>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</si>
  <si>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</si>
  <si>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</si>
  <si>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</si>
  <si>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</si>
  <si>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</si>
  <si>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</si>
  <si>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</si>
  <si>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</si>
  <si>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</si>
  <si>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</si>
  <si>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</si>
  <si>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</si>
  <si>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</si>
  <si>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</si>
  <si>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</si>
  <si>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</si>
  <si>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</si>
  <si>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</si>
  <si>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</si>
  <si>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</si>
  <si>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</si>
  <si>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</si>
  <si>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</si>
  <si>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</si>
  <si>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</si>
  <si>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</si>
  <si>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</si>
  <si>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</si>
  <si>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</si>
  <si>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</si>
  <si>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</si>
  <si>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</si>
  <si>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</si>
  <si>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</si>
  <si>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</si>
  <si>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</si>
  <si>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</si>
  <si>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</si>
  <si>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</si>
  <si>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</si>
  <si>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</si>
  <si>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</si>
  <si>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</si>
  <si>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</si>
  <si>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</si>
  <si>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</si>
  <si>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</si>
  <si>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</si>
  <si>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</si>
  <si>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</si>
  <si>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</si>
  <si>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</si>
  <si>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</si>
  <si>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</si>
  <si>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</si>
  <si>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</si>
  <si>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</si>
  <si>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</si>
  <si>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</si>
  <si>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</si>
  <si>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</si>
  <si>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</si>
  <si>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</si>
  <si>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</si>
  <si>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</si>
  <si>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</si>
  <si>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</si>
  <si>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</si>
  <si>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</si>
  <si>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</si>
  <si>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</si>
  <si>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</si>
  <si>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</si>
  <si>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</si>
  <si>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</si>
  <si>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</si>
  <si>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</si>
  <si>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</si>
  <si>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</si>
  <si>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</si>
  <si>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</si>
  <si>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</si>
  <si>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</si>
  <si>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</si>
  <si>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</si>
  <si>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</si>
  <si>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</si>
  <si>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</si>
  <si>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</si>
  <si>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</si>
  <si>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</si>
  <si>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</si>
  <si>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</si>
  <si>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</si>
  <si>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</si>
  <si>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</si>
  <si>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</si>
  <si>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</si>
  <si>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</si>
  <si>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</si>
  <si>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</si>
  <si>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</si>
  <si>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</si>
  <si>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</si>
  <si>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</si>
  <si>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</si>
  <si>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</si>
  <si>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</si>
  <si>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</si>
  <si>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</si>
  <si>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</si>
  <si>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</si>
  <si>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</si>
  <si>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</si>
  <si>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</si>
  <si>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</si>
  <si>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</si>
  <si>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</si>
  <si>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</si>
  <si>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</si>
  <si>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</si>
  <si>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</si>
  <si>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</si>
  <si>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</si>
  <si>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</si>
  <si>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</si>
  <si>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</si>
  <si>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</si>
  <si>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</si>
  <si>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</si>
  <si>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</si>
  <si>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</si>
  <si>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</si>
  <si>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</si>
  <si>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</si>
  <si>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</si>
  <si>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</si>
  <si>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</si>
  <si>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</si>
  <si>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</si>
  <si>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</si>
  <si>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</si>
  <si>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</si>
  <si>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</si>
  <si>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</si>
  <si>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</si>
  <si>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</si>
  <si>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</si>
  <si>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</si>
  <si>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</si>
  <si>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</si>
  <si>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</si>
  <si>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</si>
  <si>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</si>
  <si>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</si>
  <si>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</si>
  <si>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</si>
  <si>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</si>
  <si>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</si>
  <si>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</si>
  <si>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</si>
  <si>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</si>
  <si>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</si>
  <si>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</si>
  <si>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</si>
  <si>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</si>
  <si>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</si>
  <si>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</si>
  <si>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</si>
  <si>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</si>
  <si>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</si>
  <si>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</si>
  <si>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</si>
  <si>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</si>
  <si>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</si>
  <si>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</si>
  <si>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</si>
  <si>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</si>
  <si>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</si>
  <si>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</si>
  <si>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</si>
  <si>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</si>
  <si>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</si>
  <si>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</si>
  <si>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</si>
  <si>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</si>
  <si>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</si>
  <si>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</si>
  <si>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</si>
  <si>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</si>
  <si>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</si>
  <si>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</si>
  <si>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</si>
  <si>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</si>
  <si>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</si>
  <si>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</si>
  <si>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</si>
  <si>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</si>
  <si>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</si>
  <si>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</si>
  <si>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</si>
  <si>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</si>
  <si>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</si>
  <si>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</si>
  <si>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</si>
  <si>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</si>
  <si>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</si>
  <si>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</si>
  <si>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</si>
  <si>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</si>
  <si>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</si>
  <si>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</si>
  <si>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</si>
  <si>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</si>
  <si>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</si>
  <si>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</si>
  <si>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</si>
  <si>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</si>
  <si>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</si>
  <si>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</si>
  <si>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</si>
  <si>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</si>
  <si>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</si>
  <si>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</si>
  <si>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</si>
  <si>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</si>
  <si>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</si>
  <si>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</si>
  <si>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</si>
  <si>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</si>
  <si>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</si>
  <si>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</si>
  <si>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</si>
  <si>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</si>
  <si>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</si>
  <si>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</si>
  <si>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</si>
  <si>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</si>
  <si>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</si>
  <si>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</si>
  <si>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</si>
  <si>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</si>
  <si>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</si>
  <si>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</si>
  <si>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</si>
  <si>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</si>
  <si>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</si>
  <si>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</si>
  <si>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</si>
  <si>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</si>
  <si>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</si>
  <si>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</si>
  <si>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</si>
  <si>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</si>
  <si>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</si>
  <si>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</si>
  <si>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</si>
  <si>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</si>
  <si>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</si>
  <si>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</si>
  <si>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</si>
  <si>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</si>
  <si>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</si>
  <si>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</si>
  <si>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</si>
  <si>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</si>
  <si>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</si>
  <si>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</si>
  <si>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</si>
  <si>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</si>
  <si>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</si>
  <si>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</si>
  <si>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</si>
  <si>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</si>
  <si>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</si>
  <si>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</si>
  <si>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</si>
  <si>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</si>
  <si>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</si>
  <si>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</si>
  <si>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</si>
  <si>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</si>
  <si>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</si>
  <si>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</si>
  <si>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</si>
  <si>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</si>
  <si>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</si>
  <si>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</si>
  <si>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</si>
  <si>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</si>
  <si>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</si>
  <si>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</si>
  <si>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</si>
  <si>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</si>
  <si>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</si>
  <si>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</si>
  <si>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</si>
  <si>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</si>
  <si>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</si>
  <si>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</si>
  <si>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</si>
  <si>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</si>
  <si>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</si>
  <si>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</si>
  <si>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</si>
  <si>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</si>
  <si>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</si>
  <si>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</si>
  <si>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</si>
  <si>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</si>
  <si>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</si>
  <si>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</si>
  <si>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</si>
  <si>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</si>
  <si>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</si>
  <si>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</si>
  <si>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</si>
  <si>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</si>
  <si>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</si>
  <si>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</si>
  <si>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</si>
  <si>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</si>
  <si>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</si>
  <si>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</si>
  <si>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</si>
  <si>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</si>
  <si>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</si>
  <si>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</si>
  <si>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</si>
  <si>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</si>
  <si>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</si>
  <si>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</si>
  <si>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</si>
  <si>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</si>
  <si>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</si>
  <si>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</si>
  <si>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</si>
  <si>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</si>
  <si>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</si>
  <si>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</si>
  <si>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</si>
  <si>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</si>
  <si>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</si>
  <si>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</si>
  <si>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</si>
  <si>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</si>
  <si>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</si>
  <si>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</si>
  <si>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</si>
  <si>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</si>
  <si>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</si>
  <si>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</si>
  <si>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</si>
  <si>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</si>
  <si>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</si>
  <si>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</si>
  <si>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</si>
  <si>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</si>
  <si>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</si>
  <si>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</si>
  <si>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</si>
  <si>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</si>
  <si>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</si>
  <si>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</si>
  <si>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</si>
  <si>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</si>
  <si>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</si>
  <si>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</si>
  <si>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</si>
  <si>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</si>
  <si>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</si>
  <si>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</si>
  <si>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</si>
  <si>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</si>
  <si>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</si>
  <si>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</si>
  <si>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</si>
  <si>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</si>
  <si>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</si>
  <si>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</si>
  <si>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</si>
  <si>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</si>
  <si>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</si>
  <si>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</si>
  <si>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</si>
  <si>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</si>
  <si>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</si>
  <si>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</si>
  <si>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</si>
  <si>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</si>
  <si>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</si>
  <si>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</si>
  <si>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</si>
  <si>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</si>
  <si>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</si>
  <si>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</si>
  <si>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</si>
  <si>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</si>
  <si>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</si>
  <si>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</si>
  <si>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</si>
  <si>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</si>
  <si>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</si>
  <si>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</si>
  <si>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</si>
  <si>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</si>
  <si>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</si>
  <si>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</si>
  <si>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</si>
  <si>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</si>
  <si>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</si>
  <si>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</si>
  <si>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</si>
  <si>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</si>
  <si>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</si>
  <si>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</si>
  <si>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</si>
  <si>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</si>
  <si>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</si>
  <si>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</si>
  <si>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</si>
  <si>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</si>
  <si>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</si>
  <si>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</si>
  <si>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</si>
  <si>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</si>
  <si>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</si>
  <si>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</si>
  <si>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</si>
  <si>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</si>
  <si>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</si>
  <si>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</si>
  <si>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</si>
  <si>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</si>
  <si>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</si>
  <si>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</si>
  <si>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</si>
  <si>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</si>
  <si>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</si>
  <si>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</si>
  <si>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</si>
  <si>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</si>
  <si>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</si>
  <si>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</si>
  <si>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</si>
  <si>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</si>
  <si>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</si>
  <si>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</si>
  <si>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</si>
  <si>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</si>
  <si>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</si>
  <si>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</si>
  <si>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</si>
  <si>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</si>
  <si>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</si>
  <si>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</si>
  <si>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</si>
  <si>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</si>
  <si>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</si>
  <si>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</si>
  <si>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</si>
  <si>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</si>
  <si>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</si>
  <si>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</si>
  <si>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</si>
  <si>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</si>
  <si>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</si>
  <si>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</si>
  <si>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</si>
  <si>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</si>
  <si>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</si>
  <si>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</si>
  <si>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</si>
  <si>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</si>
  <si>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</si>
  <si>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</si>
  <si>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</si>
  <si>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</si>
  <si>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</si>
  <si>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</si>
  <si>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</si>
  <si>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</si>
  <si>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</si>
  <si>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</si>
  <si>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</si>
  <si>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</si>
  <si>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</si>
  <si>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</si>
  <si>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</si>
  <si>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</si>
  <si>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</si>
  <si>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</si>
  <si>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</si>
  <si>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</si>
  <si>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</si>
  <si>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</si>
  <si>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</si>
  <si>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</si>
  <si>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</si>
  <si>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</si>
  <si>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</si>
  <si>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</si>
  <si>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</si>
  <si>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</si>
  <si>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</si>
  <si>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</si>
  <si>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</si>
  <si>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</si>
  <si>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</si>
  <si>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</si>
  <si>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</si>
  <si>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</si>
  <si>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</si>
  <si>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</si>
  <si>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</si>
  <si>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</si>
  <si>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</si>
  <si>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</si>
  <si>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</si>
  <si>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</si>
  <si>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</si>
  <si>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</si>
  <si>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</si>
  <si>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</si>
  <si>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</si>
  <si>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</si>
  <si>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</si>
  <si>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</si>
  <si>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</si>
  <si>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</si>
  <si>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</si>
  <si>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</si>
  <si>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</si>
  <si>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</si>
  <si>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</si>
  <si>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</si>
  <si>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</si>
  <si>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</si>
  <si>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</si>
  <si>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</si>
  <si>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</si>
  <si>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</si>
  <si>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</si>
  <si>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</si>
  <si>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</si>
  <si>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</si>
  <si>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</si>
  <si>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</si>
  <si>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</si>
  <si>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</si>
  <si>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</si>
  <si>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</si>
  <si>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</si>
  <si>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</si>
  <si>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</si>
  <si>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</si>
  <si>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</si>
  <si>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</si>
  <si>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</si>
  <si>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</si>
  <si>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</si>
  <si>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</si>
  <si>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</si>
  <si>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</si>
  <si>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</si>
  <si>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</si>
  <si>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</si>
  <si>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</si>
  <si>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</si>
  <si>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</si>
  <si>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</si>
  <si>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</si>
  <si>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</si>
  <si>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</si>
  <si>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</si>
  <si>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</si>
  <si>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</si>
  <si>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</si>
  <si>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</si>
  <si>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</si>
  <si>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</si>
  <si>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</si>
  <si>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</si>
  <si>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</si>
  <si>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</si>
  <si>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</si>
  <si>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</si>
  <si>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</si>
  <si>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</si>
  <si>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</si>
  <si>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</si>
  <si>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</si>
  <si>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</si>
  <si>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</si>
  <si>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</si>
  <si>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</si>
  <si>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</si>
  <si>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</si>
  <si>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</si>
  <si>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</si>
  <si>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</si>
  <si>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</si>
  <si>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</si>
  <si>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</si>
  <si>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</si>
  <si>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</si>
  <si>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</si>
  <si>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</si>
  <si>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</si>
  <si>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</si>
  <si>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</si>
  <si>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</si>
  <si>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</si>
  <si>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</si>
  <si>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</si>
  <si>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</si>
  <si>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</si>
  <si>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</si>
  <si>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</si>
  <si>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</si>
  <si>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</si>
  <si>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</si>
  <si>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</si>
  <si>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</si>
  <si>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</si>
  <si>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</si>
  <si>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</si>
  <si>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</si>
  <si>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</si>
  <si>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</si>
  <si>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</si>
  <si>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</si>
  <si>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</si>
  <si>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</si>
  <si>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</si>
  <si>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</si>
  <si>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</si>
  <si>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</si>
  <si>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</si>
  <si>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</si>
  <si>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</si>
  <si>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</si>
  <si>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</si>
  <si>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</si>
  <si>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</si>
  <si>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</si>
  <si>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</si>
  <si>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</si>
  <si>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</si>
  <si>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</si>
  <si>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</si>
  <si>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</si>
  <si>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</si>
  <si>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</si>
  <si>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</si>
  <si>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</si>
  <si>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</si>
  <si>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</si>
  <si>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</si>
  <si>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</si>
  <si>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</si>
  <si>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</si>
  <si>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</si>
  <si>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</si>
  <si>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</si>
  <si>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</si>
  <si>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</si>
  <si>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</si>
  <si>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</si>
  <si>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</si>
  <si>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</si>
  <si>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</si>
  <si>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</si>
  <si>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</si>
  <si>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</si>
  <si>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</si>
  <si>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</si>
  <si>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</si>
  <si>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</si>
  <si>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</si>
  <si>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</si>
  <si>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</si>
  <si>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</si>
  <si>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</si>
  <si>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</si>
  <si>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</si>
  <si>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</si>
  <si>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</si>
  <si>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</si>
  <si>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</si>
  <si>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</si>
  <si>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</si>
  <si>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</si>
  <si>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</si>
  <si>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</si>
  <si>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</si>
  <si>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</si>
  <si>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</si>
  <si>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</si>
  <si>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</si>
  <si>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</si>
  <si>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</si>
  <si>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</si>
  <si>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</si>
  <si>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</si>
  <si>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</si>
  <si>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</si>
  <si>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</si>
  <si>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</si>
  <si>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</si>
  <si>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</si>
  <si>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</si>
  <si>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</si>
  <si>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</si>
  <si>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</si>
  <si>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</si>
  <si>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</si>
  <si>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</si>
  <si>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</si>
  <si>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</si>
  <si>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</si>
  <si>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</si>
  <si>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</si>
  <si>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</si>
  <si>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</si>
  <si>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</si>
  <si>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</si>
  <si>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</si>
  <si>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</si>
  <si>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</si>
  <si>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</si>
  <si>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</si>
  <si>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</si>
  <si>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</si>
  <si>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</si>
  <si>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</si>
  <si>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</si>
  <si>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</si>
  <si>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</si>
  <si>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</si>
  <si>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</si>
  <si>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</si>
  <si>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</si>
  <si>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</si>
  <si>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</si>
  <si>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</si>
  <si>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</si>
  <si>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</si>
  <si>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</si>
  <si>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</si>
  <si>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</si>
  <si>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</si>
  <si>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</si>
  <si>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</si>
  <si>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</si>
  <si>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</si>
  <si>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</si>
  <si>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</si>
  <si>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</si>
  <si>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</si>
  <si>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</si>
  <si>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</si>
  <si>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</si>
  <si>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</si>
  <si>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</si>
  <si>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</si>
  <si>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</si>
  <si>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</si>
  <si>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</si>
  <si>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</si>
  <si>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</si>
  <si>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</si>
  <si>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</si>
  <si>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</si>
  <si>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</si>
  <si>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</si>
  <si>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</si>
  <si>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</si>
  <si>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</si>
  <si>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</si>
  <si>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</si>
  <si>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</si>
  <si>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</si>
  <si>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</si>
  <si>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</si>
  <si>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</si>
  <si>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</si>
  <si>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</si>
  <si>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</si>
  <si>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</si>
  <si>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</si>
  <si>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</si>
  <si>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</si>
  <si>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</si>
  <si>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</si>
  <si>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</si>
  <si>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</si>
  <si>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</si>
  <si>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</si>
  <si>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</si>
  <si>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</si>
  <si>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</si>
  <si>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</si>
  <si>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</si>
  <si>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</si>
  <si>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</si>
  <si>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</si>
  <si>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</si>
  <si>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</si>
  <si>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</si>
  <si>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</si>
  <si>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</si>
  <si>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</si>
  <si>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</si>
  <si>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</si>
  <si>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</si>
  <si>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</si>
  <si>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</si>
  <si>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</si>
  <si>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</si>
  <si>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</si>
  <si>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</si>
  <si>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</si>
  <si>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</si>
  <si>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</si>
  <si>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</si>
  <si>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</si>
  <si>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</si>
  <si>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</si>
  <si>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</si>
  <si>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</si>
  <si>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</si>
  <si>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</si>
  <si>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</si>
  <si>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</si>
  <si>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</si>
  <si>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</si>
  <si>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</si>
  <si>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</si>
  <si>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</si>
  <si>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</si>
  <si>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</si>
  <si>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</si>
  <si>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</si>
  <si>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</si>
  <si>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</si>
  <si>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</si>
  <si>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</si>
  <si>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</si>
  <si>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</si>
  <si>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</si>
  <si>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</si>
  <si>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</si>
  <si>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</si>
  <si>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</si>
  <si>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</si>
  <si>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</si>
  <si>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</si>
  <si>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</si>
  <si>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</si>
  <si>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</si>
  <si>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</si>
  <si>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</si>
  <si>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</si>
  <si>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</si>
  <si>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</si>
  <si>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</si>
  <si>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</si>
  <si>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</si>
  <si>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</si>
  <si>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</si>
  <si>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</si>
  <si>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</si>
  <si>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</si>
  <si>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</si>
  <si>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</si>
  <si>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</si>
  <si>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</si>
  <si>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</si>
  <si>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</si>
  <si>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</si>
  <si>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</si>
  <si>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</si>
  <si>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</si>
  <si>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</si>
  <si>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</si>
  <si>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</si>
  <si>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</si>
  <si>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</si>
  <si>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</si>
  <si>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</si>
  <si>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</si>
  <si>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</si>
  <si>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</si>
  <si>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</si>
  <si>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</si>
  <si>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</si>
  <si>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</si>
  <si>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</si>
  <si>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</si>
  <si>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</si>
  <si>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</si>
  <si>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</si>
  <si>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</si>
  <si>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</si>
  <si>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</si>
  <si>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</si>
  <si>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</si>
  <si>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</si>
  <si>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</si>
  <si>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</si>
  <si>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</si>
  <si>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</si>
  <si>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</si>
  <si>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</si>
  <si>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</si>
  <si>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</si>
  <si>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</si>
  <si>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</si>
  <si>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</si>
  <si>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</si>
  <si>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</si>
  <si>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</si>
  <si>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</si>
  <si>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</si>
  <si>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</si>
  <si>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</si>
  <si>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</si>
  <si>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</si>
  <si>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</si>
  <si>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</si>
  <si>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</si>
  <si>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</si>
  <si>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</si>
  <si>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</si>
  <si>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</si>
  <si>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</si>
  <si>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</si>
  <si>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</si>
  <si>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</si>
  <si>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</si>
  <si>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</si>
  <si>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</si>
  <si>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</si>
  <si>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</si>
  <si>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</si>
  <si>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</si>
  <si>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</si>
  <si>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</si>
  <si>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</si>
  <si>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</si>
  <si>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</si>
  <si>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</si>
  <si>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</si>
  <si>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</si>
  <si>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</si>
  <si>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</si>
  <si>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</si>
  <si>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</si>
  <si>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</si>
  <si>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</si>
  <si>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</si>
  <si>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</si>
  <si>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</si>
  <si>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</si>
  <si>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</si>
  <si>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</si>
  <si>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</si>
  <si>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</si>
  <si>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</si>
  <si>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</si>
  <si>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</si>
  <si>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</si>
  <si>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</si>
  <si>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</si>
  <si>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</si>
  <si>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</si>
  <si>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</si>
  <si>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</si>
  <si>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</si>
  <si>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</si>
  <si>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</si>
  <si>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</si>
  <si>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</si>
  <si>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</si>
  <si>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</si>
  <si>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</si>
  <si>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</si>
  <si>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</si>
  <si>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</si>
  <si>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</si>
  <si>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</si>
  <si>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</si>
  <si>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</si>
  <si>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</si>
  <si>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</si>
  <si>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</si>
  <si>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</si>
  <si>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</si>
  <si>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</si>
  <si>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</si>
  <si>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</si>
  <si>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</si>
  <si>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</si>
  <si>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</si>
  <si>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</si>
  <si>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</si>
  <si>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</si>
  <si>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</si>
  <si>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</si>
  <si>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</si>
  <si>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</si>
  <si>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</si>
  <si>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</si>
  <si>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</si>
  <si>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</si>
  <si>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</si>
  <si>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</si>
  <si>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</si>
  <si>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</si>
  <si>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</si>
  <si>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</si>
  <si>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</si>
  <si>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</si>
  <si>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</si>
  <si>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</si>
  <si>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</si>
  <si>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</si>
  <si>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</si>
  <si>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</si>
  <si>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</si>
  <si>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</si>
  <si>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</si>
  <si>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</si>
  <si>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</si>
  <si>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</si>
  <si>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</si>
  <si>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</si>
  <si>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</si>
  <si>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</si>
  <si>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</si>
  <si>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</si>
  <si>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</si>
  <si>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</si>
  <si>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</si>
  <si>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</si>
  <si>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</si>
  <si>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</si>
  <si>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</si>
  <si>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</si>
  <si>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</si>
  <si>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</si>
  <si>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</si>
  <si>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</si>
  <si>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</si>
  <si>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</si>
  <si>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</si>
  <si>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</si>
  <si>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</si>
  <si>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</si>
  <si>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</si>
  <si>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</si>
  <si>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</si>
  <si>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</si>
  <si>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</si>
  <si>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</si>
  <si>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</si>
  <si>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</si>
  <si>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</si>
  <si>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</si>
  <si>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</si>
  <si>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</si>
  <si>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</si>
  <si>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</si>
  <si>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</si>
  <si>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</si>
  <si>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</si>
  <si>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</si>
  <si>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</si>
  <si>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</si>
  <si>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</si>
  <si>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</si>
  <si>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</si>
  <si>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</si>
  <si>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</si>
  <si>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</si>
  <si>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</si>
  <si>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</si>
  <si>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</si>
  <si>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</si>
  <si>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</si>
  <si>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</si>
  <si>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</si>
  <si>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</si>
  <si>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</si>
  <si>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</si>
  <si>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</si>
  <si>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</si>
  <si>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</si>
  <si>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</si>
  <si>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</si>
  <si>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</si>
  <si>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</si>
  <si>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</si>
  <si>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</si>
  <si>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</si>
  <si>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</si>
  <si>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</si>
  <si>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</si>
  <si>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</si>
  <si>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</si>
  <si>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</si>
  <si>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</si>
  <si>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</si>
  <si>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</si>
  <si>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</si>
  <si>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</si>
  <si>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</si>
  <si>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</si>
  <si>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</si>
  <si>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</si>
  <si>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</si>
  <si>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</si>
  <si>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</si>
  <si>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</si>
  <si>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</si>
  <si>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</si>
  <si>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</si>
  <si>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</si>
  <si>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</si>
  <si>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</si>
  <si>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</si>
  <si>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</si>
  <si>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</si>
  <si>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</si>
  <si>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</si>
  <si>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</si>
  <si>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</si>
  <si>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</si>
  <si>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</si>
  <si>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</si>
  <si>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</si>
  <si>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</si>
  <si>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</si>
  <si>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</si>
  <si>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</si>
  <si>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</si>
  <si>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</si>
  <si>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</si>
  <si>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</si>
  <si>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</si>
  <si>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</si>
  <si>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</si>
  <si>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</si>
  <si>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</si>
  <si>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</si>
  <si>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</si>
  <si>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</si>
  <si>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</si>
  <si>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</si>
  <si>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</si>
  <si>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</si>
  <si>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</si>
  <si>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</si>
  <si>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</si>
  <si>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</si>
  <si>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</si>
  <si>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</si>
  <si>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</si>
  <si>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</si>
  <si>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</si>
  <si>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</si>
  <si>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</si>
  <si>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</si>
  <si>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</si>
  <si>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</si>
  <si>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</si>
  <si>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</si>
  <si>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</si>
  <si>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</si>
  <si>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</si>
  <si>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</si>
  <si>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</si>
  <si>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</si>
  <si>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</si>
  <si>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</si>
  <si>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</si>
  <si>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</si>
  <si>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</si>
  <si>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</si>
  <si>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</si>
  <si>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</si>
  <si>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</si>
  <si>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</si>
  <si>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</si>
  <si>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</si>
  <si>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</si>
  <si>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</si>
  <si>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</si>
  <si>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</si>
  <si>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</si>
  <si>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</si>
  <si>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</si>
  <si>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</si>
  <si>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</si>
  <si>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</si>
  <si>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</si>
  <si>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</si>
  <si>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</si>
  <si>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</si>
  <si>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</si>
  <si>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</si>
  <si>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</si>
  <si>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</si>
  <si>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</si>
  <si>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</si>
  <si>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</si>
  <si>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</si>
  <si>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</si>
  <si>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</si>
  <si>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</si>
  <si>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</si>
  <si>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</si>
  <si>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</si>
  <si>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</si>
  <si>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</si>
  <si>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</si>
  <si>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</si>
  <si>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</si>
  <si>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</si>
  <si>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</si>
  <si>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</si>
  <si>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</si>
  <si>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</si>
  <si>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</si>
  <si>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</si>
  <si>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</si>
  <si>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</si>
  <si>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</si>
  <si>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</si>
  <si>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</si>
  <si>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</si>
  <si>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</si>
  <si>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</si>
  <si>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</si>
  <si>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</si>
  <si>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</si>
  <si>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</si>
  <si>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</si>
  <si>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</si>
  <si>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</si>
  <si>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</si>
  <si>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</si>
  <si>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</si>
  <si>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</si>
  <si>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</si>
  <si>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</si>
  <si>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</si>
  <si>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</si>
  <si>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</si>
  <si>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</si>
  <si>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</si>
  <si>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</si>
  <si>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</si>
  <si>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</si>
  <si>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</si>
  <si>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</si>
  <si>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</si>
  <si>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</si>
  <si>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</si>
  <si>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</si>
  <si>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</si>
  <si>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</si>
  <si>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</si>
  <si>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</si>
  <si>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</si>
  <si>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</si>
  <si>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</si>
  <si>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</si>
  <si>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</si>
  <si>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</si>
  <si>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</si>
  <si>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</si>
  <si>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</si>
  <si>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</si>
  <si>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</si>
  <si>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</si>
  <si>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</si>
  <si>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</si>
  <si>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</si>
  <si>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</si>
  <si>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</si>
  <si>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</si>
  <si>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</si>
  <si>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</si>
  <si>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</si>
  <si>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</si>
  <si>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</si>
  <si>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</si>
  <si>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</si>
  <si>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</si>
  <si>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</si>
  <si>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</si>
  <si>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</si>
  <si>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</si>
  <si>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</si>
  <si>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</si>
  <si>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</si>
  <si>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</si>
  <si>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</si>
  <si>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</si>
  <si>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</si>
  <si>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</si>
  <si>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</si>
  <si>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</si>
  <si>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</si>
  <si>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</si>
  <si>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</si>
  <si>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</si>
  <si>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</si>
  <si>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</si>
  <si>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</si>
  <si>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</si>
  <si>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</si>
  <si>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</si>
  <si>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</si>
  <si>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</si>
  <si>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</si>
  <si>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</si>
  <si>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</si>
  <si>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</si>
  <si>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</si>
  <si>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</si>
  <si>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</si>
  <si>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</si>
  <si>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</si>
  <si>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</si>
  <si>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</si>
  <si>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</si>
  <si>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</si>
  <si>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</si>
  <si>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</si>
  <si>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</si>
  <si>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</si>
  <si>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</si>
  <si>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</si>
  <si>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</si>
  <si>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</si>
  <si>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</si>
  <si>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</si>
  <si>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</si>
  <si>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</si>
  <si>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</si>
  <si>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</si>
  <si>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</si>
  <si>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</si>
  <si>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</si>
  <si>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</si>
  <si>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</si>
  <si>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</si>
  <si>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</si>
  <si>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</si>
  <si>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</si>
  <si>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</si>
  <si>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</si>
  <si>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</si>
  <si>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</si>
  <si>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</si>
  <si>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</si>
  <si>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</si>
  <si>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</si>
  <si>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</si>
  <si>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</si>
  <si>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</si>
  <si>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</si>
  <si>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</si>
  <si>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</si>
  <si>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</si>
  <si>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</si>
  <si>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</si>
  <si>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</si>
  <si>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</si>
  <si>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</si>
  <si>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</si>
  <si>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</si>
  <si>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</si>
  <si>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</si>
  <si>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</si>
  <si>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</si>
  <si>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</si>
  <si>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</si>
  <si>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</si>
  <si>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</si>
  <si>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</si>
  <si>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</si>
  <si>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</si>
  <si>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</si>
  <si>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</si>
  <si>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</si>
  <si>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</si>
  <si>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</si>
  <si>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</si>
  <si>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</si>
  <si>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</si>
  <si>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</si>
  <si>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</si>
  <si>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</si>
  <si>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</si>
  <si>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</si>
  <si>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</si>
  <si>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</si>
  <si>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</si>
  <si>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</si>
  <si>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</si>
  <si>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</si>
  <si>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</si>
  <si>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</si>
  <si>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</si>
  <si>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</si>
  <si>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</si>
  <si>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</si>
  <si>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</si>
  <si>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</si>
  <si>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</si>
  <si>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</si>
  <si>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</si>
  <si>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</si>
  <si>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</si>
  <si>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</si>
  <si>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</si>
  <si>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</si>
  <si>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</si>
  <si>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</si>
  <si>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</si>
  <si>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</si>
  <si>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</si>
  <si>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</si>
  <si>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</si>
  <si>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</si>
  <si>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</si>
  <si>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</si>
  <si>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</si>
  <si>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</si>
  <si>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</si>
  <si>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</si>
  <si>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</si>
  <si>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</si>
  <si>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</si>
  <si>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</si>
  <si>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</si>
  <si>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</si>
  <si>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</si>
  <si>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</si>
  <si>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</si>
  <si>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</si>
  <si>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</si>
  <si>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</si>
  <si>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</si>
  <si>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</si>
  <si>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</si>
  <si>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</si>
  <si>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</si>
  <si>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</si>
  <si>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</si>
  <si>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</si>
  <si>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</si>
  <si>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</si>
  <si>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</si>
  <si>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</si>
  <si>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</si>
  <si>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</si>
  <si>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</si>
  <si>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</si>
  <si>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</si>
  <si>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</si>
  <si>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</si>
  <si>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</si>
  <si>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</si>
  <si>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</si>
  <si>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</si>
  <si>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</si>
  <si>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</si>
  <si>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</si>
  <si>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</si>
  <si>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</si>
  <si>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</si>
  <si>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</si>
  <si>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</si>
  <si>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</si>
  <si>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</si>
  <si>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</si>
  <si>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</si>
  <si>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</si>
  <si>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</si>
  <si>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</si>
  <si>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</si>
  <si>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</si>
  <si>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</si>
  <si>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</si>
  <si>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</si>
  <si>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</si>
  <si>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</si>
  <si>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</si>
  <si>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</si>
  <si>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</si>
  <si>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</si>
  <si>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</si>
  <si>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</si>
  <si>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</si>
  <si>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</si>
  <si>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</si>
  <si>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</si>
  <si>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</si>
  <si>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</si>
  <si>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</si>
  <si>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</si>
  <si>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</si>
  <si>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</si>
  <si>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</si>
  <si>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</si>
  <si>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</si>
  <si>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</si>
  <si>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</si>
  <si>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</si>
  <si>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</si>
  <si>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</si>
  <si>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</si>
  <si>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</si>
  <si>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</si>
  <si>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</si>
  <si>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</si>
  <si>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</si>
  <si>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</si>
  <si>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</si>
  <si>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</si>
  <si>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</si>
  <si>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</si>
  <si>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</si>
  <si>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</si>
  <si>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</si>
  <si>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</si>
  <si>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</si>
  <si>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</si>
  <si>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</si>
  <si>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</si>
  <si>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</si>
  <si>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</si>
  <si>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</si>
  <si>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</si>
  <si>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</si>
  <si>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</si>
  <si>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</si>
  <si>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</si>
  <si>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</si>
  <si>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</si>
  <si>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</si>
  <si>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</si>
  <si>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</si>
  <si>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</si>
  <si>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</si>
  <si>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</si>
  <si>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</si>
  <si>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</si>
  <si>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</si>
  <si>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</si>
  <si>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</si>
  <si>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</si>
  <si>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</si>
  <si>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</si>
  <si>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</si>
  <si>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</si>
  <si>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</si>
  <si>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</si>
  <si>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</si>
  <si>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</si>
  <si>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</si>
  <si>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</si>
  <si>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</si>
  <si>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</si>
  <si>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</si>
  <si>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</si>
  <si>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</si>
  <si>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</si>
  <si>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</si>
  <si>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</si>
  <si>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</si>
  <si>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</si>
  <si>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</si>
  <si>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</si>
  <si>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</si>
  <si>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</si>
  <si>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</si>
  <si>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</si>
  <si>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</si>
  <si>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</si>
  <si>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</si>
  <si>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</si>
  <si>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</si>
  <si>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</si>
  <si>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</si>
  <si>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</si>
  <si>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</si>
  <si>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</si>
  <si>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</si>
  <si>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</si>
  <si>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</si>
  <si>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</si>
  <si>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</si>
  <si>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</si>
  <si>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</si>
  <si>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</si>
  <si>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</si>
  <si>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</si>
  <si>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</si>
  <si>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</si>
  <si>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</si>
  <si>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</si>
  <si>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</si>
  <si>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</si>
  <si>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</si>
  <si>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</si>
  <si>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</si>
  <si>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</si>
  <si>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</si>
  <si>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</si>
  <si>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</si>
  <si>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</si>
  <si>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</si>
  <si>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</si>
  <si>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</si>
  <si>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</si>
  <si>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</si>
  <si>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</si>
  <si>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</si>
  <si>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</si>
  <si>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</si>
  <si>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</si>
  <si>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</si>
  <si>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</si>
  <si>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</si>
  <si>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</si>
  <si>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</si>
  <si>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</si>
  <si>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</si>
  <si>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</si>
  <si>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</si>
  <si>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</si>
  <si>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</si>
  <si>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</si>
  <si>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</si>
  <si>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</si>
  <si>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</si>
  <si>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</si>
  <si>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</si>
  <si>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</si>
  <si>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</si>
  <si>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</si>
  <si>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</si>
  <si>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</si>
  <si>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</si>
  <si>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</si>
  <si>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</si>
  <si>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</si>
  <si>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</si>
  <si>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</si>
  <si>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</si>
  <si>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</si>
  <si>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</si>
  <si>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</si>
  <si>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</si>
  <si>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</si>
  <si>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</si>
  <si>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</si>
  <si>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</si>
  <si>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</si>
  <si>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</si>
  <si>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</si>
  <si>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</si>
  <si>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</si>
  <si>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</si>
  <si>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</si>
  <si>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</si>
  <si>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</si>
  <si>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</si>
  <si>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</si>
  <si>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</si>
  <si>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</si>
  <si>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</si>
  <si>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</si>
  <si>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</si>
  <si>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</si>
  <si>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</si>
  <si>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</si>
  <si>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</si>
  <si>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</si>
  <si>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</si>
  <si>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</si>
  <si>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</si>
  <si>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</si>
  <si>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</si>
  <si>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</si>
  <si>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</si>
  <si>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</si>
  <si>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</si>
  <si>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</si>
  <si>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</si>
  <si>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</si>
  <si>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</si>
  <si>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</si>
  <si>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</si>
  <si>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</si>
  <si>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</si>
  <si>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</si>
  <si>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</si>
  <si>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</si>
  <si>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</si>
  <si>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</si>
  <si>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</si>
  <si>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</si>
  <si>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</si>
  <si>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</si>
  <si>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</si>
  <si>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</si>
  <si>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</si>
  <si>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</si>
  <si>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</si>
  <si>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</si>
  <si>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</si>
  <si>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</si>
  <si>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</si>
  <si>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</si>
  <si>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</si>
  <si>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</si>
  <si>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</si>
  <si>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</si>
  <si>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</si>
  <si>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</si>
  <si>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</si>
  <si>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</si>
  <si>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</si>
  <si>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</si>
  <si>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</si>
  <si>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</si>
  <si>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</si>
  <si>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</si>
  <si>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</si>
  <si>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</si>
  <si>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</si>
  <si>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</si>
  <si>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</si>
  <si>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</si>
  <si>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</si>
  <si>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</si>
  <si>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</si>
  <si>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</si>
  <si>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</si>
  <si>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</si>
  <si>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</si>
  <si>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</si>
  <si>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</si>
  <si>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</si>
  <si>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</si>
  <si>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</si>
  <si>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</si>
  <si>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</si>
  <si>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</si>
  <si>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</si>
  <si>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</si>
  <si>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</si>
  <si>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</si>
  <si>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</si>
  <si>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</si>
  <si>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</si>
  <si>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</si>
  <si>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</si>
  <si>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</si>
  <si>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</si>
  <si>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</si>
  <si>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</si>
  <si>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</si>
  <si>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</si>
  <si>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</si>
  <si>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</si>
  <si>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</si>
  <si>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</si>
  <si>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</si>
  <si>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</si>
  <si>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</si>
  <si>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</si>
  <si>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</si>
  <si>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</si>
  <si>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</si>
  <si>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</si>
  <si>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</si>
  <si>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</si>
  <si>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</si>
  <si>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</si>
  <si>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</si>
  <si>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</si>
  <si>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</si>
  <si>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</si>
  <si>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</si>
  <si>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</si>
  <si>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</si>
  <si>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</si>
  <si>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六通一平</t>
  </si>
  <si>
    <t>缺少</t>
  </si>
  <si>
    <t>通热</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</si>
  <si>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</si>
  <si>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</si>
  <si>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</si>
  <si>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</si>
  <si>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</si>
  <si>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</si>
  <si>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</si>
  <si>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</si>
  <si>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</si>
  <si>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</si>
  <si>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</si>
  <si>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</si>
  <si>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</si>
  <si>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上地科技大厦</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</si>
  <si>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</si>
  <si>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</si>
  <si>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</si>
  <si>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</si>
  <si>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</si>
  <si>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</si>
  <si>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</si>
  <si>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</si>
  <si>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</si>
  <si>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</si>
  <si>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</si>
  <si>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</si>
  <si>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</si>
  <si>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</si>
  <si>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</si>
  <si>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</si>
  <si>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</si>
  <si>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</si>
  <si>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</si>
  <si>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</si>
  <si>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</si>
  <si>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</si>
  <si>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</si>
  <si>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</si>
  <si>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</si>
  <si>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</si>
  <si>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</si>
  <si>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</si>
  <si>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</si>
  <si>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</si>
  <si>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比较法-车位</t>
  </si>
  <si>
    <t>高区</t>
  </si>
  <si>
    <t>简装修</t>
  </si>
  <si>
    <t>普通装修</t>
  </si>
  <si>
    <t>中区</t>
  </si>
  <si>
    <t>精装修</t>
  </si>
  <si>
    <t>支路</t>
  </si>
  <si>
    <t>后厂村路</t>
    <phoneticPr fontId="32" type="noConversion"/>
  </si>
  <si>
    <t>软件园二号路</t>
    <phoneticPr fontId="32" type="noConversion"/>
  </si>
  <si>
    <t>次干道</t>
  </si>
  <si>
    <t>上地西路</t>
    <phoneticPr fontId="32" type="noConversion"/>
  </si>
  <si>
    <t>西二旗大街</t>
    <phoneticPr fontId="32" type="noConversion"/>
  </si>
  <si>
    <t>标准写字楼</t>
  </si>
  <si>
    <t>甲级</t>
  </si>
  <si>
    <t>专业</t>
  </si>
  <si>
    <t>标准</t>
  </si>
  <si>
    <t>地铁西二旗站</t>
    <phoneticPr fontId="32" type="noConversion"/>
  </si>
  <si>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</si>
  <si>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</si>
  <si>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</si>
  <si>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</si>
  <si>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</si>
  <si>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</si>
  <si>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</si>
  <si>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</si>
  <si>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</si>
  <si>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</si>
  <si>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</si>
  <si>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</si>
  <si>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</si>
  <si>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</si>
  <si>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</si>
  <si>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</si>
  <si>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</si>
  <si>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</si>
  <si>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</si>
  <si>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</si>
  <si>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</si>
  <si>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</si>
  <si>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商业配套车库</t>
    <phoneticPr fontId="32" type="noConversion"/>
  </si>
  <si>
    <t>是</t>
    <phoneticPr fontId="32" type="noConversion"/>
  </si>
  <si>
    <t>否</t>
    <phoneticPr fontId="32" type="noConversion"/>
  </si>
  <si>
    <t>千方大厦</t>
    <phoneticPr fontId="3" type="noConversion"/>
  </si>
  <si>
    <t>中关村软件园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</si>
</sst>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98" fillId="0" borderId="39"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估价对象为北京市房地产，为所有。根据《国有土地使用证》[]，估价对象（分摊）出让国有建设用地使用权面积为35925.1平方米，建筑面积为40878.99平方米。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估价对象为北京市房地产,为开发建设的办公项目，该项目尚在开发建设中。根据《国有土地使用证》[]，估价对象（分摊）出让国有建设用地使用权面积为35925.1平方米，规划建筑面积为40878.99平方米。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141753</v>
      </c>
    </row>
    <row r="21" spans="1:2" s="1596" customFormat="1">
      <c r="A21" s="1594" t="s">
        <v>1234</v>
      </c>
      <c r="B21" s="1595">
        <f ca="1">'预评函-2'!D7</f>
        <v>39752</v>
      </c>
    </row>
    <row r="22" spans="1:2" s="1596" customFormat="1">
      <c r="A22" s="1594" t="s">
        <v>1235</v>
      </c>
      <c r="B22" s="1595" t="str">
        <f ca="1">'预评函-2'!D6</f>
        <v>壹拾肆亿壹仟柒佰伍拾叁万元整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141753</v>
      </c>
    </row>
    <row r="31" spans="1:2" s="1596" customFormat="1">
      <c r="A31" s="1594" t="s">
        <v>1273</v>
      </c>
      <c r="B31" s="1595">
        <f ca="1">'预评函-2'!D15</f>
        <v>34676</v>
      </c>
    </row>
    <row r="32" spans="1:2" s="1596" customFormat="1">
      <c r="A32" s="1594" t="s">
        <v>1240</v>
      </c>
      <c r="B32" s="1595" t="str">
        <f ca="1">'预评函-2'!D14</f>
        <v>壹拾肆亿壹仟柒佰伍拾叁万元整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40878.99</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3094</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3095</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5" t="s">
        <v>864</v>
      </c>
      <c r="C54" s="2022" t="s">
        <v>1280</v>
      </c>
    </row>
    <row r="55" spans="1:4">
      <c r="A55" s="3031"/>
      <c r="B55" s="2025" t="s">
        <v>865</v>
      </c>
      <c r="C55" s="2022" t="s">
        <v>1281</v>
      </c>
    </row>
    <row r="56" spans="1:4">
      <c r="A56" s="3031"/>
      <c r="B56" s="2025" t="s">
        <v>866</v>
      </c>
      <c r="C56" s="2022" t="s">
        <v>1285</v>
      </c>
    </row>
    <row r="57" spans="1:4">
      <c r="A57" s="3031"/>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2" t="str">
        <f>IF(B10="北京市","北京市",C10)&amp;F10&amp;IF(结果表办公!G1="在建","出让国有建设用地使用权及在建建筑物",IF(结果表办公!G1="土地","出让国有建设用地使用权",))&amp;B9&amp;"预评估"</f>
        <v>北京市房地产抵押价值预评估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1120140022</v>
      </c>
      <c r="D4" s="2042" t="s">
        <v>3048</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2"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3"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3051</v>
      </c>
      <c r="C8" s="2057"/>
      <c r="D8" s="3035" t="s">
        <v>1784</v>
      </c>
      <c r="E8" s="2058" t="s">
        <v>3052</v>
      </c>
      <c r="F8" s="2059"/>
      <c r="G8" s="2029"/>
      <c r="H8" s="2029"/>
      <c r="I8" s="2029"/>
      <c r="J8" s="2045"/>
      <c r="K8" s="2046"/>
      <c r="L8" s="2031"/>
      <c r="M8" s="2031"/>
      <c r="N8" s="2032"/>
      <c r="O8" s="2033"/>
      <c r="P8" s="2032"/>
      <c r="Q8" s="2032"/>
      <c r="R8" s="2032"/>
    </row>
    <row r="9" spans="1:19" ht="18" customHeight="1" thickBot="1">
      <c r="A9" s="2043" t="s">
        <v>1785</v>
      </c>
      <c r="B9" s="2060" t="s">
        <v>3052</v>
      </c>
      <c r="C9" s="2061"/>
      <c r="D9" s="3036"/>
      <c r="E9" s="2060"/>
      <c r="F9" s="2062"/>
      <c r="G9" s="2063"/>
      <c r="H9" s="2063"/>
      <c r="I9" s="2063"/>
      <c r="J9" s="2045"/>
      <c r="K9" s="2055"/>
      <c r="L9" s="2031"/>
      <c r="M9" s="2031"/>
      <c r="N9" s="2032"/>
      <c r="O9" s="2033"/>
      <c r="P9" s="2032"/>
      <c r="Q9" s="2032"/>
      <c r="R9" s="2032"/>
    </row>
    <row r="10" spans="1:19" ht="18" customHeight="1" thickTop="1">
      <c r="A10" s="2064" t="s">
        <v>1786</v>
      </c>
      <c r="B10" s="2065" t="s">
        <v>3053</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3054</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3055</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42"/>
      <c r="C16" s="3043"/>
      <c r="D16" s="3044"/>
      <c r="E16" s="2087" t="s">
        <v>1801</v>
      </c>
      <c r="F16" s="3045"/>
      <c r="G16" s="3046"/>
      <c r="H16" s="3046"/>
      <c r="I16" s="3047"/>
      <c r="J16" s="2032"/>
      <c r="K16" s="2084"/>
      <c r="L16" s="2085"/>
      <c r="M16" s="2085"/>
      <c r="N16" s="2086"/>
      <c r="O16" s="2085"/>
      <c r="P16" s="2086"/>
      <c r="Q16" s="2032"/>
      <c r="R16" s="2032"/>
    </row>
    <row r="17" spans="1:22" ht="18" customHeight="1">
      <c r="A17" s="2088" t="s">
        <v>1802</v>
      </c>
      <c r="B17" s="2038" t="s">
        <v>1803</v>
      </c>
      <c r="C17" s="1057">
        <f>'数据-汇总表'!E3</f>
        <v>40878.99</v>
      </c>
      <c r="D17" s="2089" t="s">
        <v>1804</v>
      </c>
      <c r="E17" s="3048" t="s">
        <v>1805</v>
      </c>
      <c r="F17" s="3049"/>
      <c r="G17" s="3049"/>
      <c r="H17" s="3049"/>
      <c r="I17" s="3050"/>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51" t="s">
        <v>1808</v>
      </c>
      <c r="F18" s="3052"/>
      <c r="G18" s="3052"/>
      <c r="H18" s="3052"/>
      <c r="I18" s="3053"/>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3056</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38" t="s">
        <v>1813</v>
      </c>
      <c r="C20" s="3039"/>
      <c r="D20" s="3040" t="s">
        <v>1814</v>
      </c>
      <c r="E20" s="3041"/>
      <c r="F20" s="2099" t="s">
        <v>1815</v>
      </c>
      <c r="G20" s="2045"/>
      <c r="H20" s="2045"/>
      <c r="I20" s="2045"/>
      <c r="J20" s="2045"/>
      <c r="K20" s="3037"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37"/>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55" t="s">
        <v>1828</v>
      </c>
      <c r="B27" s="2064" t="s">
        <v>1829</v>
      </c>
      <c r="C27" s="2121" t="s">
        <v>3057</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55"/>
      <c r="B28" s="2038" t="s">
        <v>1830</v>
      </c>
      <c r="C28" s="2123" t="s">
        <v>3058</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55"/>
      <c r="B29" s="2038" t="s">
        <v>1831</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56"/>
      <c r="B30" s="2038" t="s">
        <v>1832</v>
      </c>
      <c r="C30" s="3057"/>
      <c r="D30" s="305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59" t="s">
        <v>1833</v>
      </c>
      <c r="B31" s="2128" t="s">
        <v>3060</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60"/>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60"/>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3061</v>
      </c>
      <c r="C34" s="2135" t="s">
        <v>3062</v>
      </c>
      <c r="D34" s="2135" t="s">
        <v>3063</v>
      </c>
      <c r="E34" s="2135" t="s">
        <v>3064</v>
      </c>
      <c r="F34" s="2135" t="s">
        <v>3065</v>
      </c>
      <c r="G34" s="2135" t="s">
        <v>3066</v>
      </c>
      <c r="H34" s="2135"/>
      <c r="I34" s="2045"/>
      <c r="J34" s="2045"/>
      <c r="K34" s="1798">
        <f>COUNTIF(B34:H34,"——")</f>
        <v>0</v>
      </c>
      <c r="L34" s="2076" t="s">
        <v>1835</v>
      </c>
      <c r="M34" s="2076" t="s">
        <v>1836</v>
      </c>
      <c r="N34" s="2076" t="s">
        <v>1837</v>
      </c>
      <c r="O34" s="2076" t="s">
        <v>1838</v>
      </c>
      <c r="P34" s="2076" t="s">
        <v>1839</v>
      </c>
      <c r="Q34" s="2076" t="s">
        <v>1840</v>
      </c>
      <c r="R34" s="2076" t="s">
        <v>1841</v>
      </c>
      <c r="S34" s="3054" t="s">
        <v>1842</v>
      </c>
      <c r="T34" s="2136" t="str">
        <f>NUMBERSTRING(7-K34,1)&amp;"通"</f>
        <v>七通</v>
      </c>
      <c r="U34" s="2032"/>
      <c r="V34" s="2032"/>
    </row>
    <row r="35" spans="1:22" ht="18" customHeight="1">
      <c r="A35" s="2137"/>
      <c r="B35" s="3061" t="s">
        <v>1843</v>
      </c>
      <c r="C35" s="3061"/>
      <c r="D35" s="3061"/>
      <c r="E35" s="306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40878.99</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40878.99</v>
      </c>
      <c r="H5" s="16">
        <f t="shared" ref="H5:AT5" si="0">SUM(H13:H656)</f>
        <v>40878.99</v>
      </c>
      <c r="I5" s="16">
        <f t="shared" si="0"/>
        <v>35659.39</v>
      </c>
      <c r="J5" s="16">
        <f t="shared" si="0"/>
        <v>0</v>
      </c>
      <c r="K5" s="16">
        <f t="shared" si="0"/>
        <v>5219.6000000000004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40878.99</v>
      </c>
      <c r="BA5" s="18">
        <f t="shared" si="1"/>
        <v>40878.99</v>
      </c>
      <c r="BB5" s="18">
        <f t="shared" si="1"/>
        <v>35659.39</v>
      </c>
      <c r="BC5" s="18">
        <f t="shared" si="1"/>
        <v>5219.6000000000004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1880</v>
      </c>
      <c r="B6" s="2176"/>
      <c r="C6" s="2176"/>
      <c r="D6" s="2177"/>
      <c r="E6" s="16">
        <f>H6+AC6+AT6</f>
        <v>35925.1</v>
      </c>
      <c r="F6" s="16" t="s">
        <v>1</v>
      </c>
      <c r="G6" s="16" t="s">
        <v>2</v>
      </c>
      <c r="H6" s="20">
        <f>SUMIF(I$12:AB$12,"总值",I6:AB6)</f>
        <v>35925.1</v>
      </c>
      <c r="I6" s="16">
        <f t="shared" ref="I6:AB6" si="2">ROUND($A$3*I5/$B$3,2)</f>
        <v>31338.03</v>
      </c>
      <c r="J6" s="16">
        <f t="shared" si="2"/>
        <v>0</v>
      </c>
      <c r="K6" s="16">
        <f t="shared" si="2"/>
        <v>4587.07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35925.1</v>
      </c>
      <c r="BB6" s="16">
        <f>ROUND($AY$6*BB5/$AZ$5,2)</f>
        <v>31338.03</v>
      </c>
      <c r="BC6" s="16">
        <f t="shared" ref="BC6:BH6" si="4">ROUND($AY$6*BC5/$AZ$5,2)</f>
        <v>4587.07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3067</v>
      </c>
      <c r="J9" s="984"/>
      <c r="K9" s="2193" t="s">
        <v>3068</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3069</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954" t="s">
        <v>3075</v>
      </c>
      <c r="E13" s="16">
        <f>IF($C$3="是",ROUND($A$3*G13/$B$3,2),ROUND($A$3*(G13-AT13)/$B$3,2))</f>
        <v>6769.53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6769.53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3071</v>
      </c>
      <c r="D14" s="2954" t="s">
        <v>3076</v>
      </c>
      <c r="E14" s="16">
        <f>IF($C$3="是",ROUND($A$3*G14/$B$3,2),ROUND($A$3*(G14-AT14)/$B$3,2))</f>
        <v>6264.12</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6264.12</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954" t="s">
        <v>3076</v>
      </c>
      <c r="E15" s="16">
        <f>IF($C$3="是",ROUND($A$3*G15/$B$3,2),ROUND($A$3*(G15-AT15)/$B$3,2))</f>
        <v>6264.12</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6264.12</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3073</v>
      </c>
      <c r="D16" s="2954" t="s">
        <v>3076</v>
      </c>
      <c r="E16" s="16">
        <f>IF($C$3="是",ROUND($A$3*G16/$B$3,2),ROUND($A$3*(G16-AT16)/$B$3,2))</f>
        <v>6290.22</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6290.22</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3074</v>
      </c>
      <c r="D17" s="2954" t="s">
        <v>3076</v>
      </c>
      <c r="E17" s="16">
        <f>IF($C$3="是",ROUND($A$3*G17/$B$3,2),ROUND($A$3*(G17-AT17)/$B$3,2))</f>
        <v>5750.05</v>
      </c>
      <c r="F17" s="32"/>
      <c r="G17" s="33">
        <f>H17+AC17+AT17</f>
        <v>6542.95</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5层</v>
      </c>
      <c r="AY17" s="1809">
        <f>ROUND($AY$6*AZ17/$AZ$5,2)</f>
        <v>5750.05</v>
      </c>
      <c r="AZ17" s="16">
        <f>BA17+BL17</f>
        <v>6542.95</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3077</v>
      </c>
      <c r="D18" s="2219" t="s">
        <v>3056</v>
      </c>
      <c r="E18" s="35">
        <f t="shared" ref="E18:E112" si="7">IF($C$3="是",ROUND($A$3*G18/$B$3,2),ROUND($A$3*(G18-AT18)/$B$3,2))</f>
        <v>4587.07</v>
      </c>
      <c r="F18" s="36"/>
      <c r="G18" s="37">
        <f t="shared" ref="G18:G109" si="8">H18+AC18+AT18</f>
        <v>5219.6000000000004</v>
      </c>
      <c r="H18" s="38">
        <f t="shared" ref="H18:H109" si="9">SUMIF(I$12:AB$12,"总值",I18:AB18)</f>
        <v>5219.6000000000004</v>
      </c>
      <c r="I18" s="39"/>
      <c r="J18" s="39"/>
      <c r="K18" s="39">
        <v>5219.6000000000004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4587.07</v>
      </c>
      <c r="AZ18" s="35">
        <f t="shared" ref="AZ18:AZ109" si="15">BA18+BL18</f>
        <v>5219.6000000000004</v>
      </c>
      <c r="BA18" s="35">
        <f t="shared" ref="BA18:BA109" si="16">SUM(BB18:BK18)</f>
        <v>5219.6000000000004</v>
      </c>
      <c r="BB18" s="35">
        <f t="shared" ref="BB18:BB109" si="17">IF($D18="是",I18-J18,0)</f>
        <v>0</v>
      </c>
      <c r="BC18" s="35">
        <f t="shared" ref="BC18:BC109" si="18">IF($D18="是",K18-L18,0)</f>
        <v>5219.6000000000004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73" t="s">
        <v>1939</v>
      </c>
      <c r="B2" s="3073"/>
      <c r="C2" s="3073"/>
      <c r="D2" s="970" t="s">
        <v>1915</v>
      </c>
      <c r="E2" s="2228" t="s">
        <v>1916</v>
      </c>
      <c r="F2" s="1395"/>
      <c r="G2" s="2229"/>
      <c r="H2" s="2230"/>
      <c r="I2" s="2231" t="s">
        <v>1940</v>
      </c>
      <c r="J2" s="1395"/>
      <c r="K2" s="1395"/>
      <c r="L2" s="1395"/>
      <c r="M2" s="1395"/>
      <c r="N2" s="1430"/>
      <c r="O2" s="1395"/>
      <c r="P2" s="1395"/>
    </row>
    <row r="3" spans="1:16" ht="15.75" thickBot="1">
      <c r="A3" s="3074" t="s">
        <v>1913</v>
      </c>
      <c r="B3" s="3074"/>
      <c r="C3" s="3074"/>
      <c r="D3" s="46">
        <f>'数据-基础表'!AY6</f>
        <v>35925.1</v>
      </c>
      <c r="E3" s="46">
        <f>'数据-基础表'!AZ5</f>
        <v>40878.99</v>
      </c>
      <c r="F3" s="1395"/>
      <c r="G3" s="1402"/>
      <c r="H3" s="1250" t="s">
        <v>1914</v>
      </c>
      <c r="I3" s="55">
        <f>ROUND('数据-基础表'!B3/'数据-基础表'!A3,2)</f>
        <v>1.1399999999999999</v>
      </c>
      <c r="J3" s="1395"/>
      <c r="K3" s="1395"/>
      <c r="L3" s="1395"/>
      <c r="M3" s="1395"/>
      <c r="N3" s="1430"/>
      <c r="O3" s="1395"/>
      <c r="P3" s="1395"/>
    </row>
    <row r="4" spans="1:16" ht="15">
      <c r="A4" s="3075"/>
      <c r="B4" s="3076"/>
      <c r="C4" s="3077"/>
      <c r="D4" s="2232" t="s">
        <v>1915</v>
      </c>
      <c r="E4" s="2233" t="s">
        <v>1916</v>
      </c>
      <c r="F4" s="1395"/>
      <c r="G4" s="2234" t="s">
        <v>1941</v>
      </c>
      <c r="H4" s="1250" t="s">
        <v>1921</v>
      </c>
      <c r="I4" s="55">
        <f>ROUND(SUMIF('数据-基础表'!I9:AS9,"地上",'数据-基础表'!I5:AS5)/'数据-基础表'!A3,2)</f>
        <v>0.99</v>
      </c>
      <c r="J4" s="1395"/>
      <c r="K4" s="1395"/>
      <c r="L4" s="1395"/>
      <c r="M4" s="1395"/>
      <c r="N4" s="1430"/>
      <c r="O4" s="1395"/>
      <c r="P4" s="1395"/>
    </row>
    <row r="5" spans="1:16">
      <c r="A5" s="47" t="s">
        <v>1917</v>
      </c>
      <c r="B5" s="3078" t="s">
        <v>1918</v>
      </c>
      <c r="C5" s="3078"/>
      <c r="D5" s="48">
        <f>ROUND($D$3*E5/$E$3,2)</f>
        <v>0</v>
      </c>
      <c r="E5" s="49">
        <f>SUMIF('数据-基础表'!$11:$11,"住宅",'数据-基础表'!$5:$5)</f>
        <v>0</v>
      </c>
      <c r="F5" s="1395"/>
      <c r="G5" s="1402"/>
      <c r="H5" s="1250" t="s">
        <v>1914</v>
      </c>
      <c r="I5" s="55">
        <f>ROUND(E31/D31,2)</f>
        <v>1.1399999999999999</v>
      </c>
      <c r="J5" s="1395"/>
      <c r="K5" s="1395"/>
      <c r="L5" s="1395"/>
      <c r="M5" s="1395"/>
      <c r="N5" s="1395"/>
      <c r="O5" s="1395"/>
      <c r="P5" s="1395"/>
    </row>
    <row r="6" spans="1:16" ht="15" thickBot="1">
      <c r="A6" s="2235"/>
      <c r="B6" s="3078" t="s">
        <v>1919</v>
      </c>
      <c r="C6" s="3078"/>
      <c r="D6" s="48">
        <f>ROUND($D$3*E6/$E$3,2)</f>
        <v>35925.1</v>
      </c>
      <c r="E6" s="49">
        <f>E3-E5</f>
        <v>40878.99</v>
      </c>
      <c r="F6" s="1395"/>
      <c r="G6" s="2236" t="s">
        <v>1920</v>
      </c>
      <c r="H6" s="1402" t="s">
        <v>1921</v>
      </c>
      <c r="I6" s="942">
        <f>ROUND(F31/D31,2)</f>
        <v>0.99</v>
      </c>
      <c r="J6" s="1395"/>
      <c r="K6" s="1395"/>
      <c r="L6" s="1395"/>
      <c r="M6" s="1395"/>
      <c r="N6" s="1395"/>
      <c r="O6" s="1395"/>
      <c r="P6" s="1395"/>
    </row>
    <row r="7" spans="1:16" ht="15">
      <c r="A7" s="3070"/>
      <c r="B7" s="3071"/>
      <c r="C7" s="3072"/>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31338.03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4587.07</v>
      </c>
      <c r="E15" s="51">
        <f>SUMPRODUCT(('数据-基础表'!BB10:BK10="地下")*('数据-基础表'!BB11:BK11="车库—办公")*('数据-基础表'!BB5:BK5))</f>
        <v>5219.6000000000004</v>
      </c>
      <c r="F15" s="1395"/>
      <c r="G15" s="2238"/>
      <c r="H15" s="2238"/>
      <c r="I15" s="1395"/>
      <c r="J15" s="1395"/>
      <c r="K15" s="1395"/>
      <c r="L15" s="1395"/>
      <c r="M15" s="1395"/>
      <c r="N15" s="1395"/>
      <c r="O15" s="1395"/>
      <c r="P15" s="1395"/>
    </row>
    <row r="16" spans="1:16" ht="15.75" thickBot="1">
      <c r="A16" s="2235"/>
      <c r="B16" s="2240"/>
      <c r="C16" s="50" t="s">
        <v>1931</v>
      </c>
      <c r="D16" s="50">
        <f>SUM(D8:D15)</f>
        <v>35925.1</v>
      </c>
      <c r="E16" s="53">
        <f>SUM(E8:E15)</f>
        <v>40878.99</v>
      </c>
      <c r="F16" s="1395"/>
      <c r="G16" s="2238"/>
      <c r="H16" s="2241" t="s">
        <v>1943</v>
      </c>
      <c r="I16" s="2242"/>
      <c r="J16" s="1395"/>
      <c r="K16" s="3067" t="s">
        <v>1943</v>
      </c>
      <c r="L16" s="3068"/>
      <c r="M16" s="3068"/>
      <c r="N16" s="3068"/>
      <c r="O16" s="3068"/>
      <c r="P16" s="3069"/>
    </row>
    <row r="17" spans="1:19" ht="15">
      <c r="A17" s="2243" t="s">
        <v>1944</v>
      </c>
      <c r="B17" s="2244" t="s">
        <v>1945</v>
      </c>
      <c r="C17" s="2245" t="s">
        <v>1946</v>
      </c>
      <c r="D17" s="2246" t="s">
        <v>1934</v>
      </c>
      <c r="E17" s="2247" t="s">
        <v>1935</v>
      </c>
      <c r="F17" s="2248"/>
      <c r="G17" s="2249"/>
      <c r="H17" s="2250" t="s">
        <v>1947</v>
      </c>
      <c r="I17" s="2251" t="s">
        <v>1932</v>
      </c>
      <c r="J17" s="1395"/>
      <c r="K17" s="3064" t="s">
        <v>1948</v>
      </c>
      <c r="L17" s="3065"/>
      <c r="M17" s="3066"/>
      <c r="N17" s="3064" t="s">
        <v>1949</v>
      </c>
      <c r="O17" s="3065"/>
      <c r="P17" s="3066"/>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6" t="s">
        <v>3078</v>
      </c>
      <c r="D19" s="48">
        <f>ROUND($D$3*E19/$E$3,2)</f>
        <v>31338.03</v>
      </c>
      <c r="E19" s="56">
        <f t="shared" ref="E19:E26" si="1">SUM(F19:G19)</f>
        <v>35659.39</v>
      </c>
      <c r="F19" s="57">
        <f>'数据-基础表'!I5</f>
        <v>35659.39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31338.03</v>
      </c>
      <c r="S19" s="1251">
        <f t="shared" si="5"/>
        <v>35659.39</v>
      </c>
    </row>
    <row r="20" spans="1:19">
      <c r="A20" s="2264"/>
      <c r="B20" s="50" t="s">
        <v>1961</v>
      </c>
      <c r="C20" s="2956" t="s">
        <v>3080</v>
      </c>
      <c r="D20" s="48">
        <f t="shared" ref="D20:D26" si="6">ROUND($D$3*E20/$E$3,2)</f>
        <v>4587.07</v>
      </c>
      <c r="E20" s="56">
        <f t="shared" si="1"/>
        <v>5219.6000000000004</v>
      </c>
      <c r="F20" s="57"/>
      <c r="G20" s="58">
        <f>'数据-基础表'!K5</f>
        <v>5219.6000000000004</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4587.07</v>
      </c>
      <c r="S20" s="1251">
        <f t="shared" si="5"/>
        <v>5219.6000000000004</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35925.1</v>
      </c>
      <c r="E27" s="1397">
        <f>IF(SUM(E19:E26)='数据-基础表'!BA5,SUM(E19:E26),IF(F27="地上面积有误","面积有误","地下面积有误"))</f>
        <v>40878.99</v>
      </c>
      <c r="F27" s="1396">
        <f>IF(SUM(F19:F26)=E8,SUM(F19:F26),"地上面积有误")</f>
        <v>35659.39</v>
      </c>
      <c r="G27" s="1398">
        <f>SUM(G19:G26)</f>
        <v>5219.6000000000004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40878.99</v>
      </c>
    </row>
    <row r="28" spans="1:19">
      <c r="A28" s="2264"/>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1966</v>
      </c>
      <c r="D31" s="729">
        <f>D27+D30</f>
        <v>35925.1</v>
      </c>
      <c r="E31" s="729">
        <f>E27+E30</f>
        <v>40878.99</v>
      </c>
      <c r="F31" s="730">
        <f>F27+F30</f>
        <v>35659.39</v>
      </c>
      <c r="G31" s="731">
        <f>G27+G30</f>
        <v>5219.6000000000004</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3081</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0.92400000000000004</v>
      </c>
      <c r="H6" s="802">
        <v>4.4999999999999998E-2</v>
      </c>
      <c r="I6" s="802">
        <v>0.05</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31338.03</v>
      </c>
      <c r="S6" s="54">
        <f>IF('数据-汇总表'!$I$17="按面积比例",SUMIF('数据-汇总表'!C$19:C$33,A6,'数据-汇总表'!K$19:K$33),SUMIF('数据-汇总表'!C$19:C$33,A6,'数据-汇总表'!N$19:N$33))</f>
        <v>0</v>
      </c>
      <c r="T6" s="1446">
        <f>ROUND($L$14*S6/10000,0)</f>
        <v>0</v>
      </c>
      <c r="U6" s="78">
        <f>'比较法-办公 (租金)'!C50</f>
        <v>5.5</v>
      </c>
      <c r="V6" s="79">
        <v>3.5000000000000003E-2</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3093</v>
      </c>
      <c r="AO6" s="55">
        <f ca="1">SUMIF(INDIRECT("'"&amp;AN6&amp;"'"&amp;"!A:A"),"总价",INDIRECT("'"&amp;AN6&amp;"'"&amp;"!B:B"))</f>
        <v>158042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3079</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802">
        <v>0.05</v>
      </c>
      <c r="J7" s="74">
        <v>0.09</v>
      </c>
      <c r="K7" s="1254">
        <f>SUMIF('数据-汇总表'!C$19:C$33,A7,'数据-汇总表'!E$19:E$33)</f>
        <v>5219.6000000000004</v>
      </c>
      <c r="L7" s="803">
        <v>2000</v>
      </c>
      <c r="M7" s="75">
        <f t="shared" si="0"/>
        <v>1044</v>
      </c>
      <c r="N7" s="801">
        <v>0.97</v>
      </c>
      <c r="O7" s="75" t="str">
        <f t="shared" ref="O7:O14" si="3">IF($N$5="成新度","——",ROUND(M7*N7,0))</f>
        <v>——</v>
      </c>
      <c r="P7" s="76" t="str">
        <f t="shared" ref="P7:P14" si="4">IF($N$5="成新度","——",M7-O7)</f>
        <v>——</v>
      </c>
      <c r="Q7" s="804">
        <v>0.1</v>
      </c>
      <c r="R7" s="77">
        <f ca="1">SUMIF('数据-汇总表'!C$19:C$33,A7,'数据-汇总表'!R$19:R$27)</f>
        <v>4587.07</v>
      </c>
      <c r="S7" s="54">
        <f>IF('数据-汇总表'!$I$17="按面积比例",SUMIF('数据-汇总表'!C$19:C$33,A7,'数据-汇总表'!K$19:K$33),SUMIF('数据-汇总表'!C$19:C$33,A7,'数据-汇总表'!N$19:N$33))</f>
        <v>0</v>
      </c>
      <c r="T7" s="1446">
        <f t="shared" ref="T7:T13" si="5">ROUND($L$14*S7/10000,0)</f>
        <v>0</v>
      </c>
      <c r="U7" s="78">
        <v>1.2</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0.02</v>
      </c>
      <c r="AL7" s="88">
        <v>2E-3</v>
      </c>
      <c r="AM7" s="89">
        <v>0.02</v>
      </c>
      <c r="AN7" s="2310" t="s">
        <v>3096</v>
      </c>
      <c r="AO7" s="55">
        <f t="shared" ref="AO7:AO13" ca="1" si="8">SUMIF(INDIRECT("'"&amp;AN7&amp;"'"&amp;"!A:A"),"总价",INDIRECT("'"&amp;AN7&amp;"'"&amp;"!B:B"))</f>
        <v>3215</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0.92400000000000004</v>
      </c>
      <c r="H16" s="99">
        <f>ROUND(SUMPRODUCT(H6:H13,K6:K13)/SUMPRODUCT((H6:H13&gt;0)*(K6:K13)),3)</f>
        <v>4.4999999999999998E-2</v>
      </c>
      <c r="I16" s="100"/>
      <c r="J16" s="100"/>
      <c r="K16" s="101">
        <f>SUM(K6:K15)</f>
        <v>40878.99</v>
      </c>
      <c r="L16" s="102">
        <f>ROUND(M16*10000/SUM(K6:K14),0)</f>
        <v>2698</v>
      </c>
      <c r="M16" s="102">
        <f>SUM(M6:M14)</f>
        <v>11029</v>
      </c>
      <c r="N16" s="103">
        <f>ROUND(SUMPRODUCT(M6:M14,N6:N14)/M16,3)</f>
        <v>0.97</v>
      </c>
      <c r="O16" s="102">
        <f>SUM(O6:O14)</f>
        <v>0</v>
      </c>
      <c r="P16" s="102">
        <f>SUM(P6:P14)</f>
        <v>0</v>
      </c>
      <c r="Q16" s="104">
        <f>ROUND(SUMPRODUCT(Q6:Q13,K6:K13)/SUMPRODUCT((Q6:Q13&gt;0)*(K6:K13)),2)</f>
        <v>0.19</v>
      </c>
      <c r="R16" s="1258">
        <f ca="1">SUM(R6:R13)</f>
        <v>35925.1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9" t="s">
        <v>2084</v>
      </c>
      <c r="B1" s="3080"/>
      <c r="C1" s="3080"/>
      <c r="D1" s="3080"/>
      <c r="E1" s="3080"/>
      <c r="F1" s="3080"/>
      <c r="G1" s="308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1.25">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4">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1.25"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7">
      <c r="A8" s="431"/>
      <c r="B8" s="1798" t="s">
        <v>2101</v>
      </c>
      <c r="C8" s="2377" t="s">
        <v>2102</v>
      </c>
      <c r="D8" s="2378"/>
      <c r="E8" s="2378"/>
      <c r="F8" s="1136"/>
      <c r="G8" s="1136"/>
      <c r="H8" s="2369"/>
      <c r="I8" s="2369"/>
      <c r="J8" s="2369"/>
      <c r="K8" s="2369"/>
      <c r="L8" s="2369"/>
      <c r="M8" s="2369"/>
      <c r="N8" s="2369"/>
      <c r="O8" s="2369"/>
      <c r="P8" s="2369"/>
      <c r="Q8" s="2369"/>
      <c r="R8" s="2369"/>
    </row>
    <row r="9" spans="1:29" ht="27">
      <c r="A9" s="431"/>
      <c r="B9" s="1798" t="s">
        <v>2105</v>
      </c>
      <c r="C9" s="2375" t="s">
        <v>2106</v>
      </c>
      <c r="D9" s="2372"/>
      <c r="E9" s="2378"/>
      <c r="F9" s="1136"/>
      <c r="G9" s="1136"/>
      <c r="H9" s="2369"/>
      <c r="I9" s="2369"/>
      <c r="J9" s="2369"/>
      <c r="K9" s="2369"/>
      <c r="L9" s="2369"/>
      <c r="M9" s="2369"/>
      <c r="N9" s="2369"/>
      <c r="O9" s="2369"/>
      <c r="P9" s="2369"/>
      <c r="Q9" s="2369"/>
      <c r="R9" s="2369"/>
    </row>
    <row r="10" spans="1:29" s="117" customFormat="1" ht="15.75" thickBot="1">
      <c r="A10" s="2382"/>
      <c r="B10" s="2383" t="s">
        <v>2107</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2108</v>
      </c>
      <c r="B13" s="2389"/>
      <c r="C13" s="2389"/>
      <c r="D13" s="2396"/>
      <c r="E13" s="2389"/>
      <c r="F13" s="2389"/>
      <c r="G13" s="2389"/>
    </row>
    <row r="14" spans="1:29" ht="15.75" thickBot="1">
      <c r="A14" s="2400"/>
      <c r="B14" s="2401"/>
      <c r="C14" s="2402" t="s">
        <v>2109</v>
      </c>
      <c r="D14" s="2372"/>
      <c r="E14" s="2403"/>
      <c r="F14" s="2403"/>
      <c r="G14" s="2366" t="s">
        <v>2110</v>
      </c>
    </row>
    <row r="15" spans="1:29" ht="57">
      <c r="A15" s="68" t="s">
        <v>2111</v>
      </c>
      <c r="B15" s="1270" t="s">
        <v>2088</v>
      </c>
      <c r="C15" s="2404" t="str">
        <f>C3</f>
        <v>估价对象周边居住用地比例、居住小区规模和社区发展完善程度，综合评价居住社区成熟度一般</v>
      </c>
      <c r="D15" s="2372"/>
      <c r="E15" s="2405" t="s">
        <v>2112</v>
      </c>
      <c r="F15" s="1270" t="s">
        <v>2113</v>
      </c>
      <c r="G15" s="135" t="str">
        <f>G3</f>
        <v>估价对象位于XX开发区，园区建设成熟度XX，产业集聚程度XX</v>
      </c>
    </row>
    <row r="16" spans="1:29" ht="42.75">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2.75">
      <c r="A17" s="645"/>
      <c r="B17" s="2406" t="s">
        <v>2096</v>
      </c>
      <c r="C17" s="2407" t="str">
        <f>C5</f>
        <v>估价对象位于XX商圈，周边办公楼项目较多，入驻率高，办公集聚程度较好</v>
      </c>
      <c r="D17" s="2378"/>
      <c r="E17" s="2408"/>
      <c r="F17" s="2409" t="s">
        <v>2114</v>
      </c>
      <c r="G17" s="1572"/>
    </row>
    <row r="18" spans="1:18" ht="57">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8.5">
      <c r="A19" s="645"/>
      <c r="B19" s="2409" t="s">
        <v>2115</v>
      </c>
      <c r="C19" s="1572"/>
      <c r="D19" s="2372"/>
      <c r="E19" s="2408"/>
      <c r="F19" s="1798" t="s">
        <v>2098</v>
      </c>
      <c r="G19" s="136" t="str">
        <f>G5</f>
        <v>估价对象所在区域公共配套设施齐备情况</v>
      </c>
    </row>
    <row r="20" spans="1:18" ht="28.5">
      <c r="A20" s="645"/>
      <c r="B20" s="2409" t="s">
        <v>2116</v>
      </c>
      <c r="C20" s="2407" t="str">
        <f>C9</f>
        <v>区域自然环境：；人文环境；综合评价环境状况一般</v>
      </c>
      <c r="D20" s="2378"/>
      <c r="E20" s="2408"/>
      <c r="F20" s="1798" t="s">
        <v>2117</v>
      </c>
      <c r="G20" s="136" t="str">
        <f>G6</f>
        <v>估价对象所在区域基础设施水平</v>
      </c>
    </row>
    <row r="21" spans="1:18" ht="28.5">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7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7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7" sqref="H7"/>
    </sheetView>
  </sheetViews>
  <sheetFormatPr defaultRowHeight="13.5"/>
  <cols>
    <col min="1" max="1" width="23.375" style="1741" customWidth="1"/>
    <col min="2" max="9" width="15.75" style="1741" customWidth="1"/>
    <col min="10" max="16384" width="9" style="1741"/>
  </cols>
  <sheetData>
    <row r="1" spans="1:10" ht="16.5">
      <c r="A1" s="1746" t="s">
        <v>1364</v>
      </c>
      <c r="B1" s="1746">
        <f>SUM(B14:B23)</f>
        <v>40878.99</v>
      </c>
      <c r="C1" s="1745"/>
      <c r="D1" s="1745"/>
      <c r="E1" s="1745"/>
      <c r="F1" s="1745"/>
      <c r="G1" s="1743"/>
    </row>
    <row r="2" spans="1:10" ht="16.5">
      <c r="A2" s="1746" t="s">
        <v>1352</v>
      </c>
      <c r="B2" s="1746">
        <f>SUM(C14:C23)</f>
        <v>35925.1</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145136</v>
      </c>
      <c r="C5" s="1746">
        <f ca="1">ROUND(B5*10000/$B$1,0)</f>
        <v>35504</v>
      </c>
      <c r="D5" s="1746">
        <f ca="1">ROUND(B5*10000/$B$2,0)</f>
        <v>40400</v>
      </c>
      <c r="E5" s="1745"/>
      <c r="F5" s="1743"/>
      <c r="G5" s="1743"/>
    </row>
    <row r="6" spans="1:10" ht="16.5">
      <c r="A6" s="1746" t="s">
        <v>1355</v>
      </c>
      <c r="B6" s="1746">
        <f ca="1">SUM(G14:G23)</f>
        <v>145136</v>
      </c>
      <c r="C6" s="1746">
        <f ca="1">ROUND(B6*10000/$B$1,0)</f>
        <v>35504</v>
      </c>
      <c r="D6" s="1746">
        <f ca="1">ROUND(B6*10000/$B$2,0)</f>
        <v>40400</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31338.03</v>
      </c>
      <c r="D14" s="1744">
        <f ca="1">结果表办公!H118</f>
        <v>141753</v>
      </c>
      <c r="E14" s="1744">
        <f ca="1">ROUND(D14*10000/B14,0)</f>
        <v>39752</v>
      </c>
      <c r="F14" s="1744">
        <f ca="1">ROUND(D14*10000/C14,0)</f>
        <v>45234</v>
      </c>
      <c r="G14" s="1744">
        <f ca="1">结果表办公!D122</f>
        <v>141753</v>
      </c>
      <c r="H14" s="1744" t="str">
        <f>结果表办公!D124</f>
        <v>——</v>
      </c>
      <c r="I14" s="1744" t="str">
        <f>结果表办公!D126</f>
        <v>——</v>
      </c>
      <c r="J14" s="1743"/>
    </row>
    <row r="15" spans="1:10" ht="16.5">
      <c r="A15" s="1742" t="s">
        <v>1348</v>
      </c>
      <c r="B15" s="1749">
        <f>'数据-汇总表'!G20</f>
        <v>5219.6000000000004</v>
      </c>
      <c r="C15" s="1749">
        <f>'数据-汇总表'!D20</f>
        <v>4587.07</v>
      </c>
      <c r="D15" s="1749">
        <f ca="1">结果表车库!G19</f>
        <v>3383</v>
      </c>
      <c r="E15" s="1744">
        <f t="shared" ref="E15:E23" ca="1" si="0">ROUND(D15*10000/B15,0)</f>
        <v>6481</v>
      </c>
      <c r="F15" s="1744">
        <f t="shared" ref="F15:F23" ca="1" si="1">ROUND(D15*10000/C15,0)</f>
        <v>7375</v>
      </c>
      <c r="G15" s="1750">
        <f ca="1">D15</f>
        <v>3383</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53" t="str">
        <f>项目基本情况!S2</f>
        <v>北京市房地产</v>
      </c>
      <c r="B2" s="3154"/>
      <c r="C2" s="3154"/>
      <c r="D2" s="3154"/>
      <c r="E2" s="3154"/>
      <c r="F2" s="3154"/>
      <c r="G2" s="3154"/>
      <c r="H2" s="3154"/>
      <c r="I2" s="3155"/>
    </row>
    <row r="3" spans="1:12" ht="12.75">
      <c r="A3" s="3156" t="s">
        <v>2123</v>
      </c>
      <c r="B3" s="3157"/>
      <c r="C3" s="3157"/>
      <c r="D3" s="3157"/>
      <c r="E3" s="3157"/>
      <c r="F3" s="3157"/>
      <c r="G3" s="3157"/>
      <c r="H3" s="3157"/>
      <c r="I3" s="3157"/>
    </row>
    <row r="4" spans="1:12" ht="14.25">
      <c r="A4" s="2427" t="s">
        <v>2124</v>
      </c>
      <c r="B4" s="2428" t="s">
        <v>2125</v>
      </c>
      <c r="C4" s="2429" t="s">
        <v>3108</v>
      </c>
      <c r="D4" s="2429" t="s">
        <v>3093</v>
      </c>
      <c r="E4" s="3137" t="s">
        <v>2126</v>
      </c>
      <c r="F4" s="3150"/>
      <c r="G4" s="3150"/>
      <c r="H4" s="3150"/>
      <c r="I4" s="3138"/>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8" t="s">
        <v>2127</v>
      </c>
      <c r="B5" s="3054">
        <v>25</v>
      </c>
      <c r="C5" s="3158"/>
      <c r="D5" s="3146"/>
      <c r="E5" s="140" t="s">
        <v>2128</v>
      </c>
      <c r="F5" s="2431"/>
      <c r="G5" s="2431"/>
      <c r="H5" s="2431"/>
      <c r="I5" s="1834"/>
    </row>
    <row r="6" spans="1:12" ht="12.75">
      <c r="A6" s="3128"/>
      <c r="B6" s="3054"/>
      <c r="C6" s="3160"/>
      <c r="D6" s="3146"/>
      <c r="E6" s="140" t="s">
        <v>2129</v>
      </c>
      <c r="F6" s="2431"/>
      <c r="G6" s="2431"/>
      <c r="H6" s="2431"/>
      <c r="I6" s="1834"/>
    </row>
    <row r="7" spans="1:12" ht="12.75">
      <c r="A7" s="3128"/>
      <c r="B7" s="3054"/>
      <c r="C7" s="3159"/>
      <c r="D7" s="3146"/>
      <c r="E7" s="140" t="s">
        <v>2130</v>
      </c>
      <c r="F7" s="2431"/>
      <c r="G7" s="2431"/>
      <c r="H7" s="2431"/>
      <c r="I7" s="1834"/>
    </row>
    <row r="8" spans="1:12" ht="12.75">
      <c r="A8" s="3128" t="s">
        <v>2131</v>
      </c>
      <c r="B8" s="3054">
        <v>15</v>
      </c>
      <c r="C8" s="3158"/>
      <c r="D8" s="3146"/>
      <c r="E8" s="140" t="s">
        <v>2132</v>
      </c>
      <c r="F8" s="2431"/>
      <c r="G8" s="2431"/>
      <c r="H8" s="2431"/>
      <c r="I8" s="1834"/>
    </row>
    <row r="9" spans="1:12" ht="12.75">
      <c r="A9" s="3128"/>
      <c r="B9" s="3054"/>
      <c r="C9" s="3159"/>
      <c r="D9" s="3146"/>
      <c r="E9" s="140" t="s">
        <v>2133</v>
      </c>
      <c r="F9" s="2431"/>
      <c r="G9" s="2431"/>
      <c r="H9" s="2431"/>
      <c r="I9" s="1834"/>
    </row>
    <row r="10" spans="1:12" ht="12.75">
      <c r="A10" s="3128" t="s">
        <v>2134</v>
      </c>
      <c r="B10" s="3054">
        <v>15</v>
      </c>
      <c r="C10" s="3158"/>
      <c r="D10" s="3146"/>
      <c r="E10" s="140" t="s">
        <v>2135</v>
      </c>
      <c r="F10" s="2431"/>
      <c r="G10" s="2431"/>
      <c r="H10" s="2431"/>
      <c r="I10" s="1834"/>
    </row>
    <row r="11" spans="1:12" ht="12.75">
      <c r="A11" s="3128"/>
      <c r="B11" s="3054"/>
      <c r="C11" s="3159"/>
      <c r="D11" s="3146"/>
      <c r="E11" s="140" t="s">
        <v>2136</v>
      </c>
      <c r="F11" s="2431"/>
      <c r="G11" s="2431"/>
      <c r="H11" s="2431"/>
      <c r="I11" s="1834"/>
    </row>
    <row r="12" spans="1:12" ht="12.75">
      <c r="A12" s="3128" t="s">
        <v>2137</v>
      </c>
      <c r="B12" s="3054">
        <v>15</v>
      </c>
      <c r="C12" s="3158"/>
      <c r="D12" s="3146"/>
      <c r="E12" s="140" t="s">
        <v>2138</v>
      </c>
      <c r="F12" s="2431"/>
      <c r="G12" s="2431"/>
      <c r="H12" s="2431"/>
      <c r="I12" s="1834"/>
    </row>
    <row r="13" spans="1:12" ht="12.75">
      <c r="A13" s="3128"/>
      <c r="B13" s="3054"/>
      <c r="C13" s="3159"/>
      <c r="D13" s="3146"/>
      <c r="E13" s="140" t="s">
        <v>2139</v>
      </c>
      <c r="F13" s="2431"/>
      <c r="G13" s="2431"/>
      <c r="H13" s="2431"/>
      <c r="I13" s="1834"/>
    </row>
    <row r="14" spans="1:12" ht="12.75">
      <c r="A14" s="3128" t="s">
        <v>2140</v>
      </c>
      <c r="B14" s="3054">
        <v>30</v>
      </c>
      <c r="C14" s="3158">
        <v>0.4</v>
      </c>
      <c r="D14" s="3146">
        <f>1-C14</f>
        <v>0.6</v>
      </c>
      <c r="E14" s="140" t="s">
        <v>2141</v>
      </c>
      <c r="F14" s="2431"/>
      <c r="G14" s="2431"/>
      <c r="H14" s="2431"/>
      <c r="I14" s="1834"/>
    </row>
    <row r="15" spans="1:12" ht="12.75">
      <c r="A15" s="3128"/>
      <c r="B15" s="3054"/>
      <c r="C15" s="3160"/>
      <c r="D15" s="3146"/>
      <c r="E15" s="140" t="s">
        <v>2142</v>
      </c>
      <c r="F15" s="2431"/>
      <c r="G15" s="2431"/>
      <c r="H15" s="2431"/>
      <c r="I15" s="1834"/>
    </row>
    <row r="16" spans="1:12" ht="12.75">
      <c r="A16" s="3128"/>
      <c r="B16" s="3054"/>
      <c r="C16" s="3159"/>
      <c r="D16" s="3146"/>
      <c r="E16" s="140" t="s">
        <v>2143</v>
      </c>
      <c r="F16" s="2431"/>
      <c r="G16" s="2431"/>
      <c r="H16" s="2431"/>
      <c r="I16" s="1834"/>
    </row>
    <row r="17" spans="1:35" ht="15">
      <c r="A17" s="2432" t="s">
        <v>2144</v>
      </c>
      <c r="B17" s="64"/>
      <c r="C17" s="141">
        <f>SUM(C5:C16)</f>
        <v>0.4</v>
      </c>
      <c r="D17" s="141">
        <f>SUM(D5:D16)</f>
        <v>0.6</v>
      </c>
      <c r="E17" s="138"/>
      <c r="F17" s="138"/>
      <c r="G17" s="138"/>
      <c r="H17" s="138"/>
      <c r="I17" s="138"/>
      <c r="K17" s="2430"/>
      <c r="L17" s="2433" t="s">
        <v>2145</v>
      </c>
      <c r="M17" s="2433" t="s">
        <v>2146</v>
      </c>
    </row>
    <row r="18" spans="1:35" ht="15.75" thickBot="1">
      <c r="A18" s="2434" t="s">
        <v>2147</v>
      </c>
      <c r="B18" s="2435"/>
      <c r="C18" s="142">
        <f>ROUND(C17/SUM(C17:D17),2)</f>
        <v>0.4</v>
      </c>
      <c r="D18" s="142">
        <f>1-C18</f>
        <v>0.6</v>
      </c>
      <c r="E18" s="138"/>
      <c r="F18" s="138"/>
      <c r="G18" s="138"/>
      <c r="H18" s="138"/>
      <c r="I18" s="138"/>
      <c r="K18" s="2430" t="s">
        <v>2148</v>
      </c>
      <c r="L18" s="2430">
        <f>IF(C1="",'数据-汇总表'!E3,SUMIF(项目类型,C1,'数据-汇总表'!E17:E26)+SUMIF(项目类型,C1,'数据-汇总表'!I17:I26))</f>
        <v>35659.39</v>
      </c>
      <c r="M18" s="2430">
        <f>IF(C1="",'数据-汇总表'!E3,SUMIF(项目类型,C1,'数据-汇总表'!E17:E26))</f>
        <v>35659.39</v>
      </c>
    </row>
    <row r="19" spans="1:35" ht="15">
      <c r="A19" s="2436" t="s">
        <v>2149</v>
      </c>
      <c r="B19" s="2437" t="s">
        <v>2150</v>
      </c>
      <c r="C19" s="143">
        <f ca="1">SUMIF(INDIRECT("'"&amp;C4&amp;"'"&amp;"!A:A"),结果表办公!B19,INDIRECT("'"&amp;C4&amp;"'"&amp;"!B:B"))</f>
        <v>117319</v>
      </c>
      <c r="D19" s="144">
        <f ca="1">SUMIF(INDIRECT("'"&amp;D4&amp;"'"&amp;"!A:A"),结果表办公!B19,INDIRECT("'"&amp;D4&amp;"'"&amp;"!B:B"))</f>
        <v>158042</v>
      </c>
      <c r="E19" s="2436" t="s">
        <v>2151</v>
      </c>
      <c r="F19" s="2437" t="s">
        <v>2150</v>
      </c>
      <c r="G19" s="145">
        <f ca="1">ROUND(C19*$C$18+D19*$D$18,0)</f>
        <v>141753</v>
      </c>
      <c r="H19" s="2438" t="s">
        <v>2152</v>
      </c>
      <c r="I19" s="138"/>
      <c r="K19" s="2430" t="s">
        <v>2153</v>
      </c>
      <c r="L19" s="2430">
        <f>IF(C1="",'数据-汇总表'!D3,SUMIF(项目类型,C1,'数据-汇总表'!D17:D26)+SUMIF(项目类型,C1,'数据-汇总表'!H17:H27))</f>
        <v>31338.03</v>
      </c>
      <c r="M19" s="2430">
        <f>IF(C1="",'数据-汇总表'!D3,SUMIF(项目类型,C1,'数据-汇总表'!D17:D26))</f>
        <v>31338.03</v>
      </c>
    </row>
    <row r="20" spans="1:35" ht="15">
      <c r="A20" s="2439"/>
      <c r="B20" s="1250" t="s">
        <v>2154</v>
      </c>
      <c r="C20" s="146">
        <f ca="1">SUMIF(INDIRECT("'"&amp;C4&amp;"'"&amp;"!A:A"),结果表办公!B20,INDIRECT("'"&amp;C4&amp;"'"&amp;"!B:B"))</f>
        <v>32900</v>
      </c>
      <c r="D20" s="147">
        <f ca="1">SUMIF(INDIRECT("'"&amp;D4&amp;"'"&amp;"!A:A"),结果表办公!B20,INDIRECT("'"&amp;D4&amp;"'"&amp;"!B:B"))</f>
        <v>44320</v>
      </c>
      <c r="E20" s="2439"/>
      <c r="F20" s="1250" t="s">
        <v>2154</v>
      </c>
      <c r="G20" s="148">
        <f ca="1">ROUND(C20*$C$18+D20*$D$18,0)</f>
        <v>39752</v>
      </c>
      <c r="H20" s="983" t="s">
        <v>2155</v>
      </c>
      <c r="I20" s="138"/>
    </row>
    <row r="21" spans="1:35" ht="15" customHeight="1" thickBot="1">
      <c r="A21" s="1003"/>
      <c r="B21" s="2440" t="s">
        <v>2156</v>
      </c>
      <c r="C21" s="789">
        <f ca="1">ROUND(C19*10000/L19,0)</f>
        <v>37437</v>
      </c>
      <c r="D21" s="790">
        <f ca="1">ROUND(D19*10000/L19,0)</f>
        <v>50431</v>
      </c>
      <c r="E21" s="1003"/>
      <c r="F21" s="2440" t="s">
        <v>2156</v>
      </c>
      <c r="G21" s="149">
        <f ca="1">ROUND(G19*10000/L19,0)</f>
        <v>45234</v>
      </c>
      <c r="H21" s="2441" t="s">
        <v>2155</v>
      </c>
      <c r="I21" s="138"/>
    </row>
    <row r="22" spans="1:35" ht="15" thickBot="1">
      <c r="A22" s="2282" t="s">
        <v>2157</v>
      </c>
      <c r="B22" s="2442"/>
      <c r="C22" s="2443"/>
      <c r="D22" s="791">
        <f ca="1">IF(C19&lt;D19,D19/C19-1,C19/D19-1)</f>
        <v>0.34711342578780924</v>
      </c>
      <c r="E22" s="138"/>
      <c r="F22" s="138"/>
      <c r="G22" s="138"/>
      <c r="H22" s="138"/>
      <c r="I22" s="138"/>
    </row>
    <row r="23" spans="1:35" ht="13.5" thickBot="1">
      <c r="A23" s="2420"/>
      <c r="B23" s="2420"/>
      <c r="C23" s="2420"/>
      <c r="D23" s="2420"/>
      <c r="E23" s="138"/>
      <c r="F23" s="138"/>
      <c r="G23" s="138"/>
      <c r="H23" s="138"/>
      <c r="I23" s="138"/>
    </row>
    <row r="24" spans="1:35" ht="14.25">
      <c r="A24" s="3167" t="s">
        <v>2158</v>
      </c>
      <c r="B24" s="2437" t="s">
        <v>2150</v>
      </c>
      <c r="C24" s="145">
        <f>IF(B30=0,0,D30)</f>
        <v>0</v>
      </c>
      <c r="D24" s="2444"/>
      <c r="E24" s="138"/>
      <c r="F24" s="138"/>
      <c r="G24" s="138"/>
      <c r="H24" s="138"/>
      <c r="I24" s="138"/>
    </row>
    <row r="25" spans="1:35" ht="14.25">
      <c r="A25" s="3168"/>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141753</v>
      </c>
      <c r="D32" s="2451" t="s">
        <v>2165</v>
      </c>
      <c r="E32" s="138"/>
      <c r="F32" s="138"/>
      <c r="G32" s="138"/>
      <c r="H32" s="138"/>
      <c r="I32" s="138"/>
    </row>
    <row r="33" spans="1:15" ht="15">
      <c r="A33" s="960" t="s">
        <v>2166</v>
      </c>
      <c r="B33" s="2452"/>
      <c r="C33" s="2453"/>
      <c r="D33" s="2454"/>
      <c r="E33" s="2455" t="s">
        <v>2167</v>
      </c>
      <c r="F33" s="2456"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47" t="s">
        <v>2172</v>
      </c>
      <c r="B36" s="2463" t="s">
        <v>2173</v>
      </c>
      <c r="C36" s="154"/>
      <c r="D36" s="2464"/>
      <c r="E36" s="2465"/>
      <c r="F36" s="2466"/>
      <c r="G36" s="138"/>
      <c r="H36" s="138"/>
      <c r="I36" s="138"/>
    </row>
    <row r="37" spans="1:15" ht="15.75" thickBot="1">
      <c r="A37" s="3148"/>
      <c r="B37" s="2268" t="s">
        <v>2174</v>
      </c>
      <c r="C37" s="156"/>
      <c r="D37" s="1395"/>
      <c r="E37" s="1395"/>
      <c r="F37" s="2466"/>
      <c r="G37" s="138"/>
      <c r="H37" s="138"/>
      <c r="I37" s="138"/>
    </row>
    <row r="38" spans="1:15" ht="15.75" thickBot="1">
      <c r="A38" s="3149"/>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64" t="s">
        <v>2186</v>
      </c>
      <c r="B45" s="3165"/>
      <c r="C45" s="3166"/>
      <c r="D45" s="164">
        <f ca="1">ROUND(H101*F45,0)</f>
        <v>141753</v>
      </c>
      <c r="E45" s="165" t="s">
        <v>2187</v>
      </c>
      <c r="F45" s="166">
        <v>1</v>
      </c>
      <c r="G45" s="167" t="s">
        <v>2188</v>
      </c>
      <c r="H45" s="138"/>
      <c r="I45" s="138"/>
      <c r="J45" s="3083" t="s">
        <v>2189</v>
      </c>
      <c r="K45" s="3083"/>
      <c r="L45" s="3083"/>
      <c r="M45" s="3083"/>
      <c r="N45" s="3083"/>
      <c r="O45" s="3083"/>
    </row>
    <row r="46" spans="1:15" ht="14.25" customHeight="1">
      <c r="A46" s="3161" t="s">
        <v>2190</v>
      </c>
      <c r="B46" s="3162"/>
      <c r="C46" s="3162"/>
      <c r="D46" s="3162"/>
      <c r="E46" s="3162"/>
      <c r="F46" s="3162"/>
      <c r="G46" s="3163"/>
      <c r="H46" s="2482"/>
      <c r="I46" s="168"/>
      <c r="J46" s="1812">
        <v>1</v>
      </c>
      <c r="K46" s="3083" t="s">
        <v>2191</v>
      </c>
      <c r="L46" s="3083"/>
      <c r="M46" s="3084"/>
      <c r="N46" s="3084"/>
      <c r="O46" s="3084"/>
    </row>
    <row r="47" spans="1:15" ht="12" customHeight="1">
      <c r="A47" s="169" t="s">
        <v>2192</v>
      </c>
      <c r="B47" s="170"/>
      <c r="C47" s="171"/>
      <c r="D47" s="172" t="s">
        <v>2193</v>
      </c>
      <c r="E47" s="24" t="s">
        <v>2194</v>
      </c>
      <c r="F47" s="173" t="s">
        <v>2195</v>
      </c>
      <c r="G47" s="174" t="s">
        <v>2196</v>
      </c>
      <c r="H47" s="2482"/>
      <c r="I47" s="168"/>
      <c r="J47" s="1812">
        <v>2</v>
      </c>
      <c r="K47" s="3083" t="s">
        <v>2197</v>
      </c>
      <c r="L47" s="3083"/>
      <c r="M47" s="3085">
        <f>'数据-取费表'!B2</f>
        <v>43140</v>
      </c>
      <c r="N47" s="3085"/>
      <c r="O47" s="3085"/>
    </row>
    <row r="48" spans="1:15" ht="25.5">
      <c r="A48" s="3151" t="s">
        <v>2198</v>
      </c>
      <c r="B48" s="3152"/>
      <c r="C48" s="3152"/>
      <c r="D48" s="140">
        <f>IF(H48="情况1",0,IF(H48="情况2",D52,IF(H48="情况3",D53,IF(H48="情况4",D54))))</f>
        <v>0</v>
      </c>
      <c r="E48" s="1801" t="str">
        <f>IF(H48="情况4","(销售额-原购置价)×税（费）率","销售额×税（费）率")</f>
        <v>销售额×税（费）率</v>
      </c>
      <c r="F48" s="175" t="str">
        <f>IF(H48="情况1","免征",'数据-取费表'!B41)</f>
        <v>免征</v>
      </c>
      <c r="G48" s="2483" t="s">
        <v>2199</v>
      </c>
      <c r="H48" s="2484" t="s">
        <v>2200</v>
      </c>
      <c r="I48" s="2482"/>
      <c r="J48" s="1812">
        <v>3</v>
      </c>
      <c r="K48" s="3083" t="s">
        <v>2201</v>
      </c>
      <c r="L48" s="3083"/>
      <c r="M48" s="3086">
        <f ca="1">H101</f>
        <v>141753</v>
      </c>
      <c r="N48" s="3086"/>
      <c r="O48" s="3086"/>
    </row>
    <row r="49" spans="1:35" ht="25.5" customHeight="1">
      <c r="A49" s="176" t="s">
        <v>2202</v>
      </c>
      <c r="B49" s="3131" t="s">
        <v>2203</v>
      </c>
      <c r="C49" s="3131"/>
      <c r="D49" s="177">
        <v>0</v>
      </c>
      <c r="E49" s="23" t="s">
        <v>2204</v>
      </c>
      <c r="F49" s="28" t="s">
        <v>34</v>
      </c>
      <c r="G49" s="3112"/>
      <c r="H49" s="138"/>
      <c r="I49" s="2485"/>
      <c r="J49" s="1812">
        <v>4</v>
      </c>
      <c r="K49" s="3083" t="str">
        <f>IF(项目基本情况!E8="房地产抵押价值","房地产抵押价值","抵押担保权已注销时的房地产抵押价值")</f>
        <v>房地产抵押价值</v>
      </c>
      <c r="L49" s="3083"/>
      <c r="M49" s="3086">
        <f ca="1">IF(项目基本情况!E8="房地产抵押价值",H107,H109)</f>
        <v>141753</v>
      </c>
      <c r="N49" s="3086"/>
      <c r="O49" s="3086"/>
    </row>
    <row r="50" spans="1:35" ht="25.5" customHeight="1">
      <c r="A50" s="178"/>
      <c r="B50" s="3131" t="s">
        <v>2205</v>
      </c>
      <c r="C50" s="3131"/>
      <c r="D50" s="179"/>
      <c r="E50" s="31"/>
      <c r="F50" s="180"/>
      <c r="G50" s="3113"/>
      <c r="H50" s="138"/>
      <c r="I50" s="2485"/>
      <c r="J50" s="3083" t="s">
        <v>2206</v>
      </c>
      <c r="K50" s="3083"/>
      <c r="L50" s="3083"/>
      <c r="M50" s="3083"/>
      <c r="N50" s="3083"/>
      <c r="O50" s="3083"/>
    </row>
    <row r="51" spans="1:35" ht="12" customHeight="1">
      <c r="A51" s="181"/>
      <c r="B51" s="3131" t="s">
        <v>2207</v>
      </c>
      <c r="C51" s="3131"/>
      <c r="D51" s="182"/>
      <c r="E51" s="30"/>
      <c r="F51" s="180"/>
      <c r="G51" s="3114"/>
      <c r="H51" s="138"/>
      <c r="I51" s="2485"/>
      <c r="J51" s="2486" t="s">
        <v>2208</v>
      </c>
      <c r="K51" s="3083" t="s">
        <v>2209</v>
      </c>
      <c r="L51" s="3083"/>
      <c r="M51" s="2486" t="s">
        <v>2210</v>
      </c>
      <c r="N51" s="2486" t="s">
        <v>2211</v>
      </c>
      <c r="O51" s="2486" t="s">
        <v>2212</v>
      </c>
    </row>
    <row r="52" spans="1:35" ht="24" customHeight="1">
      <c r="A52" s="183" t="s">
        <v>2213</v>
      </c>
      <c r="B52" s="3131" t="s">
        <v>2214</v>
      </c>
      <c r="C52" s="3131"/>
      <c r="D52" s="182">
        <f ca="1">ROUND(D45*'数据-取费表'!B41/(1+'数据-取费表'!C42),0)</f>
        <v>7560</v>
      </c>
      <c r="E52" s="11" t="s">
        <v>2215</v>
      </c>
      <c r="F52" s="184">
        <f>'数据-取费表'!B41</f>
        <v>5.6000000000000001E-2</v>
      </c>
      <c r="G52" s="2487"/>
      <c r="H52" s="138"/>
      <c r="I52" s="2485"/>
      <c r="J52" s="1812">
        <v>1</v>
      </c>
      <c r="K52" s="3106" t="s">
        <v>2216</v>
      </c>
      <c r="L52" s="3106"/>
      <c r="M52" s="1754">
        <f>D48</f>
        <v>0</v>
      </c>
      <c r="N52" s="1812" t="str">
        <f>E48</f>
        <v>销售额×税（费）率</v>
      </c>
      <c r="O52" s="1755" t="str">
        <f>F48</f>
        <v>免征</v>
      </c>
    </row>
    <row r="53" spans="1:35" ht="12" customHeight="1">
      <c r="A53" s="183" t="s">
        <v>2217</v>
      </c>
      <c r="B53" s="3132" t="s">
        <v>2218</v>
      </c>
      <c r="C53" s="3133"/>
      <c r="D53" s="182">
        <f ca="1">ROUND(D45*'数据-取费表'!B41/(1+'数据-取费表'!C42),0)</f>
        <v>7560</v>
      </c>
      <c r="E53" s="11" t="s">
        <v>2215</v>
      </c>
      <c r="F53" s="184">
        <f>'数据-取费表'!B41</f>
        <v>5.6000000000000001E-2</v>
      </c>
      <c r="G53" s="2487"/>
      <c r="H53" s="138"/>
      <c r="I53" s="2485"/>
      <c r="J53" s="1812">
        <v>2</v>
      </c>
      <c r="K53" s="3106" t="s">
        <v>2219</v>
      </c>
      <c r="L53" s="3106"/>
      <c r="M53" s="1754">
        <f t="shared" ref="M53:O54" ca="1" si="0">D55</f>
        <v>71</v>
      </c>
      <c r="N53" s="1812" t="str">
        <f t="shared" si="0"/>
        <v>销售额×税（费）率</v>
      </c>
      <c r="O53" s="1755">
        <f t="shared" si="0"/>
        <v>5.0000000000000001E-4</v>
      </c>
    </row>
    <row r="54" spans="1:35" ht="12" customHeight="1">
      <c r="A54" s="183" t="s">
        <v>2220</v>
      </c>
      <c r="B54" s="3132" t="s">
        <v>2221</v>
      </c>
      <c r="C54" s="3133"/>
      <c r="D54" s="182">
        <f ca="1">C68</f>
        <v>7560</v>
      </c>
      <c r="E54" s="30" t="s">
        <v>2222</v>
      </c>
      <c r="F54" s="184">
        <f>'数据-取费表'!B41</f>
        <v>5.6000000000000001E-2</v>
      </c>
      <c r="G54" s="2487"/>
      <c r="H54" s="2488"/>
      <c r="I54" s="2485"/>
      <c r="J54" s="1812">
        <v>3</v>
      </c>
      <c r="K54" s="3106" t="s">
        <v>2223</v>
      </c>
      <c r="L54" s="3106"/>
      <c r="M54" s="1754">
        <f t="shared" ca="1" si="0"/>
        <v>80232</v>
      </c>
      <c r="N54" s="1812" t="str">
        <f t="shared" si="0"/>
        <v>增值额×税（费）率</v>
      </c>
      <c r="O54" s="1756" t="str">
        <f t="shared" si="0"/>
        <v>——</v>
      </c>
    </row>
    <row r="55" spans="1:35" ht="24" customHeight="1">
      <c r="A55" s="3170" t="s">
        <v>2224</v>
      </c>
      <c r="B55" s="3152"/>
      <c r="C55" s="3152"/>
      <c r="D55" s="185">
        <f ca="1">IF(H55="个人住宅",0,ROUND(D45*I55,0))</f>
        <v>71</v>
      </c>
      <c r="E55" s="11" t="s">
        <v>2225</v>
      </c>
      <c r="F55" s="184">
        <f>IF(H55="正常",I55,"免征")</f>
        <v>5.0000000000000001E-4</v>
      </c>
      <c r="G55" s="2487"/>
      <c r="H55" s="2484" t="s">
        <v>2226</v>
      </c>
      <c r="I55" s="186">
        <f>'数据-取费表'!B49</f>
        <v>5.0000000000000001E-4</v>
      </c>
      <c r="J55" s="1812" t="str">
        <f>IF(H59="非个人房产","",4)</f>
        <v/>
      </c>
      <c r="K55" s="3106" t="str">
        <f>IF(H59="非个人房产","——","个人所得税")</f>
        <v>——</v>
      </c>
      <c r="L55" s="3106"/>
      <c r="M55" s="1757" t="str">
        <f>D59</f>
        <v>——</v>
      </c>
      <c r="N55" s="1810" t="str">
        <f>E59</f>
        <v>——</v>
      </c>
      <c r="O55" s="1758" t="str">
        <f>F59</f>
        <v>——</v>
      </c>
    </row>
    <row r="56" spans="1:35" ht="24.75">
      <c r="A56" s="3170" t="s">
        <v>2227</v>
      </c>
      <c r="B56" s="3152"/>
      <c r="C56" s="3152"/>
      <c r="D56" s="185">
        <f ca="1">IF(H56="个人住宅",D57,D58)</f>
        <v>80232</v>
      </c>
      <c r="E56" s="11" t="s">
        <v>2228</v>
      </c>
      <c r="F56" s="184" t="str">
        <f>IF(H56="正常",F58,"免征")</f>
        <v>——</v>
      </c>
      <c r="G56" s="2489" t="s">
        <v>2229</v>
      </c>
      <c r="H56" s="2490" t="s">
        <v>2226</v>
      </c>
      <c r="I56" s="2491"/>
      <c r="J56" s="1812" t="str">
        <f>IF(项目基本情况!K6="上海银行",IF(J55="",4,J55+1),"")</f>
        <v/>
      </c>
      <c r="K56" s="3089" t="str">
        <f>IF(项目基本情况!K6="上海银行","其他处置费用","")</f>
        <v/>
      </c>
      <c r="L56" s="3090"/>
      <c r="M56" s="1754" t="str">
        <f>IF(项目基本情况!K6="上海银行",M69,"")</f>
        <v/>
      </c>
      <c r="N56" s="3092" t="str">
        <f>IF(项目基本情况!K6="上海银行","包含处置中涉及的律师、诉讼、拍卖、评估等费用","")</f>
        <v/>
      </c>
      <c r="O56" s="3093"/>
    </row>
    <row r="57" spans="1:35" ht="12.75">
      <c r="A57" s="183" t="s">
        <v>2202</v>
      </c>
      <c r="B57" s="3137" t="s">
        <v>2230</v>
      </c>
      <c r="C57" s="3138"/>
      <c r="D57" s="187">
        <v>0</v>
      </c>
      <c r="E57" s="23" t="s">
        <v>2204</v>
      </c>
      <c r="F57" s="155"/>
      <c r="G57" s="2487"/>
      <c r="H57" s="2491"/>
      <c r="I57" s="2491"/>
      <c r="J57" s="3106">
        <f>IF(AND(J55="",J56=""),4,IF(项目基本情况!K6="上海银行",结果表办公!J56+1,结果表办公!J55+1))</f>
        <v>4</v>
      </c>
      <c r="K57" s="3106" t="s">
        <v>2231</v>
      </c>
      <c r="L57" s="2492" t="s">
        <v>2232</v>
      </c>
      <c r="M57" s="1759"/>
      <c r="N57" s="1760">
        <f ca="1">SUMIF(M52:M56,"&lt;9e307")</f>
        <v>80303</v>
      </c>
      <c r="O57" s="2493"/>
      <c r="P57" s="1753">
        <f ca="1">N57/M49</f>
        <v>0.56649947443793081</v>
      </c>
    </row>
    <row r="58" spans="1:35" ht="24.75">
      <c r="A58" s="183" t="s">
        <v>2213</v>
      </c>
      <c r="B58" s="3137" t="s">
        <v>2233</v>
      </c>
      <c r="C58" s="3150"/>
      <c r="D58" s="185">
        <f ca="1">IF(H58="转让取得",C81,C97)</f>
        <v>80232</v>
      </c>
      <c r="E58" s="11" t="s">
        <v>2228</v>
      </c>
      <c r="F58" s="24" t="s">
        <v>34</v>
      </c>
      <c r="G58" s="2487"/>
      <c r="H58" s="2490" t="s">
        <v>2234</v>
      </c>
      <c r="I58" s="2491"/>
      <c r="J58" s="3106"/>
      <c r="K58" s="3106"/>
      <c r="L58" s="2492" t="s">
        <v>2235</v>
      </c>
      <c r="M58" s="1761"/>
      <c r="N58" s="2494" t="str">
        <f ca="1">NUMBERSTRING(INT(N57*10000),2)&amp;"元整"</f>
        <v>捌亿零叁佰零叁万元整</v>
      </c>
      <c r="O58" s="2495"/>
    </row>
    <row r="59" spans="1:35" ht="24.75" thickBot="1">
      <c r="A59" s="3110" t="s">
        <v>2236</v>
      </c>
      <c r="B59" s="3111"/>
      <c r="C59" s="3111"/>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08">
        <f>J57+1</f>
        <v>5</v>
      </c>
      <c r="K59" s="3106" t="s">
        <v>2238</v>
      </c>
      <c r="L59" s="1812" t="s">
        <v>2232</v>
      </c>
      <c r="M59" s="1762"/>
      <c r="N59" s="1763">
        <f ca="1">M49-N57</f>
        <v>61450</v>
      </c>
      <c r="O59" s="2497"/>
    </row>
    <row r="60" spans="1:35" ht="12" customHeight="1">
      <c r="A60" s="2498"/>
      <c r="B60" s="2420"/>
      <c r="C60" s="2420"/>
      <c r="D60" s="2420"/>
      <c r="E60" s="2168"/>
      <c r="F60" s="2491"/>
      <c r="G60" s="2491"/>
      <c r="H60" s="2499"/>
      <c r="I60" s="138"/>
      <c r="J60" s="3109"/>
      <c r="K60" s="3106"/>
      <c r="L60" s="2492" t="s">
        <v>2235</v>
      </c>
      <c r="M60" s="1761"/>
      <c r="N60" s="2494" t="str">
        <f ca="1">NUMBERSTRING(INT(N59*10000),2)&amp;"元整"</f>
        <v>陆亿壹仟肆佰伍拾万元整</v>
      </c>
      <c r="O60" s="2495"/>
    </row>
    <row r="61" spans="1:35" ht="13.5" thickBot="1">
      <c r="A61" s="3169" t="s">
        <v>2239</v>
      </c>
      <c r="B61" s="3169"/>
      <c r="C61" s="3169"/>
      <c r="D61" s="3169"/>
      <c r="E61" s="3169"/>
      <c r="F61" s="2491"/>
      <c r="G61" s="2491"/>
      <c r="H61" s="2499"/>
      <c r="I61" s="138"/>
      <c r="J61" s="1812">
        <f>J59+1</f>
        <v>6</v>
      </c>
      <c r="K61" s="3106" t="s">
        <v>2240</v>
      </c>
      <c r="L61" s="3106"/>
      <c r="M61" s="1764"/>
      <c r="N61" s="1765">
        <f ca="1">ROUND(N59*10000/'数据-汇总表'!E3,0)</f>
        <v>15032</v>
      </c>
      <c r="O61" s="2500"/>
    </row>
    <row r="62" spans="1:35" ht="12.75">
      <c r="A62" s="3126" t="s">
        <v>2241</v>
      </c>
      <c r="B62" s="3127"/>
      <c r="C62" s="1804"/>
      <c r="D62" s="1804" t="s">
        <v>2242</v>
      </c>
      <c r="E62" s="192" t="s">
        <v>2243</v>
      </c>
      <c r="F62" s="2491"/>
      <c r="G62" s="2491"/>
      <c r="H62" s="2499"/>
      <c r="I62" s="138"/>
    </row>
    <row r="63" spans="1:35" ht="12.75">
      <c r="A63" s="203" t="s">
        <v>775</v>
      </c>
      <c r="B63" s="193" t="s">
        <v>2244</v>
      </c>
      <c r="C63" s="194">
        <f ca="1">ROUND((C64+C65)/(1+'数据-取费表'!C42),0)</f>
        <v>135003</v>
      </c>
      <c r="D63" s="195"/>
      <c r="E63" s="196"/>
      <c r="F63" s="2491"/>
      <c r="G63" s="2491"/>
      <c r="H63" s="2499"/>
      <c r="I63" s="138"/>
      <c r="J63" s="3091" t="s">
        <v>2245</v>
      </c>
      <c r="K63" s="2501" t="s">
        <v>2246</v>
      </c>
      <c r="L63" s="1752">
        <f ca="1">IF(M49&gt;10000,M49*0.5%,IF(AND(M49&gt;1000,M49&lt;=10000),M49*1%,IF(AND(M49&gt;100,M49&lt;=1000),M49*3%,IF(AND(M49&gt;10,M49&lt;=100),M49*5%,M49*8%))))</f>
        <v>708.76499999999999</v>
      </c>
      <c r="M63" s="24">
        <f ca="1">ROUND(L63,1)</f>
        <v>708.8</v>
      </c>
      <c r="Z63" s="2425"/>
      <c r="AI63" s="2426"/>
    </row>
    <row r="64" spans="1:35" ht="14.25" customHeight="1">
      <c r="A64" s="197" t="s">
        <v>770</v>
      </c>
      <c r="B64" s="198" t="s">
        <v>2247</v>
      </c>
      <c r="C64" s="199">
        <f ca="1">D45</f>
        <v>141753</v>
      </c>
      <c r="D64" s="200" t="s">
        <v>32</v>
      </c>
      <c r="E64" s="201"/>
      <c r="F64" s="2491"/>
      <c r="G64" s="2491"/>
      <c r="H64" s="2499"/>
      <c r="I64" s="138"/>
      <c r="J64" s="3091"/>
      <c r="K64" s="2501" t="s">
        <v>2248</v>
      </c>
      <c r="L64" s="1752">
        <f ca="1">IF(M49&gt;2000,M49*0.5%,IF(AND(M49&gt;1000,M49&lt;=2000),M49*0.6%,IF(AND(M49&gt;500,M49&lt;=1000),M49*0.7%,IF(AND(M49&gt;200,M49&lt;=500),M49*0.8%,IF(AND(M49&gt;100,M49&lt;=200),M49*0.9%,IF(AND(M49&gt;50,M49&lt;=100),M49*1%,IF(AND(M49&gt;20,M49&lt;=50),M49*1.5%,IF(AND(M49&gt;10,M49&lt;=20),M49*2%,IF(AND(M49&gt;1,M49&lt;=10),M49*2.5%)))))))))</f>
        <v>708.76499999999999</v>
      </c>
      <c r="M64" s="24">
        <f t="shared" ref="M64:M65" ca="1" si="1">ROUND(L64,1)</f>
        <v>708.8</v>
      </c>
      <c r="N64" s="138" t="s">
        <v>2249</v>
      </c>
      <c r="Z64" s="2425"/>
      <c r="AI64" s="2426"/>
    </row>
    <row r="65" spans="1:35" ht="14.25" customHeight="1">
      <c r="A65" s="197" t="s">
        <v>771</v>
      </c>
      <c r="B65" s="198" t="s">
        <v>2250</v>
      </c>
      <c r="C65" s="202"/>
      <c r="D65" s="200"/>
      <c r="E65" s="201"/>
      <c r="F65" s="2491"/>
      <c r="G65" s="2491"/>
      <c r="H65" s="2499"/>
      <c r="I65" s="138"/>
      <c r="J65" s="3091"/>
      <c r="K65" s="2501" t="s">
        <v>2251</v>
      </c>
      <c r="L65" s="1752">
        <f ca="1">IF(M49&gt;1000,M49*0.1%,IF(AND(M49&gt;500,M49&lt;=1000),M49*0.5%,IF(AND(M49&gt;50,M49&lt;=500),M49*1%,IF(AND(M49&gt;1,M49&lt;=50),M49*1.5%))))</f>
        <v>141.75300000000001</v>
      </c>
      <c r="M65" s="24">
        <f t="shared" ca="1" si="1"/>
        <v>141.80000000000001</v>
      </c>
      <c r="N65" s="138" t="s">
        <v>2249</v>
      </c>
      <c r="Z65" s="2425"/>
      <c r="AI65" s="2426"/>
    </row>
    <row r="66" spans="1:35" ht="14.25" customHeight="1">
      <c r="A66" s="203" t="s">
        <v>772</v>
      </c>
      <c r="B66" s="204" t="s">
        <v>2252</v>
      </c>
      <c r="C66" s="205"/>
      <c r="D66" s="206" t="s">
        <v>32</v>
      </c>
      <c r="E66" s="1776" t="s">
        <v>1370</v>
      </c>
      <c r="F66" s="2491"/>
      <c r="G66" s="2491"/>
      <c r="H66" s="2499"/>
      <c r="I66" s="138"/>
      <c r="J66" s="3091"/>
      <c r="K66" s="2501" t="s">
        <v>2253</v>
      </c>
      <c r="L66" s="1752">
        <f ca="1">M49*0.5%</f>
        <v>708.76499999999999</v>
      </c>
      <c r="M66" s="24">
        <f ca="1">IF(L66&gt;0.5,0.5,ROUND(L66,0))</f>
        <v>0.5</v>
      </c>
      <c r="N66" s="138" t="s">
        <v>2254</v>
      </c>
      <c r="Z66" s="2425"/>
      <c r="AI66" s="2426"/>
    </row>
    <row r="67" spans="1:35" ht="14.25" customHeight="1">
      <c r="A67" s="203" t="s">
        <v>773</v>
      </c>
      <c r="B67" s="204" t="s">
        <v>2255</v>
      </c>
      <c r="C67" s="207">
        <f ca="1">C63-C66</f>
        <v>135003</v>
      </c>
      <c r="D67" s="200" t="s">
        <v>32</v>
      </c>
      <c r="E67" s="201"/>
      <c r="F67" s="2491"/>
      <c r="G67" s="2491"/>
      <c r="H67" s="2499"/>
      <c r="I67" s="138"/>
      <c r="J67" s="3091"/>
      <c r="K67" s="2501" t="s">
        <v>2256</v>
      </c>
      <c r="L67" s="1752">
        <f ca="1">IF(M49&gt;=10000,(8.25+(M49-10000)*0.01%),IF(AND(M49&gt;=8000,M49&lt;10000),(7.85+(M49-8000)*0.02%),IF(AND(M49&gt;=5000,M49&lt;8000),(6.65+(M49-5000)*0.04%),IF(AND(M49&gt;=2000,M49&lt;5000),(4.25+(PM49-2000)*0.08%),IF(AND(M49&gt;=1000,M49&lt;2000),(2.75+(M49-1000)*0.15%),IF(AND(M49&gt;=100,M49&lt;1000),(0.5+(M49-100)*0.25%),IF(AND(M49&gt;0,M49&lt;100),M49*0.5%)))))))</f>
        <v>21.4253</v>
      </c>
      <c r="M67" s="24">
        <f ca="1">ROUND(L67*0.9,1)</f>
        <v>19.3</v>
      </c>
      <c r="Z67" s="2425"/>
      <c r="AI67" s="2426"/>
    </row>
    <row r="68" spans="1:35" ht="14.25" customHeight="1" thickBot="1">
      <c r="A68" s="208" t="s">
        <v>774</v>
      </c>
      <c r="B68" s="209" t="s">
        <v>2257</v>
      </c>
      <c r="C68" s="210">
        <f ca="1">IF(C67&lt;=0,0,ROUND(C67*D68,0))</f>
        <v>7560</v>
      </c>
      <c r="D68" s="211">
        <f>'数据-取费表'!B41</f>
        <v>5.6000000000000001E-2</v>
      </c>
      <c r="E68" s="212"/>
      <c r="F68" s="2491"/>
      <c r="G68" s="2491"/>
      <c r="H68" s="2499"/>
      <c r="I68" s="138"/>
      <c r="J68" s="3091"/>
      <c r="K68" s="2501" t="s">
        <v>2258</v>
      </c>
      <c r="L68" s="1752">
        <f ca="1">IF(M49&gt;10000,M49*0.5%,IF(AND(M49&gt;5000,M49&lt;=10000),M49*1%,IF(AND(M49&gt;1000,M49&lt;=5000),M49*2%,IF(AND(M49&gt;200,M49&lt;=1000),M49*3%,M49*5%))))</f>
        <v>708.76499999999999</v>
      </c>
      <c r="M68" s="24">
        <f ca="1">ROUND(L68,1)</f>
        <v>708.8</v>
      </c>
      <c r="Z68" s="2425"/>
      <c r="AI68" s="2426"/>
    </row>
    <row r="69" spans="1:35" s="2448" customFormat="1" ht="16.5" customHeight="1">
      <c r="A69" s="2502"/>
      <c r="B69" s="2503"/>
      <c r="C69" s="2504"/>
      <c r="D69" s="2505"/>
      <c r="E69" s="2506"/>
      <c r="F69" s="2168"/>
      <c r="G69" s="2168"/>
      <c r="H69" s="2167"/>
      <c r="I69" s="2420"/>
      <c r="J69" s="3091"/>
      <c r="K69" s="2501" t="s">
        <v>2259</v>
      </c>
      <c r="L69" s="2507"/>
      <c r="M69" s="24">
        <f ca="1">ROUND(SUM(M63:M68),0)</f>
        <v>2288</v>
      </c>
      <c r="N69" s="1753">
        <f ca="1">M69/M49</f>
        <v>1.6140751871212604E-2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5" t="s">
        <v>2260</v>
      </c>
      <c r="B70" s="3136"/>
      <c r="C70" s="3136"/>
      <c r="D70" s="3136"/>
      <c r="E70" s="3136"/>
      <c r="F70" s="3136"/>
      <c r="G70" s="3136"/>
      <c r="H70" s="313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6" t="s">
        <v>2241</v>
      </c>
      <c r="B71" s="3127"/>
      <c r="C71" s="1804"/>
      <c r="D71" s="1804"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135003</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810</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32" t="s">
        <v>2269</v>
      </c>
      <c r="F76" s="3131"/>
      <c r="G76" s="3131"/>
      <c r="H76" s="313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5" t="s">
        <v>2272</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810</v>
      </c>
      <c r="D78" s="226">
        <f>'数据-取费表'!B43</f>
        <v>6.000000000000001E-3</v>
      </c>
      <c r="E78" s="3123" t="s">
        <v>2274</v>
      </c>
      <c r="F78" s="3124"/>
      <c r="G78" s="3124"/>
      <c r="H78" s="312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134193</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165.67037037037036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80232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5" t="s">
        <v>2278</v>
      </c>
      <c r="B83" s="3136"/>
      <c r="C83" s="3136"/>
      <c r="D83" s="3136"/>
      <c r="E83" s="3136"/>
      <c r="F83" s="3136"/>
      <c r="G83" s="3136"/>
      <c r="H83" s="313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6" t="s">
        <v>2241</v>
      </c>
      <c r="B84" s="3127"/>
      <c r="C84" s="1804"/>
      <c r="D84" s="1804"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135003</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810</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1800"/>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123" t="s">
        <v>2287</v>
      </c>
      <c r="F91" s="3124"/>
      <c r="G91" s="3124"/>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123" t="s">
        <v>2291</v>
      </c>
      <c r="F92" s="3124"/>
      <c r="G92" s="3124"/>
      <c r="H92" s="312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810</v>
      </c>
      <c r="D93" s="226">
        <f>'数据-取费表'!B43</f>
        <v>6.000000000000001E-3</v>
      </c>
      <c r="E93" s="3123" t="s">
        <v>2274</v>
      </c>
      <c r="F93" s="3124"/>
      <c r="G93" s="3124"/>
      <c r="H93" s="312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71" t="s">
        <v>2295</v>
      </c>
      <c r="F94" s="3172"/>
      <c r="G94" s="3172"/>
      <c r="H94" s="31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134193</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165.67037037037036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80232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107"/>
      <c r="E100" s="3076" t="s">
        <v>2298</v>
      </c>
      <c r="F100" s="3076"/>
      <c r="G100" s="3076"/>
      <c r="H100" s="3107"/>
      <c r="I100" s="138"/>
    </row>
    <row r="101" spans="1:35" ht="18.75" customHeight="1">
      <c r="A101" s="3115" t="s">
        <v>2299</v>
      </c>
      <c r="B101" s="3116"/>
      <c r="C101" s="736" t="str">
        <f>C4</f>
        <v>比较法-办公</v>
      </c>
      <c r="D101" s="737" t="str">
        <f>D4</f>
        <v>收益法（办公）</v>
      </c>
      <c r="E101" s="3087" t="s">
        <v>2300</v>
      </c>
      <c r="F101" s="3088"/>
      <c r="G101" s="2522" t="s">
        <v>2301</v>
      </c>
      <c r="H101" s="1048">
        <f ca="1">H118</f>
        <v>141753</v>
      </c>
      <c r="I101" s="138"/>
    </row>
    <row r="102" spans="1:35" ht="18.75" customHeight="1">
      <c r="A102" s="3117" t="s">
        <v>2302</v>
      </c>
      <c r="B102" s="2522" t="s">
        <v>2301</v>
      </c>
      <c r="C102" s="736">
        <f ca="1">C19</f>
        <v>117319</v>
      </c>
      <c r="D102" s="737">
        <f ca="1">D19</f>
        <v>158042</v>
      </c>
      <c r="E102" s="3087"/>
      <c r="F102" s="3088"/>
      <c r="G102" s="2522" t="s">
        <v>2303</v>
      </c>
      <c r="H102" s="371">
        <f ca="1">I118</f>
        <v>39752</v>
      </c>
      <c r="I102" s="138"/>
    </row>
    <row r="103" spans="1:35" ht="42.75" customHeight="1">
      <c r="A103" s="3117"/>
      <c r="B103" s="2522" t="s">
        <v>2303</v>
      </c>
      <c r="C103" s="738">
        <f ca="1">C20</f>
        <v>32900</v>
      </c>
      <c r="D103" s="739">
        <f ca="1">D20</f>
        <v>44320</v>
      </c>
      <c r="E103" s="3081" t="s">
        <v>2304</v>
      </c>
      <c r="F103" s="3082"/>
      <c r="G103" s="2523" t="s">
        <v>2305</v>
      </c>
      <c r="H103" s="1048">
        <f>IF(D36="正常操作",H104+H105+H106,H105+H106)</f>
        <v>0</v>
      </c>
      <c r="I103" s="138"/>
    </row>
    <row r="104" spans="1:35" ht="18.75" customHeight="1">
      <c r="A104" s="3117" t="s">
        <v>2306</v>
      </c>
      <c r="B104" s="2524" t="s">
        <v>2301</v>
      </c>
      <c r="C104" s="740">
        <f ca="1">H118</f>
        <v>141753</v>
      </c>
      <c r="D104" s="741"/>
      <c r="E104" s="2268" t="s">
        <v>2307</v>
      </c>
      <c r="F104" s="2259"/>
      <c r="G104" s="2523" t="s">
        <v>2305</v>
      </c>
      <c r="H104" s="1049">
        <f>IF(D36="同一抵押权人同一抵押物续贷",C36&amp;"（未扣减，详见特别提示）",C36)</f>
        <v>0</v>
      </c>
      <c r="I104" s="138"/>
    </row>
    <row r="105" spans="1:35" ht="18.75" customHeight="1" thickBot="1">
      <c r="A105" s="3129"/>
      <c r="B105" s="2525" t="s">
        <v>2303</v>
      </c>
      <c r="C105" s="742">
        <f ca="1">I118</f>
        <v>39752</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18" t="str">
        <f>IF(项目基本情况!E8="已注销","——","3.房地产抵押价值")</f>
        <v>3.房地产抵押价值</v>
      </c>
      <c r="F107" s="3088"/>
      <c r="G107" s="2522" t="s">
        <v>2301</v>
      </c>
      <c r="H107" s="1048">
        <f ca="1">IF(E107="——","——",H101-H103)</f>
        <v>141753</v>
      </c>
      <c r="I107" s="138"/>
    </row>
    <row r="108" spans="1:35" ht="18.75" customHeight="1">
      <c r="A108" s="138"/>
      <c r="B108" s="138"/>
      <c r="C108" s="138"/>
      <c r="D108" s="138"/>
      <c r="E108" s="3118"/>
      <c r="F108" s="3088"/>
      <c r="G108" s="2522" t="s">
        <v>2303</v>
      </c>
      <c r="H108" s="371">
        <f ca="1">ROUND(H107*10000/'数据-汇总表'!E3,0)</f>
        <v>34676</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22" t="s">
        <v>2301</v>
      </c>
      <c r="H109" s="348" t="str">
        <f>IF(E109="——","——",H101-H105-H106)</f>
        <v>——</v>
      </c>
      <c r="I109" s="138"/>
    </row>
    <row r="110" spans="1:35" ht="18.75" customHeight="1">
      <c r="A110" s="138"/>
      <c r="B110" s="138"/>
      <c r="C110" s="138"/>
      <c r="D110" s="138"/>
      <c r="E110" s="3118"/>
      <c r="F110" s="3088"/>
      <c r="G110" s="2522" t="s">
        <v>2303</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2" t="s">
        <v>2301</v>
      </c>
      <c r="H111" s="1048" t="str">
        <f>IF(E111="——","——",N59)</f>
        <v>——</v>
      </c>
      <c r="I111" s="138"/>
    </row>
    <row r="112" spans="1:35" ht="18.75" customHeight="1" thickBot="1">
      <c r="A112" s="138"/>
      <c r="B112" s="138"/>
      <c r="C112" s="138"/>
      <c r="D112" s="138"/>
      <c r="E112" s="3121"/>
      <c r="F112" s="3122"/>
      <c r="G112" s="2527" t="s">
        <v>2303</v>
      </c>
      <c r="H112" s="790" t="str">
        <f>IF(E111="——","——",N61)</f>
        <v>——</v>
      </c>
      <c r="I112" s="138"/>
    </row>
    <row r="113" spans="1:11" ht="18.75" customHeight="1">
      <c r="A113" s="138"/>
      <c r="B113" s="138"/>
      <c r="C113" s="138"/>
      <c r="D113" s="138"/>
      <c r="E113" s="3130" t="s">
        <v>2309</v>
      </c>
      <c r="F113" s="3130"/>
      <c r="G113" s="3130"/>
      <c r="H113" s="3130"/>
      <c r="I113" s="138"/>
    </row>
    <row r="114" spans="1:11" ht="3.75" customHeight="1">
      <c r="A114" s="2420"/>
      <c r="B114" s="2420"/>
      <c r="C114" s="2420"/>
      <c r="D114" s="2420"/>
      <c r="E114" s="2498"/>
      <c r="F114" s="2498"/>
      <c r="G114" s="2498"/>
      <c r="H114" s="2498"/>
      <c r="I114" s="2420"/>
    </row>
    <row r="115" spans="1:11" ht="18.75" customHeight="1">
      <c r="A115" s="3143" t="s">
        <v>2311</v>
      </c>
      <c r="B115" s="3144"/>
      <c r="C115" s="3144"/>
      <c r="D115" s="3144"/>
      <c r="E115" s="3144"/>
      <c r="F115" s="3144"/>
      <c r="G115" s="3144"/>
      <c r="H115" s="3144"/>
      <c r="I115" s="3145"/>
    </row>
    <row r="116" spans="1:11" ht="27" customHeight="1">
      <c r="A116" s="3054" t="s">
        <v>2312</v>
      </c>
      <c r="B116" s="3097" t="s">
        <v>2313</v>
      </c>
      <c r="C116" s="3097" t="s">
        <v>2314</v>
      </c>
      <c r="D116" s="3103" t="s">
        <v>2315</v>
      </c>
      <c r="E116" s="3104"/>
      <c r="F116" s="3139" t="s">
        <v>2316</v>
      </c>
      <c r="G116" s="3139"/>
      <c r="H116" s="3054" t="s">
        <v>2317</v>
      </c>
      <c r="I116" s="3054"/>
    </row>
    <row r="117" spans="1:11" ht="18.75" customHeight="1">
      <c r="A117" s="3054"/>
      <c r="B117" s="3098"/>
      <c r="C117" s="3098"/>
      <c r="D117" s="1798" t="s">
        <v>2318</v>
      </c>
      <c r="E117" s="1798" t="s">
        <v>2319</v>
      </c>
      <c r="F117" s="1798" t="s">
        <v>2318</v>
      </c>
      <c r="G117" s="1798" t="s">
        <v>2320</v>
      </c>
      <c r="H117" s="1798" t="s">
        <v>2318</v>
      </c>
      <c r="I117" s="1798" t="s">
        <v>2320</v>
      </c>
    </row>
    <row r="118" spans="1:11" ht="24.75" customHeight="1">
      <c r="A118" s="2528" t="str">
        <f>项目基本情况!S2</f>
        <v>北京市房地产</v>
      </c>
      <c r="B118" s="1798">
        <f>M18</f>
        <v>35659.39</v>
      </c>
      <c r="C118" s="1798">
        <f>M19</f>
        <v>31338.03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141753</v>
      </c>
      <c r="I118" s="1798">
        <f ca="1">ROUND(IF(D32="楼面单价",C32,H118*10000/B118),0)</f>
        <v>39752</v>
      </c>
    </row>
    <row r="119" spans="1:11" ht="18.75" customHeight="1">
      <c r="A119" s="3054" t="s">
        <v>2321</v>
      </c>
      <c r="B119" s="3054"/>
      <c r="C119" s="3054"/>
      <c r="D119" s="3099" t="e">
        <f ca="1">NUMBERSTRING(INT(D118*10000),2)&amp;"元整"</f>
        <v>#REF!</v>
      </c>
      <c r="E119" s="3100"/>
      <c r="F119" s="3099" t="e">
        <f ca="1">NUMBERSTRING(INT(F118*10000),2)&amp;"元整"</f>
        <v>#REF!</v>
      </c>
      <c r="G119" s="3100"/>
      <c r="H119" s="3099" t="str">
        <f ca="1">NUMBERSTRING(INT(H118*10000),2)&amp;"元整"</f>
        <v>壹拾肆亿壹仟柒佰伍拾叁万元整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5" t="str">
        <f>IF(D120=0,"故，本次评估不存在"&amp;A120,"故，本次评估"&amp;A120&amp;"为人民币"&amp;D120&amp;"万元整。")</f>
        <v>故，本次评估不存在估价师知悉的法定优先受偿款</v>
      </c>
    </row>
    <row r="121" spans="1:11" ht="18.75" customHeight="1">
      <c r="A121" s="3140" t="s">
        <v>2321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141753</v>
      </c>
      <c r="E122" s="3095"/>
      <c r="F122" s="3095"/>
      <c r="G122" s="3095"/>
      <c r="H122" s="3095"/>
      <c r="I122" s="3096"/>
    </row>
    <row r="123" spans="1:11" ht="18.75" customHeight="1">
      <c r="A123" s="3054" t="s">
        <v>2321</v>
      </c>
      <c r="B123" s="3054"/>
      <c r="C123" s="3054"/>
      <c r="D123" s="3099" t="str">
        <f ca="1">NUMBERSTRING(INT(D122*10000),2)&amp;"元整"</f>
        <v>壹拾肆亿壹仟柒佰伍拾叁万元整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2321</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2321</v>
      </c>
      <c r="B127" s="3054"/>
      <c r="C127" s="3054"/>
      <c r="D127" s="3099" t="e">
        <f>NUMBERSTRING(INT(D126*10000),2)&amp;"元整"</f>
        <v>#VALUE!</v>
      </c>
      <c r="E127" s="3101"/>
      <c r="F127" s="3101"/>
      <c r="G127" s="3101"/>
      <c r="H127" s="3101"/>
      <c r="I127" s="3100"/>
    </row>
    <row r="128" spans="1:11" ht="21.75" customHeight="1">
      <c r="A128" s="3102" t="s">
        <v>2322</v>
      </c>
      <c r="B128" s="3102"/>
      <c r="C128" s="3102"/>
      <c r="D128" s="3102"/>
      <c r="E128" s="3102"/>
      <c r="F128" s="3102"/>
      <c r="G128" s="3102"/>
      <c r="H128" s="3102"/>
      <c r="I128" s="310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7"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18919</v>
      </c>
      <c r="C2" s="243" t="s">
        <v>2332</v>
      </c>
      <c r="D2" s="2551" t="s">
        <v>70</v>
      </c>
      <c r="E2" s="1443" t="e">
        <f ca="1">SUMIF(INDIRECT("'"&amp;G2&amp;"'"&amp;"!A:A"),"承租人权益价值",INDIRECT("'"&amp;G2&amp;"'"&amp;"!c:c"))</f>
        <v>#REF!</v>
      </c>
      <c r="F2" s="2552" t="s">
        <v>2332</v>
      </c>
      <c r="G2" s="2553"/>
    </row>
    <row r="3" spans="1:8" s="244" customFormat="1" ht="18" customHeight="1" thickBot="1">
      <c r="A3" s="247" t="s">
        <v>2333</v>
      </c>
      <c r="B3" s="248">
        <f ca="1">ROUND(B2*10000/(IF(B1="",'数据-汇总表'!E3,INDIRECT("'数据-取费表'!k"&amp;$G$1))),0)</f>
        <v>4628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6540638</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6540638</v>
      </c>
      <c r="D8" s="266"/>
      <c r="E8" s="264"/>
      <c r="F8" s="265"/>
      <c r="G8" s="2554"/>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2349</v>
      </c>
      <c r="C10" s="269">
        <f ca="1">ROUND(D10*E10,0)</f>
        <v>6540638</v>
      </c>
      <c r="D10" s="1035">
        <f ca="1">IF(B1="",'数据-汇总表'!E6,IF(INDIRECT("'数据-取费表'!c"&amp;$G$1)="住宅",INDIRECT("'数据-取费表'!s"&amp;$G$1),INDIRECT("'数据-取费表'!k"&amp;$G$1)+INDIRECT("'数据-取费表'!s"&amp;$G$1)))</f>
        <v>40878.99</v>
      </c>
      <c r="E10" s="269">
        <f>'数据-取费表'!B28</f>
        <v>160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8175798</v>
      </c>
      <c r="D19" s="1039">
        <f ca="1">D9+D10</f>
        <v>40878.99</v>
      </c>
      <c r="E19" s="255">
        <f>'数据-取费表'!B31</f>
        <v>200</v>
      </c>
      <c r="F19" s="275"/>
      <c r="G19" s="2554"/>
    </row>
    <row r="20" spans="1:7" s="258" customFormat="1" ht="13.5" customHeight="1">
      <c r="A20" s="299" t="s">
        <v>2443</v>
      </c>
      <c r="B20" s="254" t="s">
        <v>2444</v>
      </c>
      <c r="C20" s="276">
        <f ca="1">ROUND((C5+C19)*F20,0)</f>
        <v>441493</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3">
        <f ca="1">ROUND(SUM(C23:C25),0)</f>
        <v>1452236</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636118</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795147</v>
      </c>
      <c r="D24" s="282"/>
      <c r="E24" s="282"/>
      <c r="F24" s="283"/>
      <c r="G24" s="284" t="s">
        <v>2455</v>
      </c>
    </row>
    <row r="25" spans="1:7" s="258" customFormat="1" ht="24">
      <c r="A25" s="954" t="s">
        <v>2345</v>
      </c>
      <c r="B25" s="259" t="s">
        <v>2456</v>
      </c>
      <c r="C25" s="1384">
        <f ca="1">ROUND(IF('数据-取费表'!B22&lt;=1,C20*F22*'数据-取费表'!B22/2,C20*(POWER((1+F22),'数据-取费表'!B22/2)-1)),0)</f>
        <v>20971</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2880007</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ROUND((C5+C19+C20)*F27,0)</f>
        <v>2880007</v>
      </c>
      <c r="D28" s="279"/>
      <c r="E28" s="280"/>
      <c r="F28" s="290"/>
      <c r="G28" s="291"/>
    </row>
    <row r="29" spans="1:7" s="258" customFormat="1" ht="13.5" customHeight="1">
      <c r="A29" s="954" t="s">
        <v>792</v>
      </c>
      <c r="B29" s="292" t="s">
        <v>2386</v>
      </c>
      <c r="C29" s="282">
        <f ca="1">ROUND(C21*F27,4)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21427190</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123424137</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110285492</v>
      </c>
      <c r="D34" s="261"/>
      <c r="E34" s="264"/>
      <c r="F34" s="301"/>
      <c r="G34" s="263"/>
    </row>
    <row r="35" spans="1:7" ht="13.5" customHeight="1">
      <c r="A35" s="954" t="s">
        <v>796</v>
      </c>
      <c r="B35" s="259" t="s">
        <v>2396</v>
      </c>
      <c r="C35" s="264">
        <f ca="1">ROUND(C34*F35,0)</f>
        <v>3308565</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4" t="s">
        <v>798</v>
      </c>
      <c r="B37" s="259" t="s">
        <v>2400</v>
      </c>
      <c r="C37" s="293">
        <f ca="1">ROUND(E37*D37,0)</f>
        <v>8175798</v>
      </c>
      <c r="D37" s="261">
        <f ca="1">D19</f>
        <v>40878.99</v>
      </c>
      <c r="E37" s="293">
        <f>'数据-取费表'!B35</f>
        <v>200</v>
      </c>
      <c r="F37" s="303"/>
      <c r="G37" s="305"/>
    </row>
    <row r="38" spans="1:7" ht="13.5" customHeight="1">
      <c r="A38" s="954" t="s">
        <v>799</v>
      </c>
      <c r="B38" s="259" t="s">
        <v>2402</v>
      </c>
      <c r="C38" s="264">
        <f ca="1">ROUND(C34*F38,0)</f>
        <v>1654282</v>
      </c>
      <c r="D38" s="264"/>
      <c r="E38" s="264"/>
      <c r="F38" s="303">
        <f>'数据-取费表'!B36</f>
        <v>1.4999999999999999E-2</v>
      </c>
      <c r="G38" s="263" t="s">
        <v>2397</v>
      </c>
    </row>
    <row r="39" spans="1:7" s="258" customFormat="1" ht="13.5" customHeight="1">
      <c r="A39" s="299" t="s">
        <v>2403</v>
      </c>
      <c r="B39" s="254" t="s">
        <v>2404</v>
      </c>
      <c r="C39" s="276">
        <f ca="1">ROUND(C33*F20,0)</f>
        <v>3702724</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6038526</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5862647</v>
      </c>
      <c r="D42" s="282"/>
      <c r="E42" s="282"/>
      <c r="F42" s="283"/>
      <c r="G42" s="3174" t="s">
        <v>2460</v>
      </c>
    </row>
    <row r="43" spans="1:7" ht="13.5" customHeight="1">
      <c r="A43" s="954" t="s">
        <v>792</v>
      </c>
      <c r="B43" s="259" t="s">
        <v>2414</v>
      </c>
      <c r="C43" s="282">
        <f ca="1">ROUND(IF('数据-取费表'!B22&lt;=1,C39*F22*'数据-取费表'!B20/2,C39*(POWER((1+F22),'数据-取费表'!B20/2)-1)),0)</f>
        <v>175879</v>
      </c>
      <c r="D43" s="282"/>
      <c r="E43" s="282"/>
      <c r="F43" s="283"/>
      <c r="G43" s="3175"/>
    </row>
    <row r="44" spans="1:7" ht="13.5" customHeight="1">
      <c r="A44" s="954" t="s">
        <v>793</v>
      </c>
      <c r="B44" s="259" t="s">
        <v>2415</v>
      </c>
      <c r="C44" s="282">
        <f ca="1">ROUND(IF('数据-取费表'!B22&lt;=1,C40*F22*'数据-取费表'!B20/2,C40*(POWER((1+F22),'数据-取费表'!B20/2)-1)),4)</f>
        <v>1.4E-3</v>
      </c>
      <c r="D44" s="282"/>
      <c r="E44" s="282"/>
      <c r="F44" s="283"/>
      <c r="G44" s="3176"/>
    </row>
    <row r="45" spans="1:7" s="258" customFormat="1" ht="13.5" customHeight="1">
      <c r="A45" s="299" t="s">
        <v>2416</v>
      </c>
      <c r="B45" s="288" t="s">
        <v>2382</v>
      </c>
      <c r="C45" s="289">
        <f ca="1">C46</f>
        <v>24154104</v>
      </c>
      <c r="D45" s="279">
        <f ca="1">C47</f>
        <v>5.7000000000000002E-3</v>
      </c>
      <c r="E45" s="280" t="s">
        <v>2408</v>
      </c>
      <c r="F45" s="290"/>
      <c r="G45" s="291" t="s">
        <v>2417</v>
      </c>
    </row>
    <row r="46" spans="1:7" s="258" customFormat="1" ht="13.5" customHeight="1">
      <c r="A46" s="954" t="s">
        <v>791</v>
      </c>
      <c r="B46" s="292" t="s">
        <v>2418</v>
      </c>
      <c r="C46" s="293">
        <f ca="1">ROUND((C33+C39)*F27,0)</f>
        <v>24154104</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172954586</v>
      </c>
      <c r="D49" s="276"/>
      <c r="E49" s="276"/>
      <c r="F49" s="308"/>
      <c r="G49" s="278" t="s">
        <v>2423</v>
      </c>
    </row>
    <row r="50" spans="1:7" s="302" customFormat="1">
      <c r="A50" s="299" t="s">
        <v>2424</v>
      </c>
      <c r="B50" s="254" t="s">
        <v>2425</v>
      </c>
      <c r="C50" s="276"/>
      <c r="D50" s="276"/>
      <c r="E50" s="276"/>
      <c r="F50" s="308">
        <f>IF('数据-取费表'!B24=0,'数据-取费表'!N16,1)</f>
        <v>0.97</v>
      </c>
      <c r="G50" s="291"/>
    </row>
    <row r="51" spans="1:7" ht="16.5" customHeight="1">
      <c r="A51" s="299" t="s">
        <v>2427</v>
      </c>
      <c r="B51" s="254" t="s">
        <v>2462</v>
      </c>
      <c r="C51" s="276">
        <f ca="1">ROUND(C49*F50,0)</f>
        <v>167765948</v>
      </c>
      <c r="D51" s="276"/>
      <c r="E51" s="276"/>
      <c r="F51" s="308"/>
      <c r="G51" s="278" t="s">
        <v>2429</v>
      </c>
    </row>
    <row r="52" spans="1:7" s="252" customFormat="1" ht="16.5" thickBot="1">
      <c r="A52" s="309" t="s">
        <v>2430</v>
      </c>
      <c r="B52" s="310"/>
      <c r="C52" s="311">
        <f ca="1">C31+C51</f>
        <v>189193138</v>
      </c>
      <c r="D52" s="310"/>
      <c r="E52" s="310"/>
      <c r="F52" s="310"/>
      <c r="G52" s="312"/>
    </row>
    <row r="55" spans="1:7" ht="15">
      <c r="B55" s="314" t="s">
        <v>2431</v>
      </c>
      <c r="C55" s="315"/>
    </row>
    <row r="56" spans="1:7">
      <c r="B56" s="317" t="s">
        <v>1513</v>
      </c>
      <c r="C56" s="319">
        <f ca="1">1-C57</f>
        <v>0.11299999999999999</v>
      </c>
    </row>
    <row r="57" spans="1:7">
      <c r="B57" s="317" t="s">
        <v>1514</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-779</v>
      </c>
      <c r="C2" s="320" t="s">
        <v>2464</v>
      </c>
      <c r="D2" s="320"/>
      <c r="E2" s="320"/>
      <c r="F2" s="320"/>
      <c r="G2" s="320"/>
      <c r="H2" s="320"/>
      <c r="I2" s="320"/>
      <c r="J2" s="320"/>
      <c r="K2" s="320"/>
    </row>
    <row r="3" spans="1:33" ht="18" customHeight="1" thickBot="1">
      <c r="A3" s="247" t="s">
        <v>2333</v>
      </c>
      <c r="B3" s="248">
        <f ca="1">ROUND(B2*10000/IF(C1="",'数据-汇总表'!E3,INDIRECT("'数据-取费表'!K"&amp;$K$1)),0)</f>
        <v>-191</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8" t="s">
        <v>2469</v>
      </c>
      <c r="D5" s="2558" t="s">
        <v>2470</v>
      </c>
      <c r="E5" s="2558" t="s">
        <v>2471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1333</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2485</v>
      </c>
      <c r="C12" s="24">
        <f ca="1">ROUND(C11*F12,0)</f>
        <v>0</v>
      </c>
      <c r="D12" s="976"/>
      <c r="E12" s="375"/>
      <c r="F12" s="979">
        <f>'数据-取费表'!B33</f>
        <v>0.03</v>
      </c>
      <c r="G12" s="8" t="s">
        <v>2486</v>
      </c>
      <c r="H12" s="971"/>
      <c r="I12" s="971"/>
      <c r="J12" s="971"/>
      <c r="K12" s="972"/>
    </row>
    <row r="13" spans="1:33" s="978" customFormat="1" ht="13.5" customHeight="1">
      <c r="A13" s="974" t="s">
        <v>1335</v>
      </c>
      <c r="B13" s="975" t="s">
        <v>2487</v>
      </c>
      <c r="C13" s="24">
        <f ca="1">ROUND(IF(C1="",SUMIF('数据-取费表'!C:C,"住宅",'数据-取费表'!P:P)*F13,IF(INDIRECT("'数据-取费表'!c"&amp;$K$1)="住宅",INDIRECT("'数据-取费表'!P"&amp;$K$1)*F13,0)),0)</f>
        <v>0</v>
      </c>
      <c r="D13" s="1036"/>
      <c r="E13" s="375"/>
      <c r="F13" s="979">
        <f>'数据-取费表'!B34</f>
        <v>0.03</v>
      </c>
      <c r="G13" s="8" t="s">
        <v>2488</v>
      </c>
      <c r="H13" s="971"/>
      <c r="I13" s="971"/>
      <c r="J13" s="971"/>
      <c r="K13" s="972"/>
    </row>
    <row r="14" spans="1:33" s="980" customFormat="1" ht="13.5" customHeight="1">
      <c r="A14" s="974" t="s">
        <v>1336</v>
      </c>
      <c r="B14" s="975" t="s">
        <v>2489</v>
      </c>
      <c r="C14" s="24">
        <f ca="1">ROUND(D14*E14*F11/10000,0)</f>
        <v>0</v>
      </c>
      <c r="D14" s="1036">
        <f ca="1">IF(C1="",'数据-汇总表'!E3,INDIRECT("'数据-取费表'!K"&amp;$K$1)+INDIRECT("'数据-取费表'!S"&amp;$K$1))</f>
        <v>40878.99</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40878.99</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2496</v>
      </c>
      <c r="C18" s="24">
        <f ca="1">C19+C20-IF(C1="",'数据-取费表'!B29,IF(G18="已全部缴纳",C19+C20,H18))</f>
        <v>654</v>
      </c>
      <c r="D18" s="1036"/>
      <c r="E18" s="24"/>
      <c r="F18" s="979"/>
      <c r="G18" s="2560"/>
      <c r="H18" s="1580"/>
      <c r="I18" s="2561"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2499</v>
      </c>
      <c r="C20" s="24">
        <f ca="1">ROUND(D20*E20/10000,0)</f>
        <v>654</v>
      </c>
      <c r="D20" s="1036">
        <f ca="1">IF(C1="",'数据-汇总表'!E6,IF(INDIRECT("'数据-取费表'!c"&amp;$K$1)="住宅",INDIRECT("'数据-取费表'!s"&amp;$K$1),INDIRECT("'数据-取费表'!k"&amp;$K$1)+INDIRECT("'数据-取费表'!s"&amp;$K$1)))</f>
        <v>40878.99</v>
      </c>
      <c r="E20" s="24">
        <f>'数据-取费表'!B28</f>
        <v>160</v>
      </c>
      <c r="F20" s="979"/>
      <c r="G20" s="15"/>
      <c r="H20" s="984"/>
      <c r="I20" s="984"/>
      <c r="J20" s="984"/>
      <c r="K20" s="985"/>
    </row>
    <row r="21" spans="1:33" s="978" customFormat="1" ht="13.5" customHeight="1">
      <c r="A21" s="964" t="s">
        <v>802</v>
      </c>
      <c r="B21" s="988" t="s">
        <v>2500</v>
      </c>
      <c r="C21" s="989">
        <f ca="1">C16+C17+C18</f>
        <v>654</v>
      </c>
      <c r="D21" s="990"/>
      <c r="E21" s="325"/>
      <c r="F21" s="325"/>
      <c r="G21" s="140" t="s">
        <v>2501</v>
      </c>
      <c r="H21" s="982"/>
      <c r="I21" s="982"/>
      <c r="J21" s="982"/>
      <c r="K21" s="983"/>
    </row>
    <row r="22" spans="1:33" s="978" customFormat="1" ht="13.5" customHeight="1">
      <c r="A22" s="964" t="s">
        <v>2473</v>
      </c>
      <c r="B22" s="988" t="s">
        <v>2502</v>
      </c>
      <c r="C22" s="989">
        <f ca="1">ROUND(C21*F22,0)</f>
        <v>20</v>
      </c>
      <c r="D22" s="325"/>
      <c r="E22" s="325"/>
      <c r="F22" s="991">
        <f>'数据-取费表'!B37</f>
        <v>0.03</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0.03</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2513</v>
      </c>
      <c r="B28" s="2563" t="s">
        <v>2514</v>
      </c>
      <c r="C28" s="331">
        <f ca="1">C30</f>
        <v>128</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128</v>
      </c>
      <c r="D30" s="328"/>
      <c r="E30" s="329"/>
      <c r="F30" s="334"/>
      <c r="G30" s="140"/>
      <c r="H30" s="982"/>
      <c r="I30" s="982"/>
      <c r="J30" s="982"/>
      <c r="K30" s="983"/>
    </row>
    <row r="31" spans="1:33" s="978" customFormat="1" ht="13.5" customHeight="1" thickBot="1">
      <c r="A31" s="2564"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-779</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3102</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117319</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32900</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03" t="s">
        <v>2655</v>
      </c>
      <c r="Q4" s="3204"/>
      <c r="R4" s="3182" t="s">
        <v>2651</v>
      </c>
      <c r="S4" s="3183"/>
      <c r="T4" s="3182" t="s">
        <v>2652</v>
      </c>
      <c r="U4" s="3183"/>
      <c r="V4" s="3211" t="s">
        <v>2653</v>
      </c>
      <c r="W4" s="3211"/>
      <c r="X4" s="2674"/>
      <c r="Y4" s="3182" t="s">
        <v>2655</v>
      </c>
      <c r="Z4" s="3183"/>
      <c r="AA4" s="3177" t="s">
        <v>2651</v>
      </c>
      <c r="AB4" s="3177" t="s">
        <v>2652</v>
      </c>
      <c r="AC4" s="3196" t="s">
        <v>2653</v>
      </c>
    </row>
    <row r="5" spans="1:29" ht="15">
      <c r="A5" s="404"/>
      <c r="B5" s="405"/>
      <c r="C5" s="3188" t="s">
        <v>2546</v>
      </c>
      <c r="D5" s="3189"/>
      <c r="E5" s="3186" t="s">
        <v>3098</v>
      </c>
      <c r="F5" s="3187"/>
      <c r="G5" s="3192" t="s">
        <v>3099</v>
      </c>
      <c r="H5" s="3189"/>
      <c r="I5" s="3192" t="s">
        <v>3100</v>
      </c>
      <c r="J5" s="3189"/>
      <c r="K5" s="610"/>
      <c r="L5" s="1133"/>
      <c r="M5" s="1134"/>
      <c r="N5" s="1134"/>
      <c r="O5" s="1134"/>
      <c r="P5" s="3205"/>
      <c r="Q5" s="3206"/>
      <c r="R5" s="3184"/>
      <c r="S5" s="3185"/>
      <c r="T5" s="3184"/>
      <c r="U5" s="3185"/>
      <c r="V5" s="3212"/>
      <c r="W5" s="3212"/>
      <c r="X5" s="1816"/>
      <c r="Y5" s="3184"/>
      <c r="Z5" s="3185"/>
      <c r="AA5" s="3178"/>
      <c r="AB5" s="3178"/>
      <c r="AC5" s="3197"/>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07"/>
      <c r="Q6" s="3208"/>
      <c r="R6" s="3184"/>
      <c r="S6" s="3185"/>
      <c r="T6" s="3209"/>
      <c r="U6" s="3210"/>
      <c r="V6" s="3212"/>
      <c r="W6" s="3212"/>
      <c r="X6" s="1816"/>
      <c r="Y6" s="3209"/>
      <c r="Z6" s="3210"/>
      <c r="AA6" s="3179"/>
      <c r="AB6" s="3179"/>
      <c r="AC6" s="3198"/>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3" t="s">
        <v>2553</v>
      </c>
      <c r="Q7" s="3214"/>
      <c r="R7" s="770" t="s">
        <v>17</v>
      </c>
      <c r="S7" s="771">
        <f t="shared" ref="S7:S15" si="0">F7</f>
        <v>100</v>
      </c>
      <c r="T7" s="770" t="s">
        <v>17</v>
      </c>
      <c r="U7" s="771">
        <f t="shared" ref="U7:U15" si="1">H7</f>
        <v>100</v>
      </c>
      <c r="V7" s="770" t="s">
        <v>17</v>
      </c>
      <c r="W7" s="771">
        <f t="shared" ref="W7:W15" si="2">J7</f>
        <v>100</v>
      </c>
      <c r="X7" s="772"/>
      <c r="Y7" s="3180" t="s">
        <v>2553</v>
      </c>
      <c r="Z7" s="3181"/>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3" t="s">
        <v>2556</v>
      </c>
      <c r="Q8" s="3181"/>
      <c r="R8" s="770" t="s">
        <v>17</v>
      </c>
      <c r="S8" s="771">
        <f t="shared" si="0"/>
        <v>100</v>
      </c>
      <c r="T8" s="770" t="s">
        <v>17</v>
      </c>
      <c r="U8" s="771">
        <f t="shared" si="1"/>
        <v>100</v>
      </c>
      <c r="V8" s="770" t="s">
        <v>17</v>
      </c>
      <c r="W8" s="771">
        <f t="shared" si="2"/>
        <v>100</v>
      </c>
      <c r="X8" s="772"/>
      <c r="Y8" s="3180" t="s">
        <v>2556</v>
      </c>
      <c r="Z8" s="3181"/>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2675">
        <f t="shared" si="5"/>
        <v>1</v>
      </c>
    </row>
    <row r="10" spans="1:29" s="427" customFormat="1" ht="27">
      <c r="A10" s="421"/>
      <c r="B10" s="422"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5">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5"/>
      <c r="Q11" s="1798"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5" t="s">
        <v>2564</v>
      </c>
      <c r="Q15" s="1813" t="str">
        <f t="shared" si="6"/>
        <v>办公集聚程度</v>
      </c>
      <c r="R15" s="774" t="s">
        <v>17</v>
      </c>
      <c r="S15" s="775">
        <f t="shared" si="0"/>
        <v>100</v>
      </c>
      <c r="T15" s="774" t="s">
        <v>17</v>
      </c>
      <c r="U15" s="775">
        <f t="shared" si="1"/>
        <v>100</v>
      </c>
      <c r="V15" s="774" t="s">
        <v>17</v>
      </c>
      <c r="W15" s="775">
        <f t="shared" si="2"/>
        <v>100</v>
      </c>
      <c r="X15" s="1816"/>
      <c r="Y15" s="3217" t="s">
        <v>2564</v>
      </c>
      <c r="Z15" s="1817" t="str">
        <f t="shared" si="7"/>
        <v>办公集聚程度</v>
      </c>
      <c r="AA15" s="1814">
        <f t="shared" si="3"/>
        <v>1</v>
      </c>
      <c r="AB15" s="1814">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216"/>
      <c r="Q16" s="1813"/>
      <c r="R16" s="774"/>
      <c r="S16" s="775"/>
      <c r="T16" s="774"/>
      <c r="U16" s="775"/>
      <c r="V16" s="774"/>
      <c r="W16" s="775"/>
      <c r="X16" s="1816"/>
      <c r="Y16" s="3218"/>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2987" t="s">
        <v>3147</v>
      </c>
      <c r="H17" s="455">
        <f>SUMIF(79:79,G18,80:80)-SUMIF(79:79,C18,80:80)+100</f>
        <v>102</v>
      </c>
      <c r="I17" s="2987" t="s">
        <v>3146</v>
      </c>
      <c r="J17" s="455">
        <f>SUMIF(79:79,I18,80:80)-SUMIF(79:79,C18,80:80)+100</f>
        <v>102</v>
      </c>
      <c r="K17" s="614">
        <v>2</v>
      </c>
      <c r="L17" s="1143"/>
      <c r="M17" s="1134"/>
      <c r="N17" s="1134"/>
      <c r="O17" s="1134"/>
      <c r="P17" s="3216"/>
      <c r="Q17" s="1813" t="str">
        <f>B17</f>
        <v>交通便捷度</v>
      </c>
      <c r="R17" s="774" t="s">
        <v>17</v>
      </c>
      <c r="S17" s="775">
        <f>F17</f>
        <v>102</v>
      </c>
      <c r="T17" s="774" t="s">
        <v>17</v>
      </c>
      <c r="U17" s="775">
        <f>H17</f>
        <v>102</v>
      </c>
      <c r="V17" s="774" t="s">
        <v>17</v>
      </c>
      <c r="W17" s="775">
        <f>J17</f>
        <v>102</v>
      </c>
      <c r="X17" s="1816"/>
      <c r="Y17" s="3218"/>
      <c r="Z17" s="1817" t="str">
        <f>Q17</f>
        <v>交通便捷度</v>
      </c>
      <c r="AA17" s="1814">
        <f t="shared" si="3"/>
        <v>0.98039215686274506</v>
      </c>
      <c r="AB17" s="1814">
        <f t="shared" si="4"/>
        <v>0.98039215686274506</v>
      </c>
      <c r="AC17" s="2678">
        <f t="shared" si="5"/>
        <v>0.98039215686274506</v>
      </c>
    </row>
    <row r="18" spans="1:29" ht="15">
      <c r="A18" s="428"/>
      <c r="B18" s="632"/>
      <c r="C18" s="2680" t="s">
        <v>3106</v>
      </c>
      <c r="D18" s="450"/>
      <c r="E18" s="2613" t="s">
        <v>3105</v>
      </c>
      <c r="F18" s="450"/>
      <c r="G18" s="2614" t="s">
        <v>3105</v>
      </c>
      <c r="H18" s="448"/>
      <c r="I18" s="2614" t="s">
        <v>3105</v>
      </c>
      <c r="J18" s="448"/>
      <c r="K18" s="615"/>
      <c r="L18" s="1143"/>
      <c r="M18" s="1134"/>
      <c r="N18" s="1134"/>
      <c r="O18" s="1134"/>
      <c r="P18" s="3216"/>
      <c r="Q18" s="1813"/>
      <c r="R18" s="774"/>
      <c r="S18" s="775"/>
      <c r="T18" s="774"/>
      <c r="U18" s="775"/>
      <c r="V18" s="774"/>
      <c r="W18" s="775"/>
      <c r="X18" s="1816"/>
      <c r="Y18" s="3218"/>
      <c r="Z18" s="1817"/>
      <c r="AA18" s="1814">
        <v>1</v>
      </c>
      <c r="AB18" s="1814">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216"/>
      <c r="Q20" s="1813"/>
      <c r="R20" s="774"/>
      <c r="S20" s="775"/>
      <c r="T20" s="774"/>
      <c r="U20" s="775"/>
      <c r="V20" s="774"/>
      <c r="W20" s="775"/>
      <c r="X20" s="1816"/>
      <c r="Y20" s="3218"/>
      <c r="Z20" s="1817"/>
      <c r="AA20" s="1814">
        <v>1</v>
      </c>
      <c r="AB20" s="1814">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216"/>
      <c r="Q22" s="1813"/>
      <c r="R22" s="774"/>
      <c r="S22" s="775"/>
      <c r="T22" s="774"/>
      <c r="U22" s="775"/>
      <c r="V22" s="774"/>
      <c r="W22" s="775"/>
      <c r="X22" s="1816"/>
      <c r="Y22" s="3218"/>
      <c r="Z22" s="1817"/>
      <c r="AA22" s="1814">
        <v>1</v>
      </c>
      <c r="AB22" s="1814">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6"/>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8">
        <f t="shared" si="5"/>
        <v>1</v>
      </c>
    </row>
    <row r="24" spans="1:29" ht="15">
      <c r="A24" s="428"/>
      <c r="B24" s="633"/>
      <c r="C24" s="2615" t="s">
        <v>3105</v>
      </c>
      <c r="D24" s="448"/>
      <c r="E24" s="2608" t="s">
        <v>3105</v>
      </c>
      <c r="F24" s="448"/>
      <c r="G24" s="2609" t="s">
        <v>3105</v>
      </c>
      <c r="H24" s="448"/>
      <c r="I24" s="2609" t="s">
        <v>3105</v>
      </c>
      <c r="J24" s="448"/>
      <c r="K24" s="615"/>
      <c r="L24" s="1143"/>
      <c r="M24" s="1134"/>
      <c r="N24" s="1134"/>
      <c r="O24" s="1134"/>
      <c r="P24" s="3216"/>
      <c r="Q24" s="1813"/>
      <c r="R24" s="774"/>
      <c r="S24" s="775"/>
      <c r="T24" s="774"/>
      <c r="U24" s="775"/>
      <c r="V24" s="774"/>
      <c r="W24" s="775"/>
      <c r="X24" s="1816"/>
      <c r="Y24" s="3218"/>
      <c r="Z24" s="1817"/>
      <c r="AA24" s="1814">
        <v>1</v>
      </c>
      <c r="AB24" s="1814">
        <v>1</v>
      </c>
      <c r="AC24" s="2678">
        <v>1</v>
      </c>
    </row>
    <row r="25" spans="1:29" ht="27">
      <c r="A25" s="404"/>
      <c r="B25" s="631" t="s">
        <v>2695</v>
      </c>
      <c r="C25" s="2984" t="s">
        <v>3138</v>
      </c>
      <c r="D25" s="435">
        <v>100</v>
      </c>
      <c r="E25" s="2985" t="s">
        <v>3137</v>
      </c>
      <c r="F25" s="435">
        <f>SUMIF(87:87,E26,88:88)-SUMIF(87:87,C26,88:88)+100</f>
        <v>102</v>
      </c>
      <c r="G25" s="2984" t="s">
        <v>3140</v>
      </c>
      <c r="H25" s="435">
        <f>SUMIF(87:87,G26,88:88)-SUMIF(87:87,C26,88:88)+100</f>
        <v>102</v>
      </c>
      <c r="I25" s="2985" t="s">
        <v>3141</v>
      </c>
      <c r="J25" s="435">
        <f>SUMIF(87:87,I26,88:88)-SUMIF(87:87,C26,88:88)+100</f>
        <v>102</v>
      </c>
      <c r="K25" s="614">
        <v>2</v>
      </c>
      <c r="L25" s="1143"/>
      <c r="M25" s="1134"/>
      <c r="N25" s="1134"/>
      <c r="O25" s="1134"/>
      <c r="P25" s="3216"/>
      <c r="Q25" s="1813" t="str">
        <f>B25</f>
        <v>毗邻道路的类型与等级</v>
      </c>
      <c r="R25" s="774" t="s">
        <v>17</v>
      </c>
      <c r="S25" s="775">
        <f>F25</f>
        <v>102</v>
      </c>
      <c r="T25" s="774" t="s">
        <v>17</v>
      </c>
      <c r="U25" s="775">
        <f>H25</f>
        <v>102</v>
      </c>
      <c r="V25" s="774" t="s">
        <v>17</v>
      </c>
      <c r="W25" s="775">
        <f>J25</f>
        <v>102</v>
      </c>
      <c r="X25" s="1816"/>
      <c r="Y25" s="3218"/>
      <c r="Z25" s="1817" t="str">
        <f>Q25</f>
        <v>毗邻道路的类型与等级</v>
      </c>
      <c r="AA25" s="1814">
        <f t="shared" si="3"/>
        <v>0.98039215686274506</v>
      </c>
      <c r="AB25" s="1814">
        <f t="shared" si="4"/>
        <v>0.98039215686274506</v>
      </c>
      <c r="AC25" s="2678">
        <f t="shared" si="5"/>
        <v>0.98039215686274506</v>
      </c>
    </row>
    <row r="26" spans="1:29" ht="15">
      <c r="A26" s="404"/>
      <c r="B26" s="632"/>
      <c r="C26" s="634" t="s">
        <v>3136</v>
      </c>
      <c r="D26" s="435"/>
      <c r="E26" s="616" t="s">
        <v>3139</v>
      </c>
      <c r="F26" s="435"/>
      <c r="G26" s="634" t="s">
        <v>3139</v>
      </c>
      <c r="H26" s="435"/>
      <c r="I26" s="616" t="s">
        <v>3139</v>
      </c>
      <c r="J26" s="435"/>
      <c r="K26" s="615"/>
      <c r="L26" s="1143"/>
      <c r="M26" s="1134"/>
      <c r="N26" s="1134"/>
      <c r="O26" s="1134"/>
      <c r="P26" s="3216"/>
      <c r="Q26" s="1813"/>
      <c r="R26" s="774"/>
      <c r="S26" s="775"/>
      <c r="T26" s="774"/>
      <c r="U26" s="775"/>
      <c r="V26" s="774"/>
      <c r="W26" s="775"/>
      <c r="X26" s="1816"/>
      <c r="Y26" s="3218"/>
      <c r="Z26" s="1817"/>
      <c r="AA26" s="1814">
        <v>1</v>
      </c>
      <c r="AB26" s="1814">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216"/>
      <c r="Q27" s="1813" t="str">
        <f t="shared" ref="Q27:Q47" si="11">B27</f>
        <v>楼层</v>
      </c>
      <c r="R27" s="774" t="s">
        <v>17</v>
      </c>
      <c r="S27" s="775">
        <f>F27</f>
        <v>101</v>
      </c>
      <c r="T27" s="774" t="s">
        <v>17</v>
      </c>
      <c r="U27" s="775">
        <f>H27</f>
        <v>100</v>
      </c>
      <c r="V27" s="774" t="s">
        <v>17</v>
      </c>
      <c r="W27" s="775">
        <f>J27</f>
        <v>100</v>
      </c>
      <c r="X27" s="1816"/>
      <c r="Y27" s="3218"/>
      <c r="Z27" s="1817" t="str">
        <f>Q27</f>
        <v>楼层</v>
      </c>
      <c r="AA27" s="1814">
        <f t="shared" si="3"/>
        <v>0.99009900990099009</v>
      </c>
      <c r="AB27" s="1814">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216"/>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219" t="s">
        <v>2569</v>
      </c>
      <c r="Q33" s="1813" t="str">
        <f t="shared" si="11"/>
        <v>建筑类型</v>
      </c>
      <c r="R33" s="774" t="s">
        <v>17</v>
      </c>
      <c r="S33" s="775">
        <f t="shared" si="12"/>
        <v>100</v>
      </c>
      <c r="T33" s="774" t="s">
        <v>17</v>
      </c>
      <c r="U33" s="775">
        <f t="shared" si="13"/>
        <v>100</v>
      </c>
      <c r="V33" s="774" t="s">
        <v>17</v>
      </c>
      <c r="W33" s="775">
        <f t="shared" si="14"/>
        <v>100</v>
      </c>
      <c r="X33" s="1816"/>
      <c r="Y33" s="3222" t="s">
        <v>2569</v>
      </c>
      <c r="Z33" s="1817" t="str">
        <f t="shared" si="15"/>
        <v>建筑类型</v>
      </c>
      <c r="AA33" s="1814">
        <f t="shared" si="3"/>
        <v>1</v>
      </c>
      <c r="AB33" s="1814">
        <f t="shared" si="4"/>
        <v>1</v>
      </c>
      <c r="AC33" s="2678">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0"/>
      <c r="Q34" s="776" t="str">
        <f t="shared" si="11"/>
        <v>项目建筑规模</v>
      </c>
      <c r="R34" s="777" t="s">
        <v>17</v>
      </c>
      <c r="S34" s="778">
        <f t="shared" si="12"/>
        <v>100</v>
      </c>
      <c r="T34" s="777" t="s">
        <v>17</v>
      </c>
      <c r="U34" s="778">
        <f t="shared" si="13"/>
        <v>100</v>
      </c>
      <c r="V34" s="777" t="s">
        <v>17</v>
      </c>
      <c r="W34" s="778">
        <f t="shared" si="14"/>
        <v>100</v>
      </c>
      <c r="X34" s="779"/>
      <c r="Y34" s="3222"/>
      <c r="Z34" s="780" t="str">
        <f t="shared" si="15"/>
        <v>项目建筑规模</v>
      </c>
      <c r="AA34" s="1814">
        <f t="shared" si="3"/>
        <v>1</v>
      </c>
      <c r="AB34" s="1814">
        <f t="shared" si="4"/>
        <v>1</v>
      </c>
      <c r="AC34" s="2678">
        <f t="shared" si="5"/>
        <v>1</v>
      </c>
    </row>
    <row r="35" spans="1:29" ht="15">
      <c r="A35" s="472"/>
      <c r="B35" s="422"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220"/>
      <c r="Q35" s="1813" t="str">
        <f t="shared" si="11"/>
        <v>建筑结构</v>
      </c>
      <c r="R35" s="774" t="s">
        <v>17</v>
      </c>
      <c r="S35" s="775">
        <f t="shared" si="12"/>
        <v>100</v>
      </c>
      <c r="T35" s="774" t="s">
        <v>17</v>
      </c>
      <c r="U35" s="775">
        <f t="shared" si="13"/>
        <v>100</v>
      </c>
      <c r="V35" s="774" t="s">
        <v>17</v>
      </c>
      <c r="W35" s="775">
        <f t="shared" si="14"/>
        <v>100</v>
      </c>
      <c r="X35" s="1816"/>
      <c r="Y35" s="3222"/>
      <c r="Z35" s="1817" t="str">
        <f t="shared" si="15"/>
        <v>建筑结构</v>
      </c>
      <c r="AA35" s="1814">
        <f t="shared" si="3"/>
        <v>1</v>
      </c>
      <c r="AB35" s="1814">
        <f t="shared" si="4"/>
        <v>1</v>
      </c>
      <c r="AC35" s="2678">
        <f t="shared" si="5"/>
        <v>1</v>
      </c>
    </row>
    <row r="36" spans="1:29" ht="15">
      <c r="A36" s="472"/>
      <c r="B36" s="422"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220"/>
      <c r="Q36" s="1813" t="str">
        <f t="shared" si="11"/>
        <v>公共部分装修</v>
      </c>
      <c r="R36" s="774" t="s">
        <v>17</v>
      </c>
      <c r="S36" s="775">
        <f t="shared" si="12"/>
        <v>100</v>
      </c>
      <c r="T36" s="774" t="s">
        <v>17</v>
      </c>
      <c r="U36" s="775">
        <f t="shared" si="13"/>
        <v>100</v>
      </c>
      <c r="V36" s="774" t="s">
        <v>17</v>
      </c>
      <c r="W36" s="775">
        <f t="shared" si="14"/>
        <v>100</v>
      </c>
      <c r="X36" s="1816"/>
      <c r="Y36" s="3222"/>
      <c r="Z36" s="1817" t="str">
        <f t="shared" si="15"/>
        <v>公共部分装修</v>
      </c>
      <c r="AA36" s="1814">
        <f t="shared" si="3"/>
        <v>1</v>
      </c>
      <c r="AB36" s="1814">
        <f t="shared" si="4"/>
        <v>1</v>
      </c>
      <c r="AC36" s="2678">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220"/>
      <c r="Q37" s="1813" t="str">
        <f t="shared" si="11"/>
        <v>成新度</v>
      </c>
      <c r="R37" s="774" t="s">
        <v>17</v>
      </c>
      <c r="S37" s="775">
        <f t="shared" si="12"/>
        <v>100</v>
      </c>
      <c r="T37" s="774" t="s">
        <v>17</v>
      </c>
      <c r="U37" s="775">
        <f t="shared" si="13"/>
        <v>100</v>
      </c>
      <c r="V37" s="774" t="s">
        <v>17</v>
      </c>
      <c r="W37" s="775">
        <f t="shared" si="14"/>
        <v>100</v>
      </c>
      <c r="X37" s="1816"/>
      <c r="Y37" s="3222"/>
      <c r="Z37" s="1817" t="str">
        <f t="shared" si="15"/>
        <v>成新度</v>
      </c>
      <c r="AA37" s="1814">
        <f t="shared" si="3"/>
        <v>1</v>
      </c>
      <c r="AB37" s="1814">
        <f t="shared" si="4"/>
        <v>1</v>
      </c>
      <c r="AC37" s="2678">
        <f t="shared" si="5"/>
        <v>1</v>
      </c>
    </row>
    <row r="38" spans="1:29" s="117" customFormat="1" ht="15">
      <c r="A38" s="473"/>
      <c r="B38" s="422"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220"/>
      <c r="Q38" s="1798"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5">
        <f t="shared" si="5"/>
        <v>1</v>
      </c>
    </row>
    <row r="39" spans="1:29" ht="15">
      <c r="A39" s="472"/>
      <c r="B39" s="422"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1</v>
      </c>
      <c r="L39" s="1143"/>
      <c r="M39" s="1134"/>
      <c r="N39" s="1134"/>
      <c r="O39" s="1134"/>
      <c r="P39" s="3220" t="s">
        <v>2569</v>
      </c>
      <c r="Q39" s="1813" t="str">
        <f t="shared" si="11"/>
        <v>物业管理</v>
      </c>
      <c r="R39" s="774" t="s">
        <v>17</v>
      </c>
      <c r="S39" s="775">
        <f t="shared" si="12"/>
        <v>100</v>
      </c>
      <c r="T39" s="774" t="s">
        <v>17</v>
      </c>
      <c r="U39" s="775">
        <f t="shared" si="13"/>
        <v>100</v>
      </c>
      <c r="V39" s="774" t="s">
        <v>17</v>
      </c>
      <c r="W39" s="775">
        <f t="shared" si="14"/>
        <v>100</v>
      </c>
      <c r="X39" s="1816"/>
      <c r="Y39" s="3222" t="s">
        <v>2569</v>
      </c>
      <c r="Z39" s="1817" t="str">
        <f t="shared" si="15"/>
        <v>物业管理</v>
      </c>
      <c r="AA39" s="1814">
        <f t="shared" si="3"/>
        <v>1</v>
      </c>
      <c r="AB39" s="1814">
        <f t="shared" si="4"/>
        <v>1</v>
      </c>
      <c r="AC39" s="2678">
        <f t="shared" si="5"/>
        <v>1</v>
      </c>
    </row>
    <row r="40" spans="1:29" ht="15">
      <c r="A40" s="472"/>
      <c r="B40" s="422"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1</v>
      </c>
      <c r="L40" s="1143"/>
      <c r="M40" s="1134"/>
      <c r="N40" s="1134"/>
      <c r="O40" s="1134"/>
      <c r="P40" s="3220"/>
      <c r="Q40" s="1813" t="str">
        <f t="shared" si="11"/>
        <v>市政基础设施</v>
      </c>
      <c r="R40" s="774" t="s">
        <v>17</v>
      </c>
      <c r="S40" s="775">
        <f t="shared" si="12"/>
        <v>100</v>
      </c>
      <c r="T40" s="774" t="s">
        <v>17</v>
      </c>
      <c r="U40" s="775">
        <f t="shared" si="13"/>
        <v>100</v>
      </c>
      <c r="V40" s="774" t="s">
        <v>17</v>
      </c>
      <c r="W40" s="775">
        <f t="shared" si="14"/>
        <v>100</v>
      </c>
      <c r="X40" s="1816"/>
      <c r="Y40" s="3222"/>
      <c r="Z40" s="1817" t="str">
        <f t="shared" si="15"/>
        <v>市政基础设施</v>
      </c>
      <c r="AA40" s="1814">
        <f t="shared" si="3"/>
        <v>1</v>
      </c>
      <c r="AB40" s="1814">
        <f t="shared" si="4"/>
        <v>1</v>
      </c>
      <c r="AC40" s="2678">
        <f t="shared" si="5"/>
        <v>1</v>
      </c>
    </row>
    <row r="41" spans="1:29" ht="15">
      <c r="A41" s="472"/>
      <c r="B41" s="422"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220"/>
      <c r="Q41" s="1813" t="str">
        <f t="shared" si="11"/>
        <v>层高</v>
      </c>
      <c r="R41" s="774" t="s">
        <v>17</v>
      </c>
      <c r="S41" s="775">
        <f t="shared" si="12"/>
        <v>100</v>
      </c>
      <c r="T41" s="774" t="s">
        <v>17</v>
      </c>
      <c r="U41" s="775">
        <f t="shared" si="13"/>
        <v>100</v>
      </c>
      <c r="V41" s="774" t="s">
        <v>17</v>
      </c>
      <c r="W41" s="775">
        <f t="shared" si="14"/>
        <v>100</v>
      </c>
      <c r="X41" s="1816"/>
      <c r="Y41" s="3222"/>
      <c r="Z41" s="1817" t="str">
        <f t="shared" si="15"/>
        <v>层高</v>
      </c>
      <c r="AA41" s="1814">
        <f t="shared" si="3"/>
        <v>1</v>
      </c>
      <c r="AB41" s="1814">
        <f t="shared" si="4"/>
        <v>1</v>
      </c>
      <c r="AC41" s="2678">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4">
        <f t="shared" si="3"/>
        <v>1</v>
      </c>
      <c r="AB42" s="1814">
        <f t="shared" si="4"/>
        <v>1</v>
      </c>
      <c r="AC42" s="2678">
        <f t="shared" si="5"/>
        <v>1</v>
      </c>
    </row>
    <row r="43" spans="1:29" ht="15">
      <c r="A43" s="472"/>
      <c r="B43" s="422" t="s">
        <v>2672</v>
      </c>
      <c r="C43" s="460" t="s">
        <v>3135</v>
      </c>
      <c r="D43" s="435">
        <v>100</v>
      </c>
      <c r="E43" s="460" t="s">
        <v>3133</v>
      </c>
      <c r="F43" s="461">
        <f>SUMIF(123:123,E43,124:124)-SUMIF(123:123,C43,124:124)+100</f>
        <v>98</v>
      </c>
      <c r="G43" s="460" t="s">
        <v>3133</v>
      </c>
      <c r="H43" s="435">
        <f>SUMIF(123:123,G43,124:124)-SUMIF(123:123,C43,124:124)+100</f>
        <v>98</v>
      </c>
      <c r="I43" s="460" t="s">
        <v>3133</v>
      </c>
      <c r="J43" s="435">
        <f>SUMIF(123:123,I43,124:124)-SUMIF(123:123,C43,124:124)+100</f>
        <v>98</v>
      </c>
      <c r="K43" s="612">
        <v>2</v>
      </c>
      <c r="L43" s="1143"/>
      <c r="M43" s="1134"/>
      <c r="N43" s="1134"/>
      <c r="O43" s="1134"/>
      <c r="P43" s="3220"/>
      <c r="Q43" s="1813" t="str">
        <f t="shared" si="11"/>
        <v>内部装修</v>
      </c>
      <c r="R43" s="774" t="s">
        <v>17</v>
      </c>
      <c r="S43" s="775">
        <f t="shared" si="12"/>
        <v>98</v>
      </c>
      <c r="T43" s="774" t="s">
        <v>17</v>
      </c>
      <c r="U43" s="775">
        <f t="shared" si="13"/>
        <v>98</v>
      </c>
      <c r="V43" s="774" t="s">
        <v>17</v>
      </c>
      <c r="W43" s="775">
        <f t="shared" si="14"/>
        <v>98</v>
      </c>
      <c r="X43" s="1816"/>
      <c r="Y43" s="3222"/>
      <c r="Z43" s="1817" t="str">
        <f t="shared" si="15"/>
        <v>内部装修</v>
      </c>
      <c r="AA43" s="1814">
        <f t="shared" si="3"/>
        <v>1.0204081632653061</v>
      </c>
      <c r="AB43" s="1814">
        <f t="shared" si="4"/>
        <v>1.0204081632653061</v>
      </c>
      <c r="AC43" s="2678">
        <f t="shared" si="5"/>
        <v>1.0204081632653061</v>
      </c>
    </row>
    <row r="44" spans="1:29" ht="15">
      <c r="A44" s="472"/>
      <c r="B44" s="422"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220"/>
      <c r="Q44" s="1813" t="str">
        <f t="shared" si="11"/>
        <v>内部装修维护情况</v>
      </c>
      <c r="R44" s="774" t="s">
        <v>17</v>
      </c>
      <c r="S44" s="775">
        <f t="shared" si="12"/>
        <v>100</v>
      </c>
      <c r="T44" s="774" t="s">
        <v>17</v>
      </c>
      <c r="U44" s="775">
        <f t="shared" si="13"/>
        <v>100</v>
      </c>
      <c r="V44" s="774" t="s">
        <v>17</v>
      </c>
      <c r="W44" s="775">
        <f t="shared" si="14"/>
        <v>100</v>
      </c>
      <c r="X44" s="1816"/>
      <c r="Y44" s="3222"/>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8">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3">
        <f t="shared" si="11"/>
        <v>111</v>
      </c>
      <c r="R47" s="774" t="s">
        <v>17</v>
      </c>
      <c r="S47" s="775">
        <f t="shared" si="12"/>
        <v>100</v>
      </c>
      <c r="T47" s="774" t="s">
        <v>17</v>
      </c>
      <c r="U47" s="775">
        <f t="shared" si="13"/>
        <v>100</v>
      </c>
      <c r="V47" s="774" t="s">
        <v>17</v>
      </c>
      <c r="W47" s="775">
        <f t="shared" si="14"/>
        <v>100</v>
      </c>
      <c r="X47" s="1816"/>
      <c r="Y47" s="3223"/>
      <c r="Z47" s="1817">
        <f t="shared" si="15"/>
        <v>111</v>
      </c>
      <c r="AA47" s="1814">
        <f t="shared" si="3"/>
        <v>1</v>
      </c>
      <c r="AB47" s="1814">
        <f t="shared" si="4"/>
        <v>1</v>
      </c>
      <c r="AC47" s="2678">
        <f t="shared" si="5"/>
        <v>1</v>
      </c>
    </row>
    <row r="48" spans="1:29" ht="15">
      <c r="A48" s="479" t="s">
        <v>2581</v>
      </c>
      <c r="B48" s="480"/>
      <c r="C48" s="1410" t="s">
        <v>1</v>
      </c>
      <c r="D48" s="1411"/>
      <c r="E48" s="1412">
        <v>37000</v>
      </c>
      <c r="F48" s="1413"/>
      <c r="G48" s="1414">
        <v>32000</v>
      </c>
      <c r="H48" s="1415"/>
      <c r="I48" s="1412">
        <v>32000</v>
      </c>
      <c r="J48" s="485"/>
      <c r="K48" s="783"/>
      <c r="L48" s="1146"/>
      <c r="M48" s="1134"/>
      <c r="N48" s="1134"/>
      <c r="O48" s="1134"/>
      <c r="P48" s="3195" t="str">
        <f>A48</f>
        <v>成交单价（元/平方米）</v>
      </c>
      <c r="Q48" s="3224"/>
      <c r="R48" s="3225">
        <f>E48</f>
        <v>37000</v>
      </c>
      <c r="S48" s="3225"/>
      <c r="T48" s="3225">
        <f>G48</f>
        <v>32000</v>
      </c>
      <c r="U48" s="3225"/>
      <c r="V48" s="3225">
        <f>I48</f>
        <v>32000</v>
      </c>
      <c r="W48" s="3225"/>
      <c r="X48" s="446"/>
      <c r="Y48" s="781"/>
      <c r="Z48" s="446"/>
      <c r="AA48" s="446"/>
      <c r="AB48" s="446"/>
      <c r="AC48" s="630"/>
    </row>
    <row r="49" spans="1:29" ht="15.75" thickBot="1">
      <c r="A49" s="486" t="s">
        <v>2673</v>
      </c>
      <c r="B49" s="487"/>
      <c r="C49" s="1416">
        <f>R50</f>
        <v>32900</v>
      </c>
      <c r="D49" s="1417"/>
      <c r="E49" s="1418">
        <f>R49</f>
        <v>35930</v>
      </c>
      <c r="F49" s="1418"/>
      <c r="G49" s="1416">
        <f>T49</f>
        <v>31385</v>
      </c>
      <c r="H49" s="1417"/>
      <c r="I49" s="1418">
        <f>V49</f>
        <v>31385</v>
      </c>
      <c r="J49" s="489"/>
      <c r="K49" s="784"/>
      <c r="L49" s="1146"/>
      <c r="M49" s="1134"/>
      <c r="N49" s="1134"/>
      <c r="O49" s="1134"/>
      <c r="P49" s="3195" t="str">
        <f>A49</f>
        <v>比较价值（元/平方米）</v>
      </c>
      <c r="Q49" s="3224"/>
      <c r="R49" s="3225">
        <f>IF(F1="售价",ROUND(PRODUCT(R48,AA7:AA47),0),ROUND(PRODUCT(R48,AA7:AA47),1))</f>
        <v>35930</v>
      </c>
      <c r="S49" s="3225"/>
      <c r="T49" s="3225">
        <f>IF(F1="售价",ROUND(PRODUCT(T48,AB7:AB47),0),ROUND(PRODUCT(T48,AB7:AB47),1))</f>
        <v>31385</v>
      </c>
      <c r="U49" s="3225"/>
      <c r="V49" s="3225">
        <f>IF(F1="售价",ROUND(PRODUCT(V48,AC7:AC47),0),ROUND(PRODUCT(V48,AC7:AC47),1))</f>
        <v>31385</v>
      </c>
      <c r="W49" s="3225"/>
      <c r="X49" s="446"/>
      <c r="Y49" s="446"/>
      <c r="Z49" s="446"/>
      <c r="AA49" s="446"/>
      <c r="AB49" s="446"/>
      <c r="AC49" s="630"/>
    </row>
    <row r="50" spans="1:29" ht="15.75" thickBot="1">
      <c r="A50" s="492" t="s">
        <v>2674</v>
      </c>
      <c r="B50" s="493"/>
      <c r="C50" s="1420">
        <f>R50</f>
        <v>32900</v>
      </c>
      <c r="D50" s="1420"/>
      <c r="E50" s="1420"/>
      <c r="F50" s="1420"/>
      <c r="G50" s="1420"/>
      <c r="H50" s="1420"/>
      <c r="I50" s="1420"/>
      <c r="J50" s="494"/>
      <c r="K50" s="785"/>
      <c r="L50" s="1146"/>
      <c r="M50" s="1134"/>
      <c r="N50" s="1134"/>
      <c r="O50" s="1134"/>
      <c r="P50" s="3226" t="str">
        <f>A50</f>
        <v>估价对象XX用房的比较价值（楼面单价，元/平方米）</v>
      </c>
      <c r="Q50" s="3227"/>
      <c r="R50" s="3228">
        <f>IF(F1="售价",ROUND(AVERAGE(R49:V49),0),ROUND(AVERAGE(R49:V49),1))</f>
        <v>32900</v>
      </c>
      <c r="S50" s="3228"/>
      <c r="T50" s="3228"/>
      <c r="U50" s="3228"/>
      <c r="V50" s="3228"/>
      <c r="W50" s="322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2.97801280267187E-2</v>
      </c>
      <c r="F53" s="500" t="str">
        <f>IF(OR(E53&gt;=0.3,E53&lt;=-0.3),"超过30%","")</f>
        <v/>
      </c>
      <c r="G53" s="499">
        <f>IF(G48&lt;G49,G49/G48-1,G48/G49-1)</f>
        <v>1.9595348096224319E-2</v>
      </c>
      <c r="H53" s="500" t="str">
        <f>IF(OR(G53&gt;=0.3,G53&lt;=-0.3),"超过30%","")</f>
        <v/>
      </c>
      <c r="I53" s="499">
        <f>IF(I48&lt;I49,I49/I48-1,I48/I49-1)</f>
        <v>1.9595348096224319E-2</v>
      </c>
      <c r="J53" s="500" t="str">
        <f>IF(OR(I53&gt;=0.3,I53&lt;=-0.3),"超过30%","")</f>
        <v/>
      </c>
      <c r="K53" s="1108"/>
      <c r="L53" s="1109"/>
      <c r="M53" s="1147"/>
      <c r="N53" s="1147"/>
      <c r="O53" s="1147"/>
    </row>
    <row r="54" spans="1:29" ht="13.5" customHeight="1">
      <c r="A54" s="1147"/>
      <c r="B54" s="1147"/>
      <c r="C54" s="497" t="s">
        <v>2676</v>
      </c>
      <c r="D54" s="501"/>
      <c r="E54" s="499">
        <f>IF(E49&lt;G49,G49/E49-1,E49/G49-1)</f>
        <v>0.14481440178429184</v>
      </c>
      <c r="F54" s="500" t="str">
        <f>IF(OR(E54&gt;=0.2,E54&lt;=-0.2),"超过20%","")</f>
        <v/>
      </c>
      <c r="G54" s="499">
        <f>IF(G49&lt;I49,I49/G49-1,G49/I49-1)</f>
        <v>0</v>
      </c>
      <c r="H54" s="500" t="str">
        <f>IF(OR(G54&gt;=0.2,G54&lt;=-0.2),"超过20%","")</f>
        <v/>
      </c>
      <c r="I54" s="499">
        <f>IF(I49&lt;E49,E49/I49-1,I49/E49-1)</f>
        <v>0.14481440178429184</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0.15625</v>
      </c>
      <c r="F55" s="500" t="str">
        <f>IF(OR(E55&gt;=0.3,E55&lt;=-0.3),"超过30%","")</f>
        <v/>
      </c>
      <c r="G55" s="499">
        <f>IF(G48&lt;I48,I48/G48-1,G48/I48-1)</f>
        <v>0</v>
      </c>
      <c r="H55" s="500" t="str">
        <f>IF(OR(G55&gt;=0.3,G55&lt;=-0.3),"超过30%","")</f>
        <v/>
      </c>
      <c r="I55" s="499">
        <f>IF(I48&lt;E48,E48/I48-1,I48/E48-1)</f>
        <v>0.15625</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158042</v>
      </c>
      <c r="C2" s="1848" t="s">
        <v>1516</v>
      </c>
      <c r="D2" s="1848"/>
      <c r="E2" s="1849"/>
      <c r="F2" s="1850"/>
      <c r="G2" s="1851"/>
      <c r="H2" s="1843"/>
      <c r="I2" s="1843"/>
      <c r="J2" s="1843"/>
      <c r="K2" s="1844"/>
      <c r="L2" s="1843"/>
      <c r="M2" s="1843"/>
    </row>
    <row r="3" spans="1:37" ht="18" customHeight="1" thickBot="1">
      <c r="A3" s="1852" t="s">
        <v>1517</v>
      </c>
      <c r="B3" s="1853">
        <f ca="1">IF(ISERROR(B2*10000/F43),0,ROUND(B2*10000/F43,0))</f>
        <v>44320</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6443</v>
      </c>
      <c r="D6" s="164" t="s">
        <v>3037</v>
      </c>
      <c r="E6" s="347" t="s">
        <v>1404</v>
      </c>
      <c r="F6" s="348">
        <f ca="1">INDIRECT("'数据-取费表'!u"&amp;$G$1)</f>
        <v>5.5</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35659.39</v>
      </c>
      <c r="G7" s="1854"/>
      <c r="H7" s="349"/>
      <c r="I7" s="3232"/>
      <c r="J7" s="351"/>
      <c r="K7" s="352"/>
      <c r="L7" s="347" t="s">
        <v>1405</v>
      </c>
      <c r="M7" s="348">
        <f ca="1">F7</f>
        <v>35659.39</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0.1</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3038</v>
      </c>
      <c r="E10" s="358" t="s">
        <v>1410</v>
      </c>
      <c r="F10" s="1369" t="s">
        <v>3091</v>
      </c>
      <c r="G10" s="1854"/>
      <c r="H10" s="1294" t="s">
        <v>1039</v>
      </c>
      <c r="I10" s="1826" t="s">
        <v>1408</v>
      </c>
      <c r="J10" s="346">
        <f ca="1">ROUND(IF(M10="押一",M6*M8*M7/12*M11,IF(M10="押二",M6*M8*M7/12*2*M11,IF(M10="押三",M6*M8*M7/12*3*M11,J11*M11)))/10000,0)</f>
        <v>0</v>
      </c>
      <c r="K10" s="1827" t="s">
        <v>3039</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15280</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9985</v>
      </c>
      <c r="D14" s="1803" t="s">
        <v>1418</v>
      </c>
      <c r="E14" s="1797"/>
      <c r="F14" s="364"/>
      <c r="G14" s="1854"/>
      <c r="H14" s="1204" t="s">
        <v>1035</v>
      </c>
      <c r="I14" s="347" t="s">
        <v>1419</v>
      </c>
      <c r="J14" s="24">
        <f ca="1">C29</f>
        <v>15753</v>
      </c>
      <c r="K14" s="15"/>
      <c r="L14" s="982"/>
      <c r="M14" s="983"/>
    </row>
    <row r="15" spans="1:37" s="1861" customFormat="1" ht="18" customHeight="1" thickBot="1">
      <c r="A15" s="1204" t="s">
        <v>1036</v>
      </c>
      <c r="B15" s="347" t="s">
        <v>1420</v>
      </c>
      <c r="C15" s="24">
        <f ca="1">ROUND(C14*F15,0)</f>
        <v>300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452</v>
      </c>
      <c r="K16" s="1340" t="s">
        <v>1425</v>
      </c>
      <c r="L16" s="1341"/>
      <c r="M16" s="1297"/>
    </row>
    <row r="17" spans="1:37" s="1861" customFormat="1" ht="18" customHeight="1">
      <c r="A17" s="1204" t="s">
        <v>1389</v>
      </c>
      <c r="B17" s="347" t="s">
        <v>1426</v>
      </c>
      <c r="C17" s="24">
        <f ca="1">ROUND(F17*(F43+INDIRECT("'数据-取费表'!S"&amp;$G$1))/10000,0)</f>
        <v>713</v>
      </c>
      <c r="D17" s="347" t="s">
        <v>1427</v>
      </c>
      <c r="E17" s="347" t="s">
        <v>1428</v>
      </c>
      <c r="F17" s="26">
        <f>'数据-取费表'!B35</f>
        <v>200</v>
      </c>
      <c r="G17" s="1857"/>
      <c r="H17" s="1204" t="s">
        <v>1035</v>
      </c>
      <c r="I17" s="347" t="s">
        <v>1429</v>
      </c>
      <c r="J17" s="24">
        <f ca="1">ROUND(IF(项目基本情况!B11="自然人",J5*M17,J18+J19+J20),1)</f>
        <v>137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150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11148</v>
      </c>
      <c r="D19" s="140" t="s">
        <v>1436</v>
      </c>
      <c r="E19" s="1821"/>
      <c r="F19" s="26"/>
      <c r="G19" s="1854"/>
      <c r="H19" s="1204" t="s">
        <v>1036</v>
      </c>
      <c r="I19" s="347" t="s">
        <v>1437</v>
      </c>
      <c r="J19" s="24">
        <f ca="1">IF(K19="按租金收入计税",ROUND(J5*M19,2),ROUND(C29*M19*0.7,2))</f>
        <v>132.33000000000001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334</v>
      </c>
      <c r="D20" s="369" t="s">
        <v>1440</v>
      </c>
      <c r="E20" s="347" t="s">
        <v>1422</v>
      </c>
      <c r="F20" s="367">
        <f>'数据-取费表'!B37</f>
        <v>0.03</v>
      </c>
      <c r="G20" s="1857"/>
      <c r="H20" s="1204" t="s">
        <v>1388</v>
      </c>
      <c r="I20" s="164" t="s">
        <v>1441</v>
      </c>
      <c r="J20" s="25">
        <f ca="1">ROUND(M20*M21/10000,2)</f>
        <v>4.7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31338.03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315.10000000000002</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546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-452</v>
      </c>
      <c r="K25" s="1348" t="s">
        <v>1464</v>
      </c>
      <c r="L25" s="1349"/>
      <c r="M25" s="1350"/>
    </row>
    <row r="26" spans="1:37">
      <c r="A26" s="1204" t="s">
        <v>1034</v>
      </c>
      <c r="B26" s="347" t="s">
        <v>1465</v>
      </c>
      <c r="C26" s="24">
        <f ca="1">ROUND((C19+C20)*F26,0)</f>
        <v>2296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15753</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956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481.1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132.33000000000001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4.7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31338.03</v>
      </c>
      <c r="G35" s="1854"/>
      <c r="H35" s="745"/>
      <c r="I35" s="1863"/>
      <c r="J35" s="1864"/>
      <c r="K35" s="1865"/>
      <c r="L35" s="1862"/>
      <c r="M35" s="1862"/>
    </row>
    <row r="36" spans="1:18" ht="18" customHeight="1">
      <c r="A36" s="1355" t="s">
        <v>1039</v>
      </c>
      <c r="B36" s="347" t="s">
        <v>1449</v>
      </c>
      <c r="C36" s="24">
        <f ca="1">ROUND(C29*F36,1)</f>
        <v>315.10000000000002</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30.6</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5496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158042</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44320</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-166277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158042</v>
      </c>
      <c r="R47" s="1889" t="s">
        <v>1529</v>
      </c>
    </row>
    <row r="48" spans="1:18" s="1845" customFormat="1" ht="28.5" thickBot="1">
      <c r="A48" s="1363" t="s">
        <v>1135</v>
      </c>
      <c r="B48" s="345" t="s">
        <v>1400</v>
      </c>
      <c r="C48" s="1820">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2016</v>
      </c>
      <c r="K49" s="1892" t="s">
        <v>1535</v>
      </c>
      <c r="L49" s="1896"/>
      <c r="O49" s="1897" t="s">
        <v>1042</v>
      </c>
      <c r="P49" s="1888" t="s">
        <v>1536</v>
      </c>
      <c r="Q49" s="1889">
        <f ca="1">C29</f>
        <v>15753</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75286</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3038</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158042</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15280</v>
      </c>
      <c r="D56" s="1917"/>
      <c r="E56" s="1918"/>
      <c r="F56" s="1910"/>
      <c r="I56" s="1919" t="s">
        <v>1554</v>
      </c>
      <c r="J56" s="1920" t="s">
        <v>3056</v>
      </c>
      <c r="K56" s="1890" t="s">
        <v>1555</v>
      </c>
      <c r="L56" s="1893" t="str">
        <f ca="1">IF(L48&lt;J51,"——",L48-J53)</f>
        <v>——</v>
      </c>
      <c r="O56" s="1887" t="s">
        <v>1040</v>
      </c>
      <c r="P56" s="1888" t="s">
        <v>1528</v>
      </c>
      <c r="Q56" s="1889">
        <f ca="1">C40+J29</f>
        <v>158042</v>
      </c>
      <c r="R56" s="1889" t="s">
        <v>1529</v>
      </c>
    </row>
    <row r="57" spans="1:18" s="1845" customFormat="1" ht="24.75" thickBot="1">
      <c r="A57" s="1921"/>
      <c r="B57" s="1172" t="s">
        <v>1478</v>
      </c>
      <c r="C57" s="282">
        <f ca="1">C29</f>
        <v>15753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483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132.33000000000001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158042</v>
      </c>
      <c r="R62" s="1889" t="s">
        <v>1047</v>
      </c>
    </row>
    <row r="63" spans="1:18" s="1845" customFormat="1" ht="13.5" thickBot="1">
      <c r="A63" s="372"/>
      <c r="B63" s="1178"/>
      <c r="C63" s="29"/>
      <c r="D63" s="1188"/>
      <c r="E63" s="1172" t="s">
        <v>1499</v>
      </c>
      <c r="F63" s="348">
        <f t="shared" ca="1" si="0"/>
        <v>31338.03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315.10000000000002</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30.6</v>
      </c>
      <c r="D65" s="1186" t="s">
        <v>1454</v>
      </c>
      <c r="E65" s="1172" t="s">
        <v>1455</v>
      </c>
      <c r="F65" s="376">
        <f t="shared" ca="1" si="0"/>
        <v>2E-3</v>
      </c>
      <c r="I65" s="1932" t="s">
        <v>1579</v>
      </c>
      <c r="J65" s="1933">
        <v>40</v>
      </c>
      <c r="K65" s="1933">
        <v>30</v>
      </c>
      <c r="L65" s="1933">
        <v>50</v>
      </c>
      <c r="M65" s="1935">
        <v>0.02</v>
      </c>
      <c r="O65" s="1887" t="s">
        <v>1040</v>
      </c>
      <c r="P65" s="1888" t="s">
        <v>1580</v>
      </c>
      <c r="Q65" s="1889">
        <f ca="1">C40+J29</f>
        <v>158042</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-483</v>
      </c>
      <c r="D67" s="1185" t="s">
        <v>1464</v>
      </c>
      <c r="E67" s="1190"/>
      <c r="F67" s="1191"/>
      <c r="O67" s="1897" t="s">
        <v>1042</v>
      </c>
      <c r="P67" s="1888" t="s">
        <v>1562</v>
      </c>
      <c r="Q67" s="1936">
        <f ca="1">L51</f>
        <v>75286</v>
      </c>
      <c r="R67" s="1889" t="s">
        <v>1582</v>
      </c>
    </row>
    <row r="68" spans="1:18" s="1845" customFormat="1" ht="16.5" thickBot="1">
      <c r="A68" s="1169" t="s">
        <v>1032</v>
      </c>
      <c r="B68" s="1170" t="s">
        <v>1485</v>
      </c>
      <c r="C68" s="346">
        <f ca="1">ROUND(C67*(1-((1+F70)/(1+F68))^F69)/(F68-F70),0)</f>
        <v>-8235</v>
      </c>
      <c r="D68" s="1187" t="s">
        <v>1469</v>
      </c>
      <c r="E68" s="1172" t="s">
        <v>1470</v>
      </c>
      <c r="F68" s="357">
        <f ca="1">F40</f>
        <v>0.05</v>
      </c>
      <c r="O68" s="1897" t="s">
        <v>1043</v>
      </c>
      <c r="P68" s="1937" t="s">
        <v>1583</v>
      </c>
      <c r="Q68" s="1889">
        <f ca="1">ROUND(Q69-Q70*Q71,0)</f>
        <v>4121</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5496</v>
      </c>
      <c r="R69" s="1889" t="s">
        <v>1529</v>
      </c>
    </row>
    <row r="70" spans="1:18" s="1845" customFormat="1" ht="13.5" thickBot="1">
      <c r="A70" s="1176"/>
      <c r="B70" s="1177"/>
      <c r="C70" s="355"/>
      <c r="D70" s="1188"/>
      <c r="E70" s="1172" t="s">
        <v>1477</v>
      </c>
      <c r="F70" s="1278"/>
      <c r="O70" s="1897" t="s">
        <v>1049</v>
      </c>
      <c r="P70" s="1937" t="s">
        <v>1585</v>
      </c>
      <c r="Q70" s="1889">
        <f ca="1">C13</f>
        <v>15280</v>
      </c>
      <c r="R70" s="1889" t="s">
        <v>1529</v>
      </c>
    </row>
    <row r="71" spans="1:18" s="1845" customFormat="1" ht="13.5" thickBot="1">
      <c r="A71" s="1193" t="s">
        <v>1033</v>
      </c>
      <c r="B71" s="1194" t="s">
        <v>1487</v>
      </c>
      <c r="C71" s="382">
        <f ca="1">ROUND(C68*10000/F71,0)</f>
        <v>-2309</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1375</v>
      </c>
      <c r="D75" s="1845"/>
      <c r="E75" s="1845"/>
      <c r="F75" s="1845"/>
      <c r="K75" s="1871"/>
      <c r="L75" s="1845"/>
      <c r="O75" s="1887" t="s">
        <v>1046</v>
      </c>
      <c r="P75" s="1888" t="s">
        <v>1549</v>
      </c>
      <c r="Q75" s="1889">
        <f ca="1">Q65+Q66</f>
        <v>158042</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v>
      </c>
    </row>
    <row r="80" spans="1:18">
      <c r="B80" s="386" t="s">
        <v>1511</v>
      </c>
      <c r="C80" s="318">
        <f ca="1">ROUND(C75/C39,3)</f>
        <v>0.25</v>
      </c>
    </row>
    <row r="81" spans="2:3">
      <c r="B81" s="314" t="s">
        <v>1512</v>
      </c>
      <c r="C81" s="282"/>
    </row>
    <row r="82" spans="2:3">
      <c r="B82" s="317" t="s">
        <v>1513</v>
      </c>
      <c r="C82" s="319">
        <f ca="1">1-C83</f>
        <v>0.90300000000000002</v>
      </c>
    </row>
    <row r="83" spans="2:3">
      <c r="B83" s="317" t="s">
        <v>1514</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1" t="s">
        <v>1402</v>
      </c>
      <c r="C6" s="1299">
        <f ca="1">ROUND(F6*F8*F7*(1-F9),0)</f>
        <v>0</v>
      </c>
      <c r="D6" s="164" t="s">
        <v>3032</v>
      </c>
      <c r="E6" s="347" t="s">
        <v>1404</v>
      </c>
      <c r="F6" s="348">
        <f ca="1">INDIRECT("'数据-取费表'!u"&amp;$G$1)</f>
        <v>0</v>
      </c>
      <c r="G6" s="1854"/>
      <c r="H6" s="1294" t="s">
        <v>1035</v>
      </c>
      <c r="I6" s="3231" t="s">
        <v>1402</v>
      </c>
      <c r="J6" s="346">
        <f ca="1">ROUND(M6*M8*M7*(1-M9),0)</f>
        <v>0</v>
      </c>
      <c r="K6" s="1837" t="s">
        <v>3035</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0</v>
      </c>
      <c r="G7" s="1854"/>
      <c r="H7" s="349"/>
      <c r="I7" s="3232"/>
      <c r="J7" s="351"/>
      <c r="K7" s="352"/>
      <c r="L7" s="347" t="s">
        <v>1405</v>
      </c>
      <c r="M7" s="348">
        <f ca="1">F7</f>
        <v>0</v>
      </c>
    </row>
    <row r="8" spans="1:37" ht="18" customHeight="1">
      <c r="A8" s="349"/>
      <c r="B8" s="3232"/>
      <c r="C8" s="351"/>
      <c r="D8" s="352"/>
      <c r="E8" s="347" t="s">
        <v>1406</v>
      </c>
      <c r="F8" s="348">
        <f ca="1">INDIRECT("'数据-取费表'!ai"&amp;$G$1)</f>
        <v>0</v>
      </c>
      <c r="G8" s="1854"/>
      <c r="H8" s="349"/>
      <c r="I8" s="3232"/>
      <c r="J8" s="351"/>
      <c r="K8" s="352"/>
      <c r="L8" s="347" t="s">
        <v>1406</v>
      </c>
      <c r="M8" s="348">
        <f ca="1">INDIRECT("'数据-取费表'!ai"&amp;$G$1)</f>
        <v>0</v>
      </c>
    </row>
    <row r="9" spans="1:37" ht="18" customHeight="1">
      <c r="A9" s="349"/>
      <c r="B9" s="3233"/>
      <c r="C9" s="351"/>
      <c r="D9" s="352"/>
      <c r="E9" s="347" t="s">
        <v>1407</v>
      </c>
      <c r="F9" s="357">
        <f ca="1">INDIRECT("'数据-取费表'!w"&amp;$G$1)</f>
        <v>0</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3033</v>
      </c>
      <c r="E10" s="358" t="s">
        <v>1410</v>
      </c>
      <c r="F10" s="1369"/>
      <c r="G10" s="1854"/>
      <c r="H10" s="1294" t="s">
        <v>1039</v>
      </c>
      <c r="I10" s="1826" t="s">
        <v>1408</v>
      </c>
      <c r="J10" s="346">
        <f ca="1">ROUND(IF(M10="押一",M6*M8*M7/12*M11,IF(M10="押二",M6*M8*M7/12*2*M11,IF(M10="押三",M6*M8*M7/12*3*M11,J11*M11))),0)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29" t="s">
        <v>1548</v>
      </c>
      <c r="L53" s="323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2530</v>
      </c>
      <c r="B1" s="2566"/>
      <c r="C1" s="2566"/>
      <c r="D1" s="2566"/>
      <c r="E1" s="2567"/>
    </row>
    <row r="2" spans="1:6" ht="15.75">
      <c r="A2" s="2568" t="s">
        <v>2331</v>
      </c>
      <c r="B2" s="2569">
        <f ca="1">SUMIF(B6:B13,"&lt;&gt;#ref!",B6:B13)</f>
        <v>161257</v>
      </c>
      <c r="C2" s="2570" t="s">
        <v>2523</v>
      </c>
      <c r="D2" s="2571" t="s">
        <v>2524</v>
      </c>
      <c r="E2" s="2572">
        <f>SUM(E6:E13)</f>
        <v>40878.99</v>
      </c>
    </row>
    <row r="3" spans="1:6" ht="15.75">
      <c r="A3" s="2568" t="s">
        <v>1394</v>
      </c>
      <c r="B3" s="2569">
        <f ca="1">ROUND(B2*10000/E2,0)</f>
        <v>39447</v>
      </c>
      <c r="C3" s="2570" t="s">
        <v>2531</v>
      </c>
      <c r="D3" s="2573"/>
      <c r="E3" s="2574"/>
    </row>
    <row r="4" spans="1:6" ht="15.75">
      <c r="A4" s="2575"/>
      <c r="B4" s="2573"/>
      <c r="C4" s="2573"/>
      <c r="D4" s="2573"/>
      <c r="E4" s="2574"/>
    </row>
    <row r="5" spans="1:6" ht="15">
      <c r="A5" s="2576" t="s">
        <v>2525</v>
      </c>
      <c r="B5" s="3234" t="s">
        <v>2526</v>
      </c>
      <c r="C5" s="3234"/>
      <c r="D5" s="2577"/>
      <c r="E5" s="2578" t="s">
        <v>2527</v>
      </c>
      <c r="F5" s="2579" t="s">
        <v>2528</v>
      </c>
    </row>
    <row r="6" spans="1:6">
      <c r="A6" s="2580" t="str">
        <f>'数据-取费表'!AN6</f>
        <v>收益法（办公）</v>
      </c>
      <c r="B6" s="2579">
        <f ca="1">IF(F6="是",'数据-取费表'!AO6,0)</f>
        <v>158042</v>
      </c>
      <c r="C6" s="2570" t="s">
        <v>2523</v>
      </c>
      <c r="D6" s="2573"/>
      <c r="E6" s="2581">
        <f>IF(OR(A6=0,F6="否"),0,'数据-取费表'!K6+'数据-取费表'!S6)</f>
        <v>35659.39</v>
      </c>
      <c r="F6" s="2582" t="s">
        <v>2529</v>
      </c>
    </row>
    <row r="7" spans="1:6">
      <c r="A7" s="2580" t="str">
        <f>'数据-取费表'!AN7</f>
        <v>收益法 (车库)</v>
      </c>
      <c r="B7" s="2579">
        <f ca="1">IF(F7="是",'数据-取费表'!AO7,0)</f>
        <v>3215</v>
      </c>
      <c r="C7" s="2570" t="s">
        <v>2523</v>
      </c>
      <c r="D7" s="2573"/>
      <c r="E7" s="2581">
        <f>IF(OR(A7=0,F7="否"),0,'数据-取费表'!K7+'数据-取费表'!S7)</f>
        <v>5219.6000000000004</v>
      </c>
      <c r="F7" s="2582" t="s">
        <v>2529</v>
      </c>
    </row>
    <row r="8" spans="1:6">
      <c r="A8" s="2580">
        <f>'数据-取费表'!AN8</f>
        <v>0</v>
      </c>
      <c r="B8" s="2579" t="e">
        <f ca="1">IF(F8="是",'数据-取费表'!AO8,0)</f>
        <v>#REF!</v>
      </c>
      <c r="C8" s="2570" t="s">
        <v>2523</v>
      </c>
      <c r="D8" s="2573"/>
      <c r="E8" s="2581">
        <f>IF(OR(A8=0,F8="否"),0,'数据-取费表'!K8+'数据-取费表'!S8)</f>
        <v>0</v>
      </c>
      <c r="F8" s="2582" t="s">
        <v>2529</v>
      </c>
    </row>
    <row r="9" spans="1:6">
      <c r="A9" s="2580">
        <f>'数据-取费表'!AN9</f>
        <v>0</v>
      </c>
      <c r="B9" s="2579" t="e">
        <f ca="1">IF(F9="是",'数据-取费表'!AO9,0)</f>
        <v>#REF!</v>
      </c>
      <c r="C9" s="2570" t="s">
        <v>2523</v>
      </c>
      <c r="D9" s="2573"/>
      <c r="E9" s="2581">
        <f>IF(OR(A9=0,F9="否"),0,'数据-取费表'!K9+'数据-取费表'!S9)</f>
        <v>0</v>
      </c>
      <c r="F9" s="2582" t="s">
        <v>2529</v>
      </c>
    </row>
    <row r="10" spans="1:6">
      <c r="A10" s="2580">
        <f>'数据-取费表'!AN10</f>
        <v>0</v>
      </c>
      <c r="B10" s="2579" t="e">
        <f ca="1">IF(F10="是",'数据-取费表'!AO10,0)</f>
        <v>#REF!</v>
      </c>
      <c r="C10" s="2570" t="s">
        <v>2523</v>
      </c>
      <c r="D10" s="2573"/>
      <c r="E10" s="2581">
        <f>IF(OR(A10=0,F10="否"),0,'数据-取费表'!K10+'数据-取费表'!S10)</f>
        <v>0</v>
      </c>
      <c r="F10" s="2582" t="s">
        <v>2529</v>
      </c>
    </row>
    <row r="11" spans="1:6">
      <c r="A11" s="2580">
        <f>'数据-取费表'!AN11</f>
        <v>0</v>
      </c>
      <c r="B11" s="2579" t="e">
        <f ca="1">IF(F11="是",'数据-取费表'!AO11,0)</f>
        <v>#REF!</v>
      </c>
      <c r="C11" s="2570" t="s">
        <v>2523</v>
      </c>
      <c r="D11" s="2573"/>
      <c r="E11" s="2581">
        <f>IF(OR(A11=0,F11="否"),0,'数据-取费表'!K11+'数据-取费表'!S11)</f>
        <v>0</v>
      </c>
      <c r="F11" s="2582" t="s">
        <v>2529</v>
      </c>
    </row>
    <row r="12" spans="1:6">
      <c r="A12" s="2580">
        <f>'数据-取费表'!AN12</f>
        <v>0</v>
      </c>
      <c r="B12" s="2579" t="e">
        <f ca="1">IF(F12="是",'数据-取费表'!AO12,0)</f>
        <v>#REF!</v>
      </c>
      <c r="C12" s="2570" t="s">
        <v>2523</v>
      </c>
      <c r="D12" s="2573"/>
      <c r="E12" s="2581">
        <f>IF(OR(A12=0,F12="否"),0,'数据-取费表'!K12+'数据-取费表'!S12)</f>
        <v>0</v>
      </c>
      <c r="F12" s="2582" t="s">
        <v>2529</v>
      </c>
    </row>
    <row r="13" spans="1:6" ht="15" thickBot="1">
      <c r="A13" s="2583">
        <f>'数据-取费表'!AN13</f>
        <v>0</v>
      </c>
      <c r="B13" s="2579" t="e">
        <f ca="1">IF(F13="是",'数据-取费表'!AO13,0)</f>
        <v>#REF!</v>
      </c>
      <c r="C13" s="2584" t="s">
        <v>2523</v>
      </c>
      <c r="D13" s="2585"/>
      <c r="E13" s="2581">
        <f>IF(OR(A13=0,F13="否"),0,'数据-取费表'!K13+'数据-取费表'!S13)</f>
        <v>0</v>
      </c>
      <c r="F13" s="258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4" t="s">
        <v>1079</v>
      </c>
      <c r="E2" s="1304" t="s">
        <v>1080</v>
      </c>
      <c r="F2" s="1304" t="s">
        <v>1081</v>
      </c>
      <c r="G2" s="1304" t="s">
        <v>1082</v>
      </c>
      <c r="H2" s="1304" t="s">
        <v>1083</v>
      </c>
      <c r="I2" s="1305" t="s">
        <v>1084</v>
      </c>
    </row>
    <row r="3" spans="1:9">
      <c r="A3" s="3240"/>
      <c r="B3" s="3241" t="s">
        <v>1085</v>
      </c>
      <c r="C3" s="3241"/>
      <c r="D3" s="1306"/>
      <c r="E3" s="1304"/>
      <c r="F3" s="1307"/>
      <c r="G3" s="1307"/>
      <c r="H3" s="1308"/>
      <c r="I3" s="1309">
        <f>ROUND(D3*E3*F3*G3*H3/10000,0)</f>
        <v>0</v>
      </c>
    </row>
    <row r="4" spans="1:9">
      <c r="A4" s="3240"/>
      <c r="B4" s="3241" t="s">
        <v>1086</v>
      </c>
      <c r="C4" s="3241"/>
      <c r="D4" s="1306"/>
      <c r="E4" s="1304"/>
      <c r="F4" s="1307"/>
      <c r="G4" s="1307"/>
      <c r="H4" s="1308"/>
      <c r="I4" s="1309">
        <f t="shared" ref="I4:I9" si="0">ROUND(D4*E4*F4*G4*H4/10000,0)</f>
        <v>0</v>
      </c>
    </row>
    <row r="5" spans="1:9">
      <c r="A5" s="3240"/>
      <c r="B5" s="3241" t="s">
        <v>1087</v>
      </c>
      <c r="C5" s="3241"/>
      <c r="D5" s="1306"/>
      <c r="E5" s="1304"/>
      <c r="F5" s="1307"/>
      <c r="G5" s="1307"/>
      <c r="H5" s="1308"/>
      <c r="I5" s="1309">
        <f t="shared" si="0"/>
        <v>0</v>
      </c>
    </row>
    <row r="6" spans="1:9">
      <c r="A6" s="3240"/>
      <c r="B6" s="3241" t="s">
        <v>1088</v>
      </c>
      <c r="C6" s="3241"/>
      <c r="D6" s="1306"/>
      <c r="E6" s="1304"/>
      <c r="F6" s="1307"/>
      <c r="G6" s="1307"/>
      <c r="H6" s="1308"/>
      <c r="I6" s="1309">
        <f t="shared" si="0"/>
        <v>0</v>
      </c>
    </row>
    <row r="7" spans="1:9">
      <c r="A7" s="3240"/>
      <c r="B7" s="3241" t="s">
        <v>1089</v>
      </c>
      <c r="C7" s="3241"/>
      <c r="D7" s="1306"/>
      <c r="E7" s="1304"/>
      <c r="F7" s="1307"/>
      <c r="G7" s="1307"/>
      <c r="H7" s="1308"/>
      <c r="I7" s="1309">
        <f t="shared" si="0"/>
        <v>0</v>
      </c>
    </row>
    <row r="8" spans="1:9">
      <c r="A8" s="3240"/>
      <c r="B8" s="3241" t="s">
        <v>1090</v>
      </c>
      <c r="C8" s="3241"/>
      <c r="D8" s="1306"/>
      <c r="E8" s="1304"/>
      <c r="F8" s="1307"/>
      <c r="G8" s="1307"/>
      <c r="H8" s="1308"/>
      <c r="I8" s="1309">
        <f t="shared" si="0"/>
        <v>0</v>
      </c>
    </row>
    <row r="9" spans="1:9">
      <c r="A9" s="3240"/>
      <c r="B9" s="3241" t="s">
        <v>1091</v>
      </c>
      <c r="C9" s="3241"/>
      <c r="D9" s="1306"/>
      <c r="E9" s="1304"/>
      <c r="F9" s="1307"/>
      <c r="G9" s="1307"/>
      <c r="H9" s="1308"/>
      <c r="I9" s="1309">
        <f t="shared" si="0"/>
        <v>0</v>
      </c>
    </row>
    <row r="10" spans="1:9">
      <c r="A10" s="3240"/>
      <c r="B10" s="3242" t="s">
        <v>1092</v>
      </c>
      <c r="C10" s="3242"/>
      <c r="D10" s="1310"/>
      <c r="E10" s="1310" t="e">
        <f>ROUND(D1*10000/D10/H9,0)</f>
        <v>#DIV/0!</v>
      </c>
      <c r="F10" s="1311"/>
      <c r="G10" s="1311"/>
      <c r="H10" s="1312"/>
      <c r="I10" s="1313">
        <f>SUM(I3:I9)</f>
        <v>0</v>
      </c>
    </row>
    <row r="11" spans="1:9" ht="14.25">
      <c r="A11" s="3240" t="s">
        <v>1093</v>
      </c>
      <c r="B11" s="3241" t="s">
        <v>1094</v>
      </c>
      <c r="C11" s="3241"/>
      <c r="D11" s="1306" t="s">
        <v>1095</v>
      </c>
      <c r="E11" s="1306" t="s">
        <v>1096</v>
      </c>
      <c r="F11" s="1307" t="s">
        <v>1097</v>
      </c>
      <c r="G11" s="1307" t="s">
        <v>1083</v>
      </c>
      <c r="H11" s="1314" t="s">
        <v>1098</v>
      </c>
      <c r="I11" s="1305" t="s">
        <v>1084</v>
      </c>
    </row>
    <row r="12" spans="1:9">
      <c r="A12" s="3240"/>
      <c r="B12" s="3241" t="s">
        <v>1099</v>
      </c>
      <c r="C12" s="3241"/>
      <c r="D12" s="1306"/>
      <c r="E12" s="1306"/>
      <c r="F12" s="1307"/>
      <c r="G12" s="1308"/>
      <c r="H12" s="1315"/>
      <c r="I12" s="1305">
        <f>ROUND(D12*E12*F12*G12/10000,0)</f>
        <v>0</v>
      </c>
    </row>
    <row r="13" spans="1:9">
      <c r="A13" s="3240"/>
      <c r="B13" s="3241" t="s">
        <v>1100</v>
      </c>
      <c r="C13" s="3241"/>
      <c r="D13" s="1306"/>
      <c r="E13" s="1306"/>
      <c r="F13" s="1307"/>
      <c r="G13" s="1308"/>
      <c r="H13" s="1315"/>
      <c r="I13" s="1305">
        <f>ROUND(D13*E13*F13*G13/10000,0)</f>
        <v>0</v>
      </c>
    </row>
    <row r="14" spans="1:9">
      <c r="A14" s="3240"/>
      <c r="B14" s="3241" t="s">
        <v>1101</v>
      </c>
      <c r="C14" s="3241"/>
      <c r="D14" s="1306"/>
      <c r="E14" s="1306"/>
      <c r="F14" s="1307"/>
      <c r="G14" s="1308"/>
      <c r="H14" s="1315"/>
      <c r="I14" s="1305">
        <f>ROUND(D14*E14*F14*G14/10000,0)</f>
        <v>0</v>
      </c>
    </row>
    <row r="15" spans="1:9">
      <c r="A15" s="3240"/>
      <c r="B15" s="3242" t="s">
        <v>1092</v>
      </c>
      <c r="C15" s="3242"/>
      <c r="D15" s="1310"/>
      <c r="E15" s="1310">
        <f>SUM(E12:E14)</f>
        <v>0</v>
      </c>
      <c r="F15" s="1311"/>
      <c r="G15" s="1308"/>
      <c r="H15" s="1315"/>
      <c r="I15" s="1316">
        <f>SUM(I12:I14)</f>
        <v>0</v>
      </c>
    </row>
    <row r="16" spans="1:9" ht="24">
      <c r="A16" s="3240" t="s">
        <v>1102</v>
      </c>
      <c r="B16" s="3241" t="s">
        <v>1103</v>
      </c>
      <c r="C16" s="3241"/>
      <c r="D16" s="1306" t="s">
        <v>1079</v>
      </c>
      <c r="E16" s="1317" t="s">
        <v>1104</v>
      </c>
      <c r="F16" s="1307" t="s">
        <v>1105</v>
      </c>
      <c r="G16" s="1308" t="s">
        <v>1083</v>
      </c>
      <c r="H16" s="1314" t="s">
        <v>1098</v>
      </c>
      <c r="I16" s="1305" t="s">
        <v>1084</v>
      </c>
    </row>
    <row r="17" spans="1:9" ht="14.25">
      <c r="A17" s="3240"/>
      <c r="B17" s="3241" t="s">
        <v>1106</v>
      </c>
      <c r="C17" s="3241"/>
      <c r="D17" s="1306"/>
      <c r="E17" s="1306"/>
      <c r="F17" s="1307"/>
      <c r="G17" s="1308"/>
      <c r="H17" s="1318"/>
      <c r="I17" s="1319">
        <f>ROUND(D17*E17*F17*G17/10000,0)</f>
        <v>0</v>
      </c>
    </row>
    <row r="18" spans="1:9" ht="14.25">
      <c r="A18" s="3240"/>
      <c r="B18" s="3241" t="s">
        <v>1107</v>
      </c>
      <c r="C18" s="3241"/>
      <c r="D18" s="1306"/>
      <c r="E18" s="1306"/>
      <c r="F18" s="1307"/>
      <c r="G18" s="1308"/>
      <c r="H18" s="1318"/>
      <c r="I18" s="1319">
        <f>ROUND(D18*E18*F18*G18/10000,0)</f>
        <v>0</v>
      </c>
    </row>
    <row r="19" spans="1:9" ht="14.25">
      <c r="A19" s="3240"/>
      <c r="B19" s="3241" t="s">
        <v>1108</v>
      </c>
      <c r="C19" s="3241"/>
      <c r="D19" s="1306"/>
      <c r="E19" s="1306"/>
      <c r="F19" s="1307"/>
      <c r="G19" s="1308"/>
      <c r="H19" s="1318"/>
      <c r="I19" s="1319">
        <f>ROUND(D19*E19*F19*G19/10000,0)</f>
        <v>0</v>
      </c>
    </row>
    <row r="20" spans="1:9">
      <c r="A20" s="3240"/>
      <c r="B20" s="3242" t="s">
        <v>1092</v>
      </c>
      <c r="C20" s="3242"/>
      <c r="D20" s="1310">
        <f>SUM(D17:D19)</f>
        <v>0</v>
      </c>
      <c r="E20" s="1310"/>
      <c r="F20" s="1311"/>
      <c r="G20" s="1308"/>
      <c r="H20" s="1315"/>
      <c r="I20" s="1316">
        <f>SUM(I17:I19)</f>
        <v>0</v>
      </c>
    </row>
    <row r="21" spans="1:9">
      <c r="A21" s="3240" t="s">
        <v>1109</v>
      </c>
      <c r="B21" s="3244"/>
      <c r="C21" s="3244"/>
      <c r="D21" s="3244"/>
      <c r="E21" s="3244"/>
      <c r="F21" s="3244"/>
      <c r="G21" s="3244"/>
      <c r="H21" s="1768">
        <v>0.1</v>
      </c>
      <c r="I21" s="1313">
        <f>ROUND(I10*H21,0)</f>
        <v>0</v>
      </c>
    </row>
    <row r="22" spans="1:9" ht="14.25">
      <c r="A22" s="3245" t="s">
        <v>1110</v>
      </c>
      <c r="B22" s="3246"/>
      <c r="C22" s="3247"/>
      <c r="D22" s="1320" t="s">
        <v>1111</v>
      </c>
      <c r="E22" s="1320" t="s">
        <v>1112</v>
      </c>
      <c r="F22" s="1321" t="s">
        <v>1113</v>
      </c>
      <c r="G22" s="1321" t="s">
        <v>1114</v>
      </c>
      <c r="H22" s="1314" t="s">
        <v>1115</v>
      </c>
      <c r="I22" s="1305" t="s">
        <v>1116</v>
      </c>
    </row>
    <row r="23" spans="1:9" ht="14.25" thickBot="1">
      <c r="A23" s="3248"/>
      <c r="B23" s="3249"/>
      <c r="C23" s="3250"/>
      <c r="D23" s="1322"/>
      <c r="E23" s="1322"/>
      <c r="F23" s="1322"/>
      <c r="G23" s="1323"/>
      <c r="H23" s="1324"/>
      <c r="I23" s="1325">
        <f>ROUND(E23*D23*F23*(1-G23)/10000,0)</f>
        <v>0</v>
      </c>
    </row>
    <row r="26" spans="1:9">
      <c r="A26" s="1326" t="s">
        <v>1117</v>
      </c>
      <c r="B26" s="1326"/>
      <c r="C26" s="1326"/>
      <c r="D26" s="1326"/>
      <c r="E26" s="3251">
        <f>C27-C30-C31-C32</f>
        <v>0</v>
      </c>
      <c r="F26" s="3251"/>
      <c r="G26" s="3251"/>
      <c r="H26" s="1740" t="s">
        <v>1339</v>
      </c>
    </row>
    <row r="27" spans="1:9">
      <c r="A27" s="1327">
        <v>1</v>
      </c>
      <c r="B27" s="1328" t="s">
        <v>1118</v>
      </c>
      <c r="C27" s="1328">
        <f>C28+C29</f>
        <v>0</v>
      </c>
      <c r="D27" s="1328"/>
      <c r="E27" s="3252"/>
      <c r="F27" s="3252"/>
      <c r="G27" s="3252"/>
    </row>
    <row r="28" spans="1:9">
      <c r="A28" s="1329" t="s">
        <v>1119</v>
      </c>
      <c r="B28" s="1328" t="s">
        <v>1120</v>
      </c>
      <c r="C28" s="1328"/>
      <c r="D28" s="1328"/>
      <c r="E28" s="3252"/>
      <c r="F28" s="3252"/>
      <c r="G28" s="325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3"/>
      <c r="F32" s="3243"/>
      <c r="G32" s="3243"/>
    </row>
    <row r="33" spans="1:7" hidden="1">
      <c r="A33" s="3253" t="s">
        <v>1129</v>
      </c>
      <c r="B33" s="3254"/>
      <c r="C33" s="3254"/>
      <c r="D33" s="3255"/>
      <c r="E33" s="3251"/>
      <c r="F33" s="3251"/>
      <c r="G33" s="3251"/>
    </row>
    <row r="34" spans="1:7" hidden="1">
      <c r="A34" s="1331">
        <v>1</v>
      </c>
      <c r="B34" s="1328" t="s">
        <v>1130</v>
      </c>
      <c r="C34" s="1328"/>
      <c r="D34" s="1328"/>
      <c r="E34" s="3252"/>
      <c r="F34" s="3252"/>
      <c r="G34" s="3252"/>
    </row>
    <row r="35" spans="1:7" hidden="1">
      <c r="A35" s="1331">
        <v>2</v>
      </c>
      <c r="B35" s="1328" t="s">
        <v>1131</v>
      </c>
      <c r="C35" s="1328"/>
      <c r="D35" s="1328"/>
      <c r="E35" s="3252"/>
      <c r="F35" s="3252"/>
      <c r="G35" s="3252"/>
    </row>
    <row r="36" spans="1:7" hidden="1">
      <c r="A36" s="1331">
        <v>3</v>
      </c>
      <c r="B36" s="1328" t="s">
        <v>1132</v>
      </c>
      <c r="C36" s="1328"/>
      <c r="D36" s="1328"/>
      <c r="E36" s="3252"/>
      <c r="F36" s="3252"/>
      <c r="G36" s="3252"/>
    </row>
    <row r="37" spans="1:7" hidden="1">
      <c r="A37" s="1331">
        <v>4</v>
      </c>
      <c r="B37" s="1328" t="s">
        <v>1133</v>
      </c>
      <c r="C37" s="1328"/>
      <c r="D37" s="1328"/>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2533</v>
      </c>
      <c r="C1" s="1637" t="s">
        <v>2534</v>
      </c>
      <c r="D1" s="1624"/>
      <c r="E1" s="2587"/>
      <c r="F1" s="2588" t="s">
        <v>2535</v>
      </c>
      <c r="G1" s="1634" t="s">
        <v>2536</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2537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2538</v>
      </c>
      <c r="D3" s="399">
        <f>IF(D1="",'数据-汇总表'!E3,SUMIF('数据-汇总表'!$C19:$C33,D1,'数据-汇总表'!$E19:$E33))</f>
        <v>40878.99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2539</v>
      </c>
      <c r="B4" s="402"/>
      <c r="C4" s="3199" t="s">
        <v>2540</v>
      </c>
      <c r="D4" s="3200"/>
      <c r="E4" s="3201" t="s">
        <v>2541</v>
      </c>
      <c r="F4" s="3202"/>
      <c r="G4" s="3199" t="s">
        <v>2542</v>
      </c>
      <c r="H4" s="3200"/>
      <c r="I4" s="3199" t="s">
        <v>2543</v>
      </c>
      <c r="J4" s="3200"/>
      <c r="K4" s="2600" t="s">
        <v>2544</v>
      </c>
      <c r="L4" s="1133"/>
      <c r="M4" s="1134"/>
      <c r="N4" s="1134"/>
      <c r="O4" s="1134"/>
      <c r="P4" s="3260" t="s">
        <v>2545</v>
      </c>
      <c r="Q4" s="3261"/>
      <c r="R4" s="3257" t="s">
        <v>2541</v>
      </c>
      <c r="S4" s="3258"/>
      <c r="T4" s="3257" t="s">
        <v>2542</v>
      </c>
      <c r="U4" s="3258"/>
      <c r="V4" s="3212" t="s">
        <v>2543</v>
      </c>
      <c r="W4" s="3212"/>
      <c r="X4" s="1816"/>
      <c r="Y4" s="3257" t="s">
        <v>2545</v>
      </c>
      <c r="Z4" s="3258"/>
      <c r="AA4" s="3256" t="s">
        <v>2541</v>
      </c>
      <c r="AB4" s="3256" t="s">
        <v>2542</v>
      </c>
      <c r="AC4" s="3256" t="s">
        <v>2543</v>
      </c>
    </row>
    <row r="5" spans="1:29" ht="15">
      <c r="A5" s="404"/>
      <c r="B5" s="405"/>
      <c r="C5" s="3188" t="s">
        <v>2546</v>
      </c>
      <c r="D5" s="3189"/>
      <c r="E5" s="3259" t="s">
        <v>2547</v>
      </c>
      <c r="F5" s="3187"/>
      <c r="G5" s="3188" t="s">
        <v>2548</v>
      </c>
      <c r="H5" s="3189"/>
      <c r="I5" s="3188" t="s">
        <v>2549</v>
      </c>
      <c r="J5" s="3189"/>
      <c r="K5" s="2601"/>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2601"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80" t="s">
        <v>2553</v>
      </c>
      <c r="Q7" s="3214"/>
      <c r="R7" s="770" t="s">
        <v>23</v>
      </c>
      <c r="S7" s="771">
        <f t="shared" ref="S7:S15" si="0">F7</f>
        <v>0</v>
      </c>
      <c r="T7" s="770" t="s">
        <v>23</v>
      </c>
      <c r="U7" s="771">
        <f t="shared" ref="U7:U15" si="1">H7</f>
        <v>0</v>
      </c>
      <c r="V7" s="770" t="s">
        <v>23</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80" t="s">
        <v>2556</v>
      </c>
      <c r="Q8" s="3181"/>
      <c r="R8" s="770" t="s">
        <v>23</v>
      </c>
      <c r="S8" s="771">
        <f t="shared" si="0"/>
        <v>0</v>
      </c>
      <c r="T8" s="770" t="s">
        <v>23</v>
      </c>
      <c r="U8" s="771">
        <f t="shared" si="1"/>
        <v>0</v>
      </c>
      <c r="V8" s="770" t="s">
        <v>23</v>
      </c>
      <c r="W8" s="771">
        <f t="shared" si="2"/>
        <v>0</v>
      </c>
      <c r="X8" s="772"/>
      <c r="Y8" s="3180" t="s">
        <v>2556</v>
      </c>
      <c r="Z8" s="3181"/>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5"/>
      <c r="Q11" s="1798"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9.75">
      <c r="A15" s="440" t="s">
        <v>2563</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2564</v>
      </c>
      <c r="Q15" s="1813" t="str">
        <f t="shared" si="6"/>
        <v>居住社区成熟度</v>
      </c>
      <c r="R15" s="774" t="s">
        <v>21</v>
      </c>
      <c r="S15" s="775">
        <f t="shared" si="0"/>
        <v>100</v>
      </c>
      <c r="T15" s="774" t="s">
        <v>21</v>
      </c>
      <c r="U15" s="775">
        <f t="shared" si="1"/>
        <v>100</v>
      </c>
      <c r="V15" s="774" t="s">
        <v>21</v>
      </c>
      <c r="W15" s="775">
        <f t="shared" si="2"/>
        <v>100</v>
      </c>
      <c r="X15" s="1816"/>
      <c r="Y15" s="3217" t="s">
        <v>2564</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6"/>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6"/>
      <c r="Q18" s="1813"/>
      <c r="R18" s="774"/>
      <c r="S18" s="775"/>
      <c r="T18" s="774"/>
      <c r="U18" s="775"/>
      <c r="V18" s="774"/>
      <c r="W18" s="775"/>
      <c r="X18" s="1816"/>
      <c r="Y18" s="3218"/>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6"/>
      <c r="Q20" s="1813"/>
      <c r="R20" s="774"/>
      <c r="S20" s="775"/>
      <c r="T20" s="774"/>
      <c r="U20" s="775"/>
      <c r="V20" s="774"/>
      <c r="W20" s="775"/>
      <c r="X20" s="1816"/>
      <c r="Y20" s="3218"/>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6"/>
      <c r="Q22" s="1813"/>
      <c r="R22" s="774"/>
      <c r="S22" s="775"/>
      <c r="T22" s="774"/>
      <c r="U22" s="775"/>
      <c r="V22" s="774"/>
      <c r="W22" s="775"/>
      <c r="X22" s="1816"/>
      <c r="Y22" s="3218"/>
      <c r="Z22" s="1817"/>
      <c r="AA22" s="1814">
        <v>1</v>
      </c>
      <c r="AB22" s="1814">
        <v>1</v>
      </c>
      <c r="AC22" s="1814">
        <v>1</v>
      </c>
    </row>
    <row r="23" spans="1:29" ht="57">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6"/>
      <c r="Q24" s="1813"/>
      <c r="R24" s="774"/>
      <c r="S24" s="775"/>
      <c r="T24" s="774"/>
      <c r="U24" s="775"/>
      <c r="V24" s="774"/>
      <c r="W24" s="775"/>
      <c r="X24" s="1816"/>
      <c r="Y24" s="3218"/>
      <c r="Z24" s="1817"/>
      <c r="AA24" s="1814">
        <v>1</v>
      </c>
      <c r="AB24" s="1814">
        <v>1</v>
      </c>
      <c r="AC24" s="1814">
        <v>1</v>
      </c>
    </row>
    <row r="25" spans="1:29" ht="15">
      <c r="A25" s="428"/>
      <c r="B25" s="422" t="s">
        <v>2565</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2567</v>
      </c>
      <c r="B32" s="71" t="s">
        <v>2568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9" t="s">
        <v>2569</v>
      </c>
      <c r="Q32" s="1813" t="str">
        <f t="shared" si="11"/>
        <v>建筑类型</v>
      </c>
      <c r="R32" s="774" t="s">
        <v>21</v>
      </c>
      <c r="S32" s="775">
        <f t="shared" si="12"/>
        <v>100</v>
      </c>
      <c r="T32" s="774" t="s">
        <v>21</v>
      </c>
      <c r="U32" s="775">
        <f t="shared" si="13"/>
        <v>100</v>
      </c>
      <c r="V32" s="774" t="s">
        <v>21</v>
      </c>
      <c r="W32" s="775">
        <f t="shared" si="14"/>
        <v>100</v>
      </c>
      <c r="X32" s="1816"/>
      <c r="Y32" s="3222"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4" t="e">
        <f t="shared" si="15"/>
        <v>#N/A</v>
      </c>
      <c r="AB33" s="1814" t="e">
        <f t="shared" si="16"/>
        <v>#N/A</v>
      </c>
      <c r="AC33" s="1814" t="e">
        <f t="shared" si="17"/>
        <v>#N/A</v>
      </c>
    </row>
    <row r="34" spans="1:29" ht="15">
      <c r="A34" s="472"/>
      <c r="B34" s="422" t="s">
        <v>2571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20"/>
      <c r="Q34" s="1813" t="str">
        <f t="shared" si="11"/>
        <v>建筑结构</v>
      </c>
      <c r="R34" s="774" t="s">
        <v>21</v>
      </c>
      <c r="S34" s="775">
        <f t="shared" si="12"/>
        <v>100</v>
      </c>
      <c r="T34" s="774" t="s">
        <v>21</v>
      </c>
      <c r="U34" s="775">
        <f t="shared" si="13"/>
        <v>100</v>
      </c>
      <c r="V34" s="774" t="s">
        <v>21</v>
      </c>
      <c r="W34" s="775">
        <f t="shared" si="14"/>
        <v>100</v>
      </c>
      <c r="X34" s="1816"/>
      <c r="Y34" s="3222"/>
      <c r="Z34" s="1817" t="str">
        <f t="shared" si="18"/>
        <v>建筑结构</v>
      </c>
      <c r="AA34" s="1814">
        <f t="shared" si="15"/>
        <v>1</v>
      </c>
      <c r="AB34" s="1814">
        <f t="shared" si="16"/>
        <v>1</v>
      </c>
      <c r="AC34" s="1814">
        <f t="shared" si="17"/>
        <v>1</v>
      </c>
    </row>
    <row r="35" spans="1:29" ht="15">
      <c r="A35" s="472"/>
      <c r="B35" s="422" t="s">
        <v>2572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20"/>
      <c r="Q35" s="1813" t="str">
        <f t="shared" si="11"/>
        <v>建筑品质</v>
      </c>
      <c r="R35" s="774" t="s">
        <v>21</v>
      </c>
      <c r="S35" s="775">
        <f t="shared" si="12"/>
        <v>100</v>
      </c>
      <c r="T35" s="774" t="s">
        <v>21</v>
      </c>
      <c r="U35" s="775">
        <f t="shared" si="13"/>
        <v>100</v>
      </c>
      <c r="V35" s="774" t="s">
        <v>21</v>
      </c>
      <c r="W35" s="775">
        <f t="shared" si="14"/>
        <v>100</v>
      </c>
      <c r="X35" s="1816"/>
      <c r="Y35" s="3222"/>
      <c r="Z35" s="1817" t="str">
        <f t="shared" si="18"/>
        <v>建筑品质</v>
      </c>
      <c r="AA35" s="1814">
        <f t="shared" si="15"/>
        <v>1</v>
      </c>
      <c r="AB35" s="1814">
        <f t="shared" si="16"/>
        <v>1</v>
      </c>
      <c r="AC35" s="1814">
        <f t="shared" si="17"/>
        <v>1</v>
      </c>
    </row>
    <row r="36" spans="1:29" ht="15">
      <c r="A36" s="472"/>
      <c r="B36" s="422" t="s">
        <v>2573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20"/>
      <c r="Q36" s="1813" t="str">
        <f t="shared" si="11"/>
        <v>公共部分装修</v>
      </c>
      <c r="R36" s="774" t="s">
        <v>21</v>
      </c>
      <c r="S36" s="775">
        <f t="shared" si="12"/>
        <v>100</v>
      </c>
      <c r="T36" s="774" t="s">
        <v>21</v>
      </c>
      <c r="U36" s="775">
        <f t="shared" si="13"/>
        <v>100</v>
      </c>
      <c r="V36" s="774" t="s">
        <v>21</v>
      </c>
      <c r="W36" s="775">
        <f t="shared" si="14"/>
        <v>100</v>
      </c>
      <c r="X36" s="1816"/>
      <c r="Y36" s="3222"/>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8"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2575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20" t="s">
        <v>2569</v>
      </c>
      <c r="Q38" s="1813" t="str">
        <f t="shared" si="11"/>
        <v>物业管理</v>
      </c>
      <c r="R38" s="774" t="s">
        <v>21</v>
      </c>
      <c r="S38" s="775">
        <f t="shared" si="12"/>
        <v>100</v>
      </c>
      <c r="T38" s="774" t="s">
        <v>21</v>
      </c>
      <c r="U38" s="775">
        <f t="shared" si="13"/>
        <v>100</v>
      </c>
      <c r="V38" s="774" t="s">
        <v>21</v>
      </c>
      <c r="W38" s="775">
        <f t="shared" si="14"/>
        <v>100</v>
      </c>
      <c r="X38" s="1816"/>
      <c r="Y38" s="3222" t="s">
        <v>2569</v>
      </c>
      <c r="Z38" s="1817" t="str">
        <f t="shared" si="18"/>
        <v>物业管理</v>
      </c>
      <c r="AA38" s="1814">
        <f t="shared" si="15"/>
        <v>1</v>
      </c>
      <c r="AB38" s="1814">
        <f t="shared" si="16"/>
        <v>1</v>
      </c>
      <c r="AC38" s="1814">
        <f t="shared" si="17"/>
        <v>1</v>
      </c>
    </row>
    <row r="39" spans="1:29" ht="15">
      <c r="A39" s="472"/>
      <c r="B39" s="422" t="s">
        <v>2576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20"/>
      <c r="Q39" s="1813" t="str">
        <f t="shared" si="11"/>
        <v>市政基础设施</v>
      </c>
      <c r="R39" s="774" t="s">
        <v>21</v>
      </c>
      <c r="S39" s="775">
        <f t="shared" si="12"/>
        <v>100</v>
      </c>
      <c r="T39" s="774" t="s">
        <v>21</v>
      </c>
      <c r="U39" s="775">
        <f t="shared" si="13"/>
        <v>100</v>
      </c>
      <c r="V39" s="774" t="s">
        <v>21</v>
      </c>
      <c r="W39" s="775">
        <f t="shared" si="14"/>
        <v>100</v>
      </c>
      <c r="X39" s="1816"/>
      <c r="Y39" s="3222"/>
      <c r="Z39" s="1817" t="str">
        <f t="shared" si="18"/>
        <v>市政基础设施</v>
      </c>
      <c r="AA39" s="1814">
        <f t="shared" si="15"/>
        <v>1</v>
      </c>
      <c r="AB39" s="1814">
        <f t="shared" si="16"/>
        <v>1</v>
      </c>
      <c r="AC39" s="1814">
        <f t="shared" si="17"/>
        <v>1</v>
      </c>
    </row>
    <row r="40" spans="1:29" ht="15">
      <c r="A40" s="472"/>
      <c r="B40" s="422" t="s">
        <v>2577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20"/>
      <c r="Q40" s="1813" t="str">
        <f t="shared" si="11"/>
        <v>房型</v>
      </c>
      <c r="R40" s="774" t="s">
        <v>21</v>
      </c>
      <c r="S40" s="775">
        <f t="shared" si="12"/>
        <v>100</v>
      </c>
      <c r="T40" s="774" t="s">
        <v>21</v>
      </c>
      <c r="U40" s="775">
        <f t="shared" si="13"/>
        <v>100</v>
      </c>
      <c r="V40" s="774" t="s">
        <v>21</v>
      </c>
      <c r="W40" s="775">
        <f t="shared" si="14"/>
        <v>100</v>
      </c>
      <c r="X40" s="1816"/>
      <c r="Y40" s="3222"/>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4">
        <f t="shared" si="15"/>
        <v>1</v>
      </c>
      <c r="AB41" s="1814">
        <f t="shared" si="16"/>
        <v>1</v>
      </c>
      <c r="AC41" s="1814">
        <f t="shared" si="17"/>
        <v>1</v>
      </c>
    </row>
    <row r="42" spans="1:29" ht="15">
      <c r="A42" s="472"/>
      <c r="B42" s="422" t="s">
        <v>2579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20"/>
      <c r="Q42" s="1813" t="str">
        <f t="shared" si="11"/>
        <v>内部装修</v>
      </c>
      <c r="R42" s="774" t="s">
        <v>21</v>
      </c>
      <c r="S42" s="775">
        <f t="shared" si="12"/>
        <v>100</v>
      </c>
      <c r="T42" s="774" t="s">
        <v>21</v>
      </c>
      <c r="U42" s="775">
        <f t="shared" si="13"/>
        <v>100</v>
      </c>
      <c r="V42" s="774" t="s">
        <v>21</v>
      </c>
      <c r="W42" s="775">
        <f t="shared" si="14"/>
        <v>100</v>
      </c>
      <c r="X42" s="1816"/>
      <c r="Y42" s="3222"/>
      <c r="Z42" s="1817" t="str">
        <f t="shared" si="18"/>
        <v>内部装修</v>
      </c>
      <c r="AA42" s="1814">
        <f t="shared" si="15"/>
        <v>1</v>
      </c>
      <c r="AB42" s="1814">
        <f t="shared" si="16"/>
        <v>1</v>
      </c>
      <c r="AC42" s="1814">
        <f t="shared" si="17"/>
        <v>1</v>
      </c>
    </row>
    <row r="43" spans="1:29" ht="15">
      <c r="A43" s="472"/>
      <c r="B43" s="422" t="s">
        <v>2580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20"/>
      <c r="Q43" s="1813" t="str">
        <f t="shared" si="11"/>
        <v>内部装修维护情况</v>
      </c>
      <c r="R43" s="774" t="s">
        <v>21</v>
      </c>
      <c r="S43" s="775">
        <f t="shared" si="12"/>
        <v>100</v>
      </c>
      <c r="T43" s="774" t="s">
        <v>21</v>
      </c>
      <c r="U43" s="775">
        <f t="shared" si="13"/>
        <v>100</v>
      </c>
      <c r="V43" s="774" t="s">
        <v>21</v>
      </c>
      <c r="W43" s="775">
        <f t="shared" si="14"/>
        <v>100</v>
      </c>
      <c r="X43" s="1816"/>
      <c r="Y43" s="322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20"/>
      <c r="Q44" s="1798">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20"/>
      <c r="Q45" s="1813">
        <f t="shared" si="11"/>
        <v>111</v>
      </c>
      <c r="R45" s="774" t="s">
        <v>21</v>
      </c>
      <c r="S45" s="775">
        <f t="shared" si="12"/>
        <v>100</v>
      </c>
      <c r="T45" s="774" t="s">
        <v>21</v>
      </c>
      <c r="U45" s="775">
        <f t="shared" si="13"/>
        <v>100</v>
      </c>
      <c r="V45" s="774" t="s">
        <v>21</v>
      </c>
      <c r="W45" s="775">
        <f t="shared" si="14"/>
        <v>100</v>
      </c>
      <c r="X45" s="1816"/>
      <c r="Y45" s="3222"/>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21"/>
      <c r="Q46" s="1813">
        <f t="shared" si="11"/>
        <v>111</v>
      </c>
      <c r="R46" s="774" t="s">
        <v>20</v>
      </c>
      <c r="S46" s="775">
        <f t="shared" si="12"/>
        <v>100</v>
      </c>
      <c r="T46" s="774" t="s">
        <v>20</v>
      </c>
      <c r="U46" s="775">
        <f t="shared" si="13"/>
        <v>100</v>
      </c>
      <c r="V46" s="774" t="s">
        <v>20</v>
      </c>
      <c r="W46" s="775">
        <f t="shared" si="14"/>
        <v>100</v>
      </c>
      <c r="X46" s="1816"/>
      <c r="Y46" s="3223"/>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5"/>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6"/>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27"/>
      <c r="L49" s="1146"/>
      <c r="M49" s="1147"/>
      <c r="N49" s="1147"/>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0"/>
      <c r="Q57" s="504"/>
    </row>
    <row r="58" spans="1:29" s="508" customFormat="1" ht="15">
      <c r="A58" s="505" t="s">
        <v>2588</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2590</v>
      </c>
      <c r="B61" s="510"/>
      <c r="C61" s="522" t="s">
        <v>2591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2615</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2567</v>
      </c>
      <c r="B100" s="528" t="s">
        <v>2616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2619</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2620</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2623</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2626</v>
      </c>
    </row>
    <row r="137" spans="1:17" ht="15">
      <c r="B137" s="2642" t="s">
        <v>2627</v>
      </c>
      <c r="C137" s="2643"/>
      <c r="D137" s="2643"/>
      <c r="E137" s="2643"/>
      <c r="F137" s="2643"/>
      <c r="G137" s="2644"/>
      <c r="H137" s="2645"/>
      <c r="I137" s="2646" t="s">
        <v>2628</v>
      </c>
      <c r="J137" s="2643"/>
      <c r="K137" s="2647"/>
    </row>
    <row r="138" spans="1:17" ht="15">
      <c r="B138" s="2648"/>
      <c r="C138" s="146" t="s">
        <v>2629</v>
      </c>
      <c r="D138" s="146" t="s">
        <v>2630</v>
      </c>
      <c r="E138" s="2649" t="s">
        <v>2631</v>
      </c>
      <c r="F138" s="2650" t="s">
        <v>2632</v>
      </c>
      <c r="G138" s="146" t="s">
        <v>2630</v>
      </c>
      <c r="H138" s="147" t="s">
        <v>2631</v>
      </c>
      <c r="I138" s="2651"/>
      <c r="J138" s="146" t="s">
        <v>2633</v>
      </c>
      <c r="K138" s="147" t="s">
        <v>2634</v>
      </c>
    </row>
    <row r="139" spans="1:17" ht="15">
      <c r="B139" s="1087">
        <v>6</v>
      </c>
      <c r="C139" s="1088">
        <v>96</v>
      </c>
      <c r="D139" s="2652" t="s">
        <v>2635</v>
      </c>
      <c r="E139" s="1089">
        <v>100</v>
      </c>
      <c r="F139" s="1090">
        <v>102.5</v>
      </c>
      <c r="G139" s="2652" t="s">
        <v>2635</v>
      </c>
      <c r="H139" s="1091">
        <v>105</v>
      </c>
      <c r="I139" s="2653" t="s">
        <v>2636</v>
      </c>
      <c r="J139" s="1088">
        <v>20</v>
      </c>
      <c r="K139" s="1092">
        <f>C145/(J139-2)</f>
        <v>4.0555555555555553E-3</v>
      </c>
    </row>
    <row r="140" spans="1:17" ht="15">
      <c r="B140" s="1093">
        <v>5</v>
      </c>
      <c r="C140" s="1094">
        <v>100</v>
      </c>
      <c r="D140" s="1094"/>
      <c r="E140" s="1095"/>
      <c r="F140" s="1096">
        <v>102</v>
      </c>
      <c r="G140" s="1094"/>
      <c r="H140" s="1097"/>
      <c r="I140" s="2654" t="s">
        <v>2637</v>
      </c>
      <c r="J140" s="315">
        <f>ROUNDUP((J139-1)/2,0)</f>
        <v>10</v>
      </c>
      <c r="K140" s="1098">
        <v>100</v>
      </c>
    </row>
    <row r="141" spans="1:17" ht="15">
      <c r="B141" s="1093">
        <v>4</v>
      </c>
      <c r="C141" s="1094">
        <v>102</v>
      </c>
      <c r="D141" s="1094"/>
      <c r="E141" s="1095"/>
      <c r="F141" s="1096">
        <v>101.5</v>
      </c>
      <c r="G141" s="1094"/>
      <c r="H141" s="1097"/>
      <c r="I141" s="2654" t="s">
        <v>2638</v>
      </c>
      <c r="J141" s="315">
        <v>1</v>
      </c>
      <c r="K141" s="1099">
        <f>ROUND(100+(J141-J140)*K139*100,1)</f>
        <v>96.4</v>
      </c>
    </row>
    <row r="142" spans="1:17" ht="15">
      <c r="B142" s="1093">
        <v>3</v>
      </c>
      <c r="C142" s="1094">
        <v>103</v>
      </c>
      <c r="D142" s="1094"/>
      <c r="E142" s="1095"/>
      <c r="F142" s="1096">
        <v>101</v>
      </c>
      <c r="G142" s="1094"/>
      <c r="H142" s="1097"/>
      <c r="I142" s="2654" t="s">
        <v>2639</v>
      </c>
      <c r="J142" s="315">
        <f>J139</f>
        <v>20</v>
      </c>
      <c r="K142" s="1100">
        <v>95</v>
      </c>
    </row>
    <row r="143" spans="1:17" ht="15">
      <c r="B143" s="1093">
        <v>2</v>
      </c>
      <c r="C143" s="1094">
        <v>100</v>
      </c>
      <c r="D143" s="1094"/>
      <c r="E143" s="1095"/>
      <c r="F143" s="1096">
        <v>100.5</v>
      </c>
      <c r="G143" s="1094"/>
      <c r="H143" s="1097"/>
      <c r="I143" s="2654" t="s">
        <v>2640</v>
      </c>
      <c r="J143" s="1094">
        <v>15</v>
      </c>
      <c r="K143" s="1099">
        <f>ROUND(100+(J143-J140)*K139*100,1)</f>
        <v>102</v>
      </c>
    </row>
    <row r="144" spans="1:17" ht="15">
      <c r="B144" s="1093">
        <v>1</v>
      </c>
      <c r="C144" s="1094">
        <v>98</v>
      </c>
      <c r="D144" s="2655" t="s">
        <v>2641</v>
      </c>
      <c r="E144" s="1095">
        <v>102</v>
      </c>
      <c r="F144" s="1101">
        <v>100</v>
      </c>
      <c r="G144" s="2655" t="s">
        <v>2641</v>
      </c>
      <c r="H144" s="1097">
        <v>105</v>
      </c>
      <c r="I144" s="2654" t="s">
        <v>2640</v>
      </c>
      <c r="J144" s="1094">
        <v>18</v>
      </c>
      <c r="K144" s="1099">
        <f>ROUND(100+(J144-J140)*K139*100,1)</f>
        <v>103.2</v>
      </c>
    </row>
    <row r="145" spans="2:11" ht="15.75" thickBot="1">
      <c r="B145" s="2656" t="s">
        <v>2642</v>
      </c>
      <c r="C145" s="1102">
        <f>ROUND(MAX(C139:C144)/MIN(C139:C144)-1,3)</f>
        <v>7.2999999999999995E-2</v>
      </c>
      <c r="D145" s="1103"/>
      <c r="E145" s="1103"/>
      <c r="F145" s="2657" t="s">
        <v>2643</v>
      </c>
      <c r="G145" s="2658"/>
      <c r="H145" s="2659"/>
      <c r="I145" s="2660" t="s">
        <v>2640</v>
      </c>
      <c r="J145" s="1104">
        <v>8</v>
      </c>
      <c r="K145" s="1105">
        <f>ROUND(100+(J145-J140)*K139*100,1)</f>
        <v>99.2</v>
      </c>
    </row>
    <row r="147" spans="2:11">
      <c r="B147" s="2641" t="s">
        <v>2644</v>
      </c>
    </row>
    <row r="148" spans="2:11">
      <c r="B148" s="2641"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2646</v>
      </c>
      <c r="C1" s="1637" t="s">
        <v>2534</v>
      </c>
      <c r="D1" s="1624"/>
      <c r="E1" s="2661"/>
      <c r="F1" s="2588"/>
      <c r="G1" s="1634" t="s">
        <v>2647</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2331</v>
      </c>
      <c r="B2" s="1421" t="e">
        <f ca="1">IF(C2="——",ROUND(C49*D3/10000,0),ROUND(C49*D3/10000,0)-D2)</f>
        <v>#DIV/0!</v>
      </c>
      <c r="C2" s="2590"/>
      <c r="D2" s="1368" t="e">
        <f ca="1">SUMIF(INDIRECT("'"&amp;F2&amp;"'"&amp;"!A:A"),"承租人权益价值",INDIRECT("'"&amp;F2&amp;"'"&amp;"!c:c"))</f>
        <v>#REF!</v>
      </c>
      <c r="E2" s="2591" t="s">
        <v>2332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2333</v>
      </c>
      <c r="B3" s="609" t="e">
        <f ca="1">IF(C2="——",C49,ROUND(B2*10000/D3,0))</f>
        <v>#DIV/0!</v>
      </c>
      <c r="C3" s="400" t="s">
        <v>2648</v>
      </c>
      <c r="D3" s="399">
        <f>IF(D1="",'数据-汇总表'!E3,SUMIF('数据-汇总表'!$C19:$C33,D1,'数据-汇总表'!$E19:$E33))</f>
        <v>40878.99</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212"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212"/>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212"/>
      <c r="AC6" s="3179"/>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71.25">
      <c r="A15" s="440" t="s">
        <v>2563</v>
      </c>
      <c r="B15" s="69" t="s">
        <v>2657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2564</v>
      </c>
      <c r="Q15" s="1813" t="str">
        <f t="shared" si="6"/>
        <v>商业繁华度</v>
      </c>
      <c r="R15" s="774" t="s">
        <v>17</v>
      </c>
      <c r="S15" s="775">
        <f t="shared" si="0"/>
        <v>100</v>
      </c>
      <c r="T15" s="774" t="s">
        <v>17</v>
      </c>
      <c r="U15" s="775">
        <f t="shared" si="1"/>
        <v>100</v>
      </c>
      <c r="V15" s="774" t="s">
        <v>17</v>
      </c>
      <c r="W15" s="775">
        <f t="shared" si="2"/>
        <v>100</v>
      </c>
      <c r="X15" s="1816"/>
      <c r="Y15" s="3217"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6"/>
      <c r="Q18" s="1813"/>
      <c r="R18" s="774"/>
      <c r="S18" s="775"/>
      <c r="T18" s="774"/>
      <c r="U18" s="775"/>
      <c r="V18" s="774"/>
      <c r="W18" s="775"/>
      <c r="X18" s="1816"/>
      <c r="Y18" s="3218"/>
      <c r="Z18" s="1817"/>
      <c r="AA18" s="1814">
        <v>1</v>
      </c>
      <c r="AB18" s="1814">
        <v>1</v>
      </c>
      <c r="AC18" s="1814">
        <v>1</v>
      </c>
    </row>
    <row r="19" spans="1:29" ht="42.75">
      <c r="A19" s="428"/>
      <c r="B19" s="451" t="s">
        <v>2658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6"/>
      <c r="Q20" s="1813"/>
      <c r="R20" s="774"/>
      <c r="S20" s="775"/>
      <c r="T20" s="774"/>
      <c r="U20" s="775"/>
      <c r="V20" s="774"/>
      <c r="W20" s="775"/>
      <c r="X20" s="1816"/>
      <c r="Y20" s="3218"/>
      <c r="Z20" s="1817"/>
      <c r="AA20" s="1814">
        <v>1</v>
      </c>
      <c r="AB20" s="1814">
        <v>1</v>
      </c>
      <c r="AC20" s="1814">
        <v>1</v>
      </c>
    </row>
    <row r="21" spans="1:29" ht="28.5">
      <c r="A21" s="428"/>
      <c r="B21" s="1387" t="s">
        <v>2659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6"/>
      <c r="Q22" s="1813"/>
      <c r="R22" s="774"/>
      <c r="S22" s="775"/>
      <c r="T22" s="774"/>
      <c r="U22" s="775"/>
      <c r="V22" s="774"/>
      <c r="W22" s="775"/>
      <c r="X22" s="1816"/>
      <c r="Y22" s="3218"/>
      <c r="Z22" s="1817"/>
      <c r="AA22" s="1814">
        <v>1</v>
      </c>
      <c r="AB22" s="1814">
        <v>1</v>
      </c>
      <c r="AC22" s="1814">
        <v>1</v>
      </c>
    </row>
    <row r="23" spans="1:29" ht="57">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6"/>
      <c r="Q24" s="1813"/>
      <c r="R24" s="774"/>
      <c r="S24" s="775"/>
      <c r="T24" s="774"/>
      <c r="U24" s="775"/>
      <c r="V24" s="774"/>
      <c r="W24" s="775"/>
      <c r="X24" s="1816"/>
      <c r="Y24" s="3218"/>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2662</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2567</v>
      </c>
      <c r="B32" s="71" t="s">
        <v>2664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9" t="s">
        <v>2569</v>
      </c>
      <c r="Q32" s="1813" t="str">
        <f t="shared" si="11"/>
        <v>商业类型</v>
      </c>
      <c r="R32" s="774" t="s">
        <v>17</v>
      </c>
      <c r="S32" s="775">
        <f t="shared" si="12"/>
        <v>100</v>
      </c>
      <c r="T32" s="774" t="s">
        <v>17</v>
      </c>
      <c r="U32" s="775">
        <f t="shared" si="13"/>
        <v>100</v>
      </c>
      <c r="V32" s="774" t="s">
        <v>17</v>
      </c>
      <c r="W32" s="775">
        <f t="shared" si="14"/>
        <v>100</v>
      </c>
      <c r="X32" s="1816"/>
      <c r="Y32" s="3222"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4" t="e">
        <f t="shared" si="3"/>
        <v>#N/A</v>
      </c>
      <c r="AB33" s="1814" t="e">
        <f t="shared" si="4"/>
        <v>#N/A</v>
      </c>
      <c r="AC33" s="1814" t="e">
        <f t="shared" si="5"/>
        <v>#N/A</v>
      </c>
    </row>
    <row r="34" spans="1:29" ht="15">
      <c r="A34" s="472"/>
      <c r="B34" s="422" t="s">
        <v>2571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20"/>
      <c r="Q34" s="1813" t="str">
        <f t="shared" si="11"/>
        <v>建筑结构</v>
      </c>
      <c r="R34" s="774" t="s">
        <v>17</v>
      </c>
      <c r="S34" s="775">
        <f t="shared" si="12"/>
        <v>100</v>
      </c>
      <c r="T34" s="774" t="s">
        <v>17</v>
      </c>
      <c r="U34" s="775">
        <f t="shared" si="13"/>
        <v>100</v>
      </c>
      <c r="V34" s="774" t="s">
        <v>17</v>
      </c>
      <c r="W34" s="775">
        <f t="shared" si="14"/>
        <v>100</v>
      </c>
      <c r="X34" s="1816"/>
      <c r="Y34" s="3222"/>
      <c r="Z34" s="1817" t="str">
        <f t="shared" si="15"/>
        <v>建筑结构</v>
      </c>
      <c r="AA34" s="1814">
        <f t="shared" si="3"/>
        <v>1</v>
      </c>
      <c r="AB34" s="1814">
        <f t="shared" si="4"/>
        <v>1</v>
      </c>
      <c r="AC34" s="1814">
        <f t="shared" si="5"/>
        <v>1</v>
      </c>
    </row>
    <row r="35" spans="1:29" ht="15">
      <c r="A35" s="472"/>
      <c r="B35" s="422" t="s">
        <v>2665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20"/>
      <c r="Q35" s="1813" t="str">
        <f t="shared" si="11"/>
        <v>公共部分装修</v>
      </c>
      <c r="R35" s="774" t="s">
        <v>17</v>
      </c>
      <c r="S35" s="775">
        <f t="shared" si="12"/>
        <v>100</v>
      </c>
      <c r="T35" s="774" t="s">
        <v>17</v>
      </c>
      <c r="U35" s="775">
        <f t="shared" si="13"/>
        <v>100</v>
      </c>
      <c r="V35" s="774" t="s">
        <v>17</v>
      </c>
      <c r="W35" s="775">
        <f t="shared" si="14"/>
        <v>100</v>
      </c>
      <c r="X35" s="1816"/>
      <c r="Y35" s="3222"/>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3" t="str">
        <f t="shared" si="11"/>
        <v>成新度</v>
      </c>
      <c r="R36" s="774" t="s">
        <v>17</v>
      </c>
      <c r="S36" s="775" t="e">
        <f t="shared" si="12"/>
        <v>#N/A</v>
      </c>
      <c r="T36" s="774" t="s">
        <v>17</v>
      </c>
      <c r="U36" s="775" t="e">
        <f t="shared" si="13"/>
        <v>#N/A</v>
      </c>
      <c r="V36" s="774" t="s">
        <v>17</v>
      </c>
      <c r="W36" s="775" t="e">
        <f t="shared" si="14"/>
        <v>#N/A</v>
      </c>
      <c r="X36" s="1816"/>
      <c r="Y36" s="3222"/>
      <c r="Z36" s="1817" t="str">
        <f t="shared" si="15"/>
        <v>成新度</v>
      </c>
      <c r="AA36" s="1814" t="e">
        <f t="shared" si="3"/>
        <v>#N/A</v>
      </c>
      <c r="AB36" s="1814" t="e">
        <f t="shared" si="4"/>
        <v>#N/A</v>
      </c>
      <c r="AC36" s="1814" t="e">
        <f t="shared" si="5"/>
        <v>#N/A</v>
      </c>
    </row>
    <row r="37" spans="1:29" s="117" customFormat="1" ht="15">
      <c r="A37" s="473"/>
      <c r="B37" s="422" t="s">
        <v>2667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20"/>
      <c r="Q37" s="1798"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2668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20" t="s">
        <v>2569</v>
      </c>
      <c r="Q38" s="1813" t="str">
        <f t="shared" si="11"/>
        <v>业态</v>
      </c>
      <c r="R38" s="774" t="s">
        <v>17</v>
      </c>
      <c r="S38" s="775">
        <f t="shared" si="12"/>
        <v>100</v>
      </c>
      <c r="T38" s="774" t="s">
        <v>17</v>
      </c>
      <c r="U38" s="775">
        <f t="shared" si="13"/>
        <v>100</v>
      </c>
      <c r="V38" s="774" t="s">
        <v>17</v>
      </c>
      <c r="W38" s="775">
        <f t="shared" si="14"/>
        <v>100</v>
      </c>
      <c r="X38" s="1816"/>
      <c r="Y38" s="3222" t="s">
        <v>2569</v>
      </c>
      <c r="Z38" s="1817" t="str">
        <f t="shared" si="15"/>
        <v>业态</v>
      </c>
      <c r="AA38" s="1814">
        <f t="shared" si="3"/>
        <v>1</v>
      </c>
      <c r="AB38" s="1814">
        <f t="shared" si="4"/>
        <v>1</v>
      </c>
      <c r="AC38" s="1814">
        <f t="shared" si="5"/>
        <v>1</v>
      </c>
    </row>
    <row r="39" spans="1:29" ht="15">
      <c r="A39" s="472"/>
      <c r="B39" s="422" t="s">
        <v>2669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20"/>
      <c r="Q39" s="1813" t="str">
        <f t="shared" si="11"/>
        <v>层高</v>
      </c>
      <c r="R39" s="774" t="s">
        <v>17</v>
      </c>
      <c r="S39" s="775">
        <f t="shared" si="12"/>
        <v>100</v>
      </c>
      <c r="T39" s="774" t="s">
        <v>17</v>
      </c>
      <c r="U39" s="775">
        <f t="shared" si="13"/>
        <v>100</v>
      </c>
      <c r="V39" s="774" t="s">
        <v>17</v>
      </c>
      <c r="W39" s="775">
        <f t="shared" si="14"/>
        <v>100</v>
      </c>
      <c r="X39" s="1816"/>
      <c r="Y39" s="3222"/>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3" t="str">
        <f t="shared" si="11"/>
        <v>单套建筑面积</v>
      </c>
      <c r="R40" s="774" t="s">
        <v>17</v>
      </c>
      <c r="S40" s="775">
        <f t="shared" si="12"/>
        <v>100</v>
      </c>
      <c r="T40" s="774" t="s">
        <v>17</v>
      </c>
      <c r="U40" s="775">
        <f t="shared" si="13"/>
        <v>100</v>
      </c>
      <c r="V40" s="774" t="s">
        <v>17</v>
      </c>
      <c r="W40" s="775">
        <f t="shared" si="14"/>
        <v>100</v>
      </c>
      <c r="X40" s="1816"/>
      <c r="Y40" s="3222"/>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4">
        <f t="shared" si="3"/>
        <v>1</v>
      </c>
      <c r="AB41" s="1814">
        <f t="shared" si="4"/>
        <v>1</v>
      </c>
      <c r="AC41" s="1814">
        <f t="shared" si="5"/>
        <v>1</v>
      </c>
    </row>
    <row r="42" spans="1:29" ht="15">
      <c r="A42" s="472"/>
      <c r="B42" s="422" t="s">
        <v>2672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20"/>
      <c r="Q42" s="1813" t="str">
        <f t="shared" si="11"/>
        <v>内部装修</v>
      </c>
      <c r="R42" s="774" t="s">
        <v>17</v>
      </c>
      <c r="S42" s="775">
        <f t="shared" si="12"/>
        <v>100</v>
      </c>
      <c r="T42" s="774" t="s">
        <v>17</v>
      </c>
      <c r="U42" s="775">
        <f t="shared" si="13"/>
        <v>100</v>
      </c>
      <c r="V42" s="774" t="s">
        <v>17</v>
      </c>
      <c r="W42" s="775">
        <f t="shared" si="14"/>
        <v>100</v>
      </c>
      <c r="X42" s="1816"/>
      <c r="Y42" s="3222"/>
      <c r="Z42" s="1817" t="str">
        <f t="shared" si="15"/>
        <v>内部装修</v>
      </c>
      <c r="AA42" s="1814">
        <f t="shared" si="3"/>
        <v>1</v>
      </c>
      <c r="AB42" s="1814">
        <f t="shared" si="4"/>
        <v>1</v>
      </c>
      <c r="AC42" s="1814">
        <f t="shared" si="5"/>
        <v>1</v>
      </c>
    </row>
    <row r="43" spans="1:29" ht="15">
      <c r="A43" s="472"/>
      <c r="B43" s="422" t="s">
        <v>2580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20"/>
      <c r="Q43" s="1813" t="str">
        <f t="shared" si="11"/>
        <v>内部装修维护情况</v>
      </c>
      <c r="R43" s="774" t="s">
        <v>17</v>
      </c>
      <c r="S43" s="775">
        <f t="shared" si="12"/>
        <v>100</v>
      </c>
      <c r="T43" s="774" t="s">
        <v>17</v>
      </c>
      <c r="U43" s="775">
        <f t="shared" si="13"/>
        <v>100</v>
      </c>
      <c r="V43" s="774" t="s">
        <v>17</v>
      </c>
      <c r="W43" s="775">
        <f t="shared" si="14"/>
        <v>100</v>
      </c>
      <c r="X43" s="1816"/>
      <c r="Y43" s="322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8">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3">
        <f t="shared" si="11"/>
        <v>111</v>
      </c>
      <c r="R45" s="774" t="s">
        <v>17</v>
      </c>
      <c r="S45" s="775">
        <f t="shared" si="12"/>
        <v>100</v>
      </c>
      <c r="T45" s="774" t="s">
        <v>17</v>
      </c>
      <c r="U45" s="775">
        <f t="shared" si="13"/>
        <v>100</v>
      </c>
      <c r="V45" s="774" t="s">
        <v>17</v>
      </c>
      <c r="W45" s="775">
        <f t="shared" si="14"/>
        <v>100</v>
      </c>
      <c r="X45" s="1816"/>
      <c r="Y45" s="3222"/>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224" t="str">
        <f>A47</f>
        <v>成交单价（元/平方米）</v>
      </c>
      <c r="Q47" s="3224"/>
      <c r="R47" s="3212">
        <f>E47</f>
        <v>0</v>
      </c>
      <c r="S47" s="3212"/>
      <c r="T47" s="3212">
        <f>G47</f>
        <v>0</v>
      </c>
      <c r="U47" s="3212"/>
      <c r="V47" s="3212">
        <f>I47</f>
        <v>0</v>
      </c>
      <c r="W47" s="3212"/>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2552</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2554</v>
      </c>
      <c r="B61" s="510"/>
      <c r="C61" s="522" t="s">
        <v>2656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2567</v>
      </c>
      <c r="B100" s="528" t="s">
        <v>2685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2620</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2688</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9" zoomScale="90" zoomScaleNormal="90" workbookViewId="0">
      <selection activeCell="G29" sqref="G2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3128</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20</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5.5</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03" t="s">
        <v>2655</v>
      </c>
      <c r="Q4" s="3204"/>
      <c r="R4" s="3182" t="s">
        <v>2651</v>
      </c>
      <c r="S4" s="3183"/>
      <c r="T4" s="3182" t="s">
        <v>2652</v>
      </c>
      <c r="U4" s="3183"/>
      <c r="V4" s="3211" t="s">
        <v>2653</v>
      </c>
      <c r="W4" s="3211"/>
      <c r="X4" s="2979"/>
      <c r="Y4" s="3182" t="s">
        <v>2655</v>
      </c>
      <c r="Z4" s="3183"/>
      <c r="AA4" s="3177" t="s">
        <v>2651</v>
      </c>
      <c r="AB4" s="3177" t="s">
        <v>2652</v>
      </c>
      <c r="AC4" s="3196" t="s">
        <v>2653</v>
      </c>
    </row>
    <row r="5" spans="1:29" ht="15">
      <c r="A5" s="404"/>
      <c r="B5" s="405"/>
      <c r="C5" s="3188" t="s">
        <v>2546</v>
      </c>
      <c r="D5" s="3189"/>
      <c r="E5" s="3186" t="s">
        <v>3098</v>
      </c>
      <c r="F5" s="3187"/>
      <c r="G5" s="3192" t="s">
        <v>3129</v>
      </c>
      <c r="H5" s="3189"/>
      <c r="I5" s="3192" t="s">
        <v>3100</v>
      </c>
      <c r="J5" s="3189"/>
      <c r="K5" s="610"/>
      <c r="L5" s="1133"/>
      <c r="M5" s="1134"/>
      <c r="N5" s="1134"/>
      <c r="O5" s="1134"/>
      <c r="P5" s="3205"/>
      <c r="Q5" s="3206"/>
      <c r="R5" s="3184"/>
      <c r="S5" s="3185"/>
      <c r="T5" s="3184"/>
      <c r="U5" s="3185"/>
      <c r="V5" s="3212"/>
      <c r="W5" s="3212"/>
      <c r="X5" s="2977"/>
      <c r="Y5" s="3184"/>
      <c r="Z5" s="3185"/>
      <c r="AA5" s="3178"/>
      <c r="AB5" s="3178"/>
      <c r="AC5" s="3197"/>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07"/>
      <c r="Q6" s="3208"/>
      <c r="R6" s="3184"/>
      <c r="S6" s="3185"/>
      <c r="T6" s="3209"/>
      <c r="U6" s="3210"/>
      <c r="V6" s="3212"/>
      <c r="W6" s="3212"/>
      <c r="X6" s="2977"/>
      <c r="Y6" s="3209"/>
      <c r="Z6" s="3210"/>
      <c r="AA6" s="3179"/>
      <c r="AB6" s="3179"/>
      <c r="AC6" s="3198"/>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3" t="s">
        <v>2553</v>
      </c>
      <c r="Q7" s="3214"/>
      <c r="R7" s="770" t="s">
        <v>17</v>
      </c>
      <c r="S7" s="771">
        <f t="shared" ref="S7:S15" si="0">F7</f>
        <v>100</v>
      </c>
      <c r="T7" s="770" t="s">
        <v>17</v>
      </c>
      <c r="U7" s="771">
        <f t="shared" ref="U7:U15" si="1">H7</f>
        <v>100</v>
      </c>
      <c r="V7" s="770" t="s">
        <v>17</v>
      </c>
      <c r="W7" s="771">
        <f t="shared" ref="W7:W15" si="2">J7</f>
        <v>100</v>
      </c>
      <c r="X7" s="772"/>
      <c r="Y7" s="3180" t="s">
        <v>2553</v>
      </c>
      <c r="Z7" s="3181"/>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3" t="s">
        <v>2556</v>
      </c>
      <c r="Q8" s="3181"/>
      <c r="R8" s="770" t="s">
        <v>17</v>
      </c>
      <c r="S8" s="771">
        <f t="shared" si="0"/>
        <v>100</v>
      </c>
      <c r="T8" s="770" t="s">
        <v>17</v>
      </c>
      <c r="U8" s="771">
        <f t="shared" si="1"/>
        <v>100</v>
      </c>
      <c r="V8" s="770" t="s">
        <v>17</v>
      </c>
      <c r="W8" s="771">
        <f t="shared" si="2"/>
        <v>100</v>
      </c>
      <c r="X8" s="772"/>
      <c r="Y8" s="3180" t="s">
        <v>2556</v>
      </c>
      <c r="Z8" s="3181"/>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5" t="s">
        <v>2559</v>
      </c>
      <c r="Q9" s="2957" t="str">
        <f t="shared" ref="Q9:Q15" si="6">B9</f>
        <v>用途</v>
      </c>
      <c r="R9" s="770" t="s">
        <v>17</v>
      </c>
      <c r="S9" s="771">
        <f t="shared" si="0"/>
        <v>100</v>
      </c>
      <c r="T9" s="770" t="s">
        <v>17</v>
      </c>
      <c r="U9" s="771">
        <f t="shared" si="1"/>
        <v>100</v>
      </c>
      <c r="V9" s="770" t="s">
        <v>17</v>
      </c>
      <c r="W9" s="771">
        <f t="shared" si="2"/>
        <v>100</v>
      </c>
      <c r="X9" s="772"/>
      <c r="Y9" s="3054" t="s">
        <v>2560</v>
      </c>
      <c r="Z9" s="2959" t="str">
        <f t="shared" ref="Z9:Z15" si="7">Q9</f>
        <v>用途</v>
      </c>
      <c r="AA9" s="773">
        <f t="shared" si="3"/>
        <v>1</v>
      </c>
      <c r="AB9" s="773">
        <f t="shared" si="4"/>
        <v>1</v>
      </c>
      <c r="AC9" s="2675">
        <f t="shared" si="5"/>
        <v>1</v>
      </c>
    </row>
    <row r="10" spans="1:29" s="427" customFormat="1" ht="27">
      <c r="A10" s="421"/>
      <c r="B10" s="2968"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95"/>
      <c r="Q10" s="2957" t="str">
        <f t="shared" si="6"/>
        <v>土地使用年限（年）</v>
      </c>
      <c r="R10" s="770" t="s">
        <v>17</v>
      </c>
      <c r="S10" s="771">
        <f t="shared" si="0"/>
        <v>100</v>
      </c>
      <c r="T10" s="770" t="s">
        <v>17</v>
      </c>
      <c r="U10" s="771">
        <f t="shared" si="1"/>
        <v>100</v>
      </c>
      <c r="V10" s="770" t="s">
        <v>17</v>
      </c>
      <c r="W10" s="771">
        <f t="shared" si="2"/>
        <v>100</v>
      </c>
      <c r="X10" s="772"/>
      <c r="Y10" s="3054"/>
      <c r="Z10" s="2959" t="str">
        <f t="shared" si="7"/>
        <v>土地使用年限（年）</v>
      </c>
      <c r="AA10" s="773">
        <f t="shared" si="3"/>
        <v>1</v>
      </c>
      <c r="AB10" s="773">
        <f t="shared" si="4"/>
        <v>1</v>
      </c>
      <c r="AC10" s="2675">
        <f t="shared" si="5"/>
        <v>1</v>
      </c>
    </row>
    <row r="11" spans="1:29" ht="15">
      <c r="A11" s="428"/>
      <c r="B11" s="2968"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5"/>
      <c r="Q11" s="2957" t="str">
        <f t="shared" si="6"/>
        <v>容积率</v>
      </c>
      <c r="R11" s="770" t="s">
        <v>17</v>
      </c>
      <c r="S11" s="771">
        <f t="shared" si="0"/>
        <v>100</v>
      </c>
      <c r="T11" s="770" t="s">
        <v>17</v>
      </c>
      <c r="U11" s="771">
        <f t="shared" si="1"/>
        <v>100</v>
      </c>
      <c r="V11" s="770" t="s">
        <v>17</v>
      </c>
      <c r="W11" s="771">
        <f t="shared" si="2"/>
        <v>100</v>
      </c>
      <c r="X11" s="772"/>
      <c r="Y11" s="3054"/>
      <c r="Z11" s="2959"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5"/>
      <c r="Q12" s="2957">
        <f t="shared" si="6"/>
        <v>111</v>
      </c>
      <c r="R12" s="770" t="s">
        <v>17</v>
      </c>
      <c r="S12" s="771">
        <f t="shared" si="0"/>
        <v>100</v>
      </c>
      <c r="T12" s="770" t="s">
        <v>17</v>
      </c>
      <c r="U12" s="771">
        <f t="shared" si="1"/>
        <v>100</v>
      </c>
      <c r="V12" s="770" t="s">
        <v>17</v>
      </c>
      <c r="W12" s="771">
        <f t="shared" si="2"/>
        <v>100</v>
      </c>
      <c r="X12" s="772"/>
      <c r="Y12" s="3054"/>
      <c r="Z12" s="2959">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5"/>
      <c r="Q13" s="2957">
        <f t="shared" si="6"/>
        <v>111</v>
      </c>
      <c r="R13" s="770" t="s">
        <v>17</v>
      </c>
      <c r="S13" s="771">
        <f t="shared" si="0"/>
        <v>100</v>
      </c>
      <c r="T13" s="770" t="s">
        <v>17</v>
      </c>
      <c r="U13" s="771">
        <f t="shared" si="1"/>
        <v>100</v>
      </c>
      <c r="V13" s="770" t="s">
        <v>17</v>
      </c>
      <c r="W13" s="771">
        <f t="shared" si="2"/>
        <v>100</v>
      </c>
      <c r="X13" s="772"/>
      <c r="Y13" s="3054"/>
      <c r="Z13" s="2959">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5"/>
      <c r="Q14" s="2957">
        <f t="shared" si="6"/>
        <v>111</v>
      </c>
      <c r="R14" s="770" t="s">
        <v>17</v>
      </c>
      <c r="S14" s="771">
        <f t="shared" si="0"/>
        <v>100</v>
      </c>
      <c r="T14" s="770" t="s">
        <v>17</v>
      </c>
      <c r="U14" s="771">
        <f t="shared" si="1"/>
        <v>100</v>
      </c>
      <c r="V14" s="770" t="s">
        <v>17</v>
      </c>
      <c r="W14" s="771">
        <f t="shared" si="2"/>
        <v>100</v>
      </c>
      <c r="X14" s="772"/>
      <c r="Y14" s="3054"/>
      <c r="Z14" s="2959">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5" t="s">
        <v>2564</v>
      </c>
      <c r="Q15" s="2975" t="str">
        <f t="shared" si="6"/>
        <v>办公集聚程度</v>
      </c>
      <c r="R15" s="774" t="s">
        <v>17</v>
      </c>
      <c r="S15" s="775">
        <f t="shared" si="0"/>
        <v>100</v>
      </c>
      <c r="T15" s="774" t="s">
        <v>17</v>
      </c>
      <c r="U15" s="775">
        <f t="shared" si="1"/>
        <v>100</v>
      </c>
      <c r="V15" s="774" t="s">
        <v>17</v>
      </c>
      <c r="W15" s="775">
        <f t="shared" si="2"/>
        <v>100</v>
      </c>
      <c r="X15" s="2977"/>
      <c r="Y15" s="3217" t="s">
        <v>2564</v>
      </c>
      <c r="Z15" s="2978" t="str">
        <f t="shared" si="7"/>
        <v>办公集聚程度</v>
      </c>
      <c r="AA15" s="2976">
        <f t="shared" si="3"/>
        <v>1</v>
      </c>
      <c r="AB15" s="2976">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216"/>
      <c r="Q16" s="2975"/>
      <c r="R16" s="774"/>
      <c r="S16" s="775"/>
      <c r="T16" s="774"/>
      <c r="U16" s="775"/>
      <c r="V16" s="774"/>
      <c r="W16" s="775"/>
      <c r="X16" s="2977"/>
      <c r="Y16" s="3218"/>
      <c r="Z16" s="2978"/>
      <c r="AA16" s="2976">
        <v>1</v>
      </c>
      <c r="AB16" s="2976">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452"/>
      <c r="H17" s="455">
        <f>SUMIF(79:79,G18,80:80)-SUMIF(79:79,C18,80:80)+100</f>
        <v>100</v>
      </c>
      <c r="I17" s="2986" t="s">
        <v>3146</v>
      </c>
      <c r="J17" s="455">
        <f>SUMIF(79:79,I18,80:80)-SUMIF(79:79,C18,80:80)+100</f>
        <v>102</v>
      </c>
      <c r="K17" s="614">
        <v>2</v>
      </c>
      <c r="L17" s="1143"/>
      <c r="M17" s="1134"/>
      <c r="N17" s="1134"/>
      <c r="O17" s="1134"/>
      <c r="P17" s="3216"/>
      <c r="Q17" s="2975" t="str">
        <f>B17</f>
        <v>交通便捷度</v>
      </c>
      <c r="R17" s="774" t="s">
        <v>17</v>
      </c>
      <c r="S17" s="775">
        <f>F17</f>
        <v>102</v>
      </c>
      <c r="T17" s="774" t="s">
        <v>17</v>
      </c>
      <c r="U17" s="775">
        <f>H17</f>
        <v>100</v>
      </c>
      <c r="V17" s="774" t="s">
        <v>17</v>
      </c>
      <c r="W17" s="775">
        <f>J17</f>
        <v>102</v>
      </c>
      <c r="X17" s="2977"/>
      <c r="Y17" s="3218"/>
      <c r="Z17" s="2978" t="str">
        <f>Q17</f>
        <v>交通便捷度</v>
      </c>
      <c r="AA17" s="2976">
        <f t="shared" si="3"/>
        <v>0.98039215686274506</v>
      </c>
      <c r="AB17" s="2976">
        <f t="shared" si="4"/>
        <v>1</v>
      </c>
      <c r="AC17" s="2678">
        <f t="shared" si="5"/>
        <v>0.98039215686274506</v>
      </c>
    </row>
    <row r="18" spans="1:29" ht="15">
      <c r="A18" s="428"/>
      <c r="B18" s="632"/>
      <c r="C18" s="2680" t="s">
        <v>3106</v>
      </c>
      <c r="D18" s="450"/>
      <c r="E18" s="2613" t="s">
        <v>3105</v>
      </c>
      <c r="F18" s="450"/>
      <c r="G18" s="2614" t="s">
        <v>3106</v>
      </c>
      <c r="H18" s="448"/>
      <c r="I18" s="2614" t="s">
        <v>3105</v>
      </c>
      <c r="J18" s="448"/>
      <c r="K18" s="615"/>
      <c r="L18" s="1143"/>
      <c r="M18" s="1134"/>
      <c r="N18" s="1134"/>
      <c r="O18" s="1134"/>
      <c r="P18" s="3216"/>
      <c r="Q18" s="2975"/>
      <c r="R18" s="774"/>
      <c r="S18" s="775"/>
      <c r="T18" s="774"/>
      <c r="U18" s="775"/>
      <c r="V18" s="774"/>
      <c r="W18" s="775"/>
      <c r="X18" s="2977"/>
      <c r="Y18" s="3218"/>
      <c r="Z18" s="2978"/>
      <c r="AA18" s="2976">
        <v>1</v>
      </c>
      <c r="AB18" s="2976">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6"/>
      <c r="Q19" s="2975" t="str">
        <f>B19</f>
        <v>公共配套设施</v>
      </c>
      <c r="R19" s="774" t="s">
        <v>17</v>
      </c>
      <c r="S19" s="775">
        <f>F19</f>
        <v>100</v>
      </c>
      <c r="T19" s="774" t="s">
        <v>17</v>
      </c>
      <c r="U19" s="775">
        <f>H19</f>
        <v>100</v>
      </c>
      <c r="V19" s="774" t="s">
        <v>17</v>
      </c>
      <c r="W19" s="775">
        <f>J19</f>
        <v>100</v>
      </c>
      <c r="X19" s="2977"/>
      <c r="Y19" s="3218"/>
      <c r="Z19" s="2978" t="str">
        <f>Q19</f>
        <v>公共配套设施</v>
      </c>
      <c r="AA19" s="2976">
        <f t="shared" si="3"/>
        <v>1</v>
      </c>
      <c r="AB19" s="2976">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216"/>
      <c r="Q20" s="2975"/>
      <c r="R20" s="774"/>
      <c r="S20" s="775"/>
      <c r="T20" s="774"/>
      <c r="U20" s="775"/>
      <c r="V20" s="774"/>
      <c r="W20" s="775"/>
      <c r="X20" s="2977"/>
      <c r="Y20" s="3218"/>
      <c r="Z20" s="2978"/>
      <c r="AA20" s="2976">
        <v>1</v>
      </c>
      <c r="AB20" s="2976">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16"/>
      <c r="Q21" s="2975" t="str">
        <f>B21</f>
        <v>基础设施水平</v>
      </c>
      <c r="R21" s="774" t="s">
        <v>17</v>
      </c>
      <c r="S21" s="775">
        <f>F21</f>
        <v>100</v>
      </c>
      <c r="T21" s="774" t="s">
        <v>17</v>
      </c>
      <c r="U21" s="775">
        <f>H21</f>
        <v>100</v>
      </c>
      <c r="V21" s="774" t="s">
        <v>17</v>
      </c>
      <c r="W21" s="775">
        <f>J21</f>
        <v>100</v>
      </c>
      <c r="X21" s="2977"/>
      <c r="Y21" s="3218"/>
      <c r="Z21" s="2978" t="str">
        <f>Q21</f>
        <v>基础设施水平</v>
      </c>
      <c r="AA21" s="2976">
        <f t="shared" ref="AA21" si="8">D21/F21</f>
        <v>1</v>
      </c>
      <c r="AB21" s="2976">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216"/>
      <c r="Q22" s="2975"/>
      <c r="R22" s="774"/>
      <c r="S22" s="775"/>
      <c r="T22" s="774"/>
      <c r="U22" s="775"/>
      <c r="V22" s="774"/>
      <c r="W22" s="775"/>
      <c r="X22" s="2977"/>
      <c r="Y22" s="3218"/>
      <c r="Z22" s="2978"/>
      <c r="AA22" s="2976">
        <v>1</v>
      </c>
      <c r="AB22" s="2976">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6"/>
      <c r="Q23" s="2975" t="str">
        <f>B23</f>
        <v>环境质量</v>
      </c>
      <c r="R23" s="774" t="s">
        <v>17</v>
      </c>
      <c r="S23" s="775">
        <f>F23</f>
        <v>100</v>
      </c>
      <c r="T23" s="774" t="s">
        <v>17</v>
      </c>
      <c r="U23" s="775">
        <f>H23</f>
        <v>100</v>
      </c>
      <c r="V23" s="774" t="s">
        <v>17</v>
      </c>
      <c r="W23" s="775">
        <f>J23</f>
        <v>100</v>
      </c>
      <c r="X23" s="2977"/>
      <c r="Y23" s="3218"/>
      <c r="Z23" s="2978" t="str">
        <f>Q23</f>
        <v>环境质量</v>
      </c>
      <c r="AA23" s="2976">
        <f t="shared" si="3"/>
        <v>1</v>
      </c>
      <c r="AB23" s="2976">
        <f t="shared" si="4"/>
        <v>1</v>
      </c>
      <c r="AC23" s="2678">
        <f t="shared" si="5"/>
        <v>1</v>
      </c>
    </row>
    <row r="24" spans="1:29" ht="15">
      <c r="A24" s="428"/>
      <c r="B24" s="633"/>
      <c r="C24" s="2615" t="s">
        <v>3105</v>
      </c>
      <c r="D24" s="448"/>
      <c r="E24" s="2608" t="s">
        <v>3105</v>
      </c>
      <c r="F24" s="448"/>
      <c r="G24" s="2609" t="s">
        <v>3105</v>
      </c>
      <c r="H24" s="448"/>
      <c r="I24" s="2609" t="s">
        <v>3105</v>
      </c>
      <c r="J24" s="448"/>
      <c r="K24" s="615"/>
      <c r="L24" s="1143"/>
      <c r="M24" s="1134"/>
      <c r="N24" s="1134"/>
      <c r="O24" s="1134"/>
      <c r="P24" s="3216"/>
      <c r="Q24" s="2975"/>
      <c r="R24" s="774"/>
      <c r="S24" s="775"/>
      <c r="T24" s="774"/>
      <c r="U24" s="775"/>
      <c r="V24" s="774"/>
      <c r="W24" s="775"/>
      <c r="X24" s="2977"/>
      <c r="Y24" s="3218"/>
      <c r="Z24" s="2978"/>
      <c r="AA24" s="2976">
        <v>1</v>
      </c>
      <c r="AB24" s="2976">
        <v>1</v>
      </c>
      <c r="AC24" s="2678">
        <v>1</v>
      </c>
    </row>
    <row r="25" spans="1:29" ht="27">
      <c r="A25" s="404"/>
      <c r="B25" s="631" t="s">
        <v>2695</v>
      </c>
      <c r="C25" s="2984" t="s">
        <v>3138</v>
      </c>
      <c r="D25" s="435">
        <v>100</v>
      </c>
      <c r="E25" s="2985" t="s">
        <v>3137</v>
      </c>
      <c r="F25" s="435">
        <f>SUMIF(87:87,E26,88:88)-SUMIF(87:87,C26,88:88)+100</f>
        <v>101</v>
      </c>
      <c r="G25" s="2984" t="s">
        <v>3148</v>
      </c>
      <c r="H25" s="435">
        <f>SUMIF(87:87,G26,88:88)-SUMIF(87:87,C26,88:88)+100</f>
        <v>100</v>
      </c>
      <c r="I25" s="2985" t="s">
        <v>3141</v>
      </c>
      <c r="J25" s="435">
        <f>SUMIF(87:87,I26,88:88)-SUMIF(87:87,C26,88:88)+100</f>
        <v>101</v>
      </c>
      <c r="K25" s="614">
        <v>1</v>
      </c>
      <c r="L25" s="1143"/>
      <c r="M25" s="1134"/>
      <c r="N25" s="1134"/>
      <c r="O25" s="1134"/>
      <c r="P25" s="3216"/>
      <c r="Q25" s="2975" t="str">
        <f>B25</f>
        <v>毗邻道路的类型与等级</v>
      </c>
      <c r="R25" s="774" t="s">
        <v>17</v>
      </c>
      <c r="S25" s="775">
        <f>F25</f>
        <v>101</v>
      </c>
      <c r="T25" s="774" t="s">
        <v>17</v>
      </c>
      <c r="U25" s="775">
        <f>H25</f>
        <v>100</v>
      </c>
      <c r="V25" s="774" t="s">
        <v>17</v>
      </c>
      <c r="W25" s="775">
        <f>J25</f>
        <v>101</v>
      </c>
      <c r="X25" s="2977"/>
      <c r="Y25" s="3218"/>
      <c r="Z25" s="2978" t="str">
        <f>Q25</f>
        <v>毗邻道路的类型与等级</v>
      </c>
      <c r="AA25" s="2976">
        <f t="shared" si="3"/>
        <v>0.99009900990099009</v>
      </c>
      <c r="AB25" s="2976">
        <f t="shared" si="4"/>
        <v>1</v>
      </c>
      <c r="AC25" s="2678">
        <f t="shared" si="5"/>
        <v>0.99009900990099009</v>
      </c>
    </row>
    <row r="26" spans="1:29" ht="15">
      <c r="A26" s="404"/>
      <c r="B26" s="632"/>
      <c r="C26" s="634" t="s">
        <v>3136</v>
      </c>
      <c r="D26" s="435"/>
      <c r="E26" s="616" t="s">
        <v>3139</v>
      </c>
      <c r="F26" s="435"/>
      <c r="G26" s="634" t="s">
        <v>3136</v>
      </c>
      <c r="H26" s="435"/>
      <c r="I26" s="616" t="s">
        <v>3139</v>
      </c>
      <c r="J26" s="435"/>
      <c r="K26" s="615"/>
      <c r="L26" s="1143"/>
      <c r="M26" s="1134"/>
      <c r="N26" s="1134"/>
      <c r="O26" s="1134"/>
      <c r="P26" s="3216"/>
      <c r="Q26" s="2975"/>
      <c r="R26" s="774"/>
      <c r="S26" s="775"/>
      <c r="T26" s="774"/>
      <c r="U26" s="775"/>
      <c r="V26" s="774"/>
      <c r="W26" s="775"/>
      <c r="X26" s="2977"/>
      <c r="Y26" s="3218"/>
      <c r="Z26" s="2978"/>
      <c r="AA26" s="2976">
        <v>1</v>
      </c>
      <c r="AB26" s="2976">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216"/>
      <c r="Q27" s="2975" t="str">
        <f t="shared" ref="Q27:Q47" si="11">B27</f>
        <v>楼层</v>
      </c>
      <c r="R27" s="774" t="s">
        <v>17</v>
      </c>
      <c r="S27" s="775">
        <f>F27</f>
        <v>101</v>
      </c>
      <c r="T27" s="774" t="s">
        <v>17</v>
      </c>
      <c r="U27" s="775">
        <f>H27</f>
        <v>100</v>
      </c>
      <c r="V27" s="774" t="s">
        <v>17</v>
      </c>
      <c r="W27" s="775">
        <f>J27</f>
        <v>100</v>
      </c>
      <c r="X27" s="2977"/>
      <c r="Y27" s="3218"/>
      <c r="Z27" s="2978" t="str">
        <f>Q27</f>
        <v>楼层</v>
      </c>
      <c r="AA27" s="2976">
        <f t="shared" si="3"/>
        <v>0.99009900990099009</v>
      </c>
      <c r="AB27" s="2976">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216"/>
      <c r="Q28" s="2957" t="str">
        <f t="shared" si="11"/>
        <v>朝向</v>
      </c>
      <c r="R28" s="770" t="s">
        <v>17</v>
      </c>
      <c r="S28" s="771">
        <f>F28</f>
        <v>100</v>
      </c>
      <c r="T28" s="770" t="s">
        <v>17</v>
      </c>
      <c r="U28" s="771">
        <f>H28</f>
        <v>100</v>
      </c>
      <c r="V28" s="770" t="s">
        <v>17</v>
      </c>
      <c r="W28" s="771">
        <f>J28</f>
        <v>100</v>
      </c>
      <c r="X28" s="772"/>
      <c r="Y28" s="3218"/>
      <c r="Z28" s="2959" t="str">
        <f>Q28</f>
        <v>朝向</v>
      </c>
      <c r="AA28" s="2976">
        <f>D28/F28</f>
        <v>1</v>
      </c>
      <c r="AB28" s="2976">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6"/>
      <c r="Q29" s="2975">
        <f t="shared" si="11"/>
        <v>111</v>
      </c>
      <c r="R29" s="774" t="s">
        <v>17</v>
      </c>
      <c r="S29" s="775">
        <f t="shared" ref="S29:S47" si="12">F29</f>
        <v>100</v>
      </c>
      <c r="T29" s="774" t="s">
        <v>17</v>
      </c>
      <c r="U29" s="775">
        <f t="shared" ref="U29:U47" si="13">H29</f>
        <v>100</v>
      </c>
      <c r="V29" s="774" t="s">
        <v>17</v>
      </c>
      <c r="W29" s="775">
        <f t="shared" ref="W29:W47" si="14">J29</f>
        <v>100</v>
      </c>
      <c r="X29" s="2977"/>
      <c r="Y29" s="3218"/>
      <c r="Z29" s="2978">
        <f t="shared" ref="Z29:Z47" si="15">Q29</f>
        <v>111</v>
      </c>
      <c r="AA29" s="2976">
        <f t="shared" si="3"/>
        <v>1</v>
      </c>
      <c r="AB29" s="2976">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6"/>
      <c r="Q30" s="2975">
        <f t="shared" si="11"/>
        <v>111</v>
      </c>
      <c r="R30" s="774" t="s">
        <v>17</v>
      </c>
      <c r="S30" s="775">
        <f t="shared" si="12"/>
        <v>100</v>
      </c>
      <c r="T30" s="774" t="s">
        <v>17</v>
      </c>
      <c r="U30" s="775">
        <f t="shared" si="13"/>
        <v>100</v>
      </c>
      <c r="V30" s="774" t="s">
        <v>17</v>
      </c>
      <c r="W30" s="775">
        <f t="shared" si="14"/>
        <v>100</v>
      </c>
      <c r="X30" s="2977"/>
      <c r="Y30" s="3218"/>
      <c r="Z30" s="2978">
        <f t="shared" si="15"/>
        <v>111</v>
      </c>
      <c r="AA30" s="2976">
        <f t="shared" si="3"/>
        <v>1</v>
      </c>
      <c r="AB30" s="2976">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6"/>
      <c r="Q31" s="2975">
        <f t="shared" si="11"/>
        <v>111</v>
      </c>
      <c r="R31" s="774" t="s">
        <v>17</v>
      </c>
      <c r="S31" s="775">
        <f t="shared" si="12"/>
        <v>100</v>
      </c>
      <c r="T31" s="774" t="s">
        <v>17</v>
      </c>
      <c r="U31" s="775">
        <f t="shared" si="13"/>
        <v>100</v>
      </c>
      <c r="V31" s="774" t="s">
        <v>17</v>
      </c>
      <c r="W31" s="775">
        <f t="shared" si="14"/>
        <v>100</v>
      </c>
      <c r="X31" s="2977"/>
      <c r="Y31" s="3218"/>
      <c r="Z31" s="2978">
        <f t="shared" si="15"/>
        <v>111</v>
      </c>
      <c r="AA31" s="2976">
        <f t="shared" si="3"/>
        <v>1</v>
      </c>
      <c r="AB31" s="2976">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6"/>
      <c r="Q32" s="2975">
        <f t="shared" si="11"/>
        <v>111</v>
      </c>
      <c r="R32" s="774" t="s">
        <v>17</v>
      </c>
      <c r="S32" s="775">
        <f t="shared" si="12"/>
        <v>100</v>
      </c>
      <c r="T32" s="774" t="s">
        <v>17</v>
      </c>
      <c r="U32" s="775">
        <f t="shared" si="13"/>
        <v>100</v>
      </c>
      <c r="V32" s="774" t="s">
        <v>17</v>
      </c>
      <c r="W32" s="775">
        <f t="shared" si="14"/>
        <v>100</v>
      </c>
      <c r="X32" s="2977"/>
      <c r="Y32" s="3218"/>
      <c r="Z32" s="2978">
        <f t="shared" si="15"/>
        <v>111</v>
      </c>
      <c r="AA32" s="2976">
        <f t="shared" si="3"/>
        <v>1</v>
      </c>
      <c r="AB32" s="2976">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219" t="s">
        <v>2569</v>
      </c>
      <c r="Q33" s="2975" t="str">
        <f t="shared" si="11"/>
        <v>建筑类型</v>
      </c>
      <c r="R33" s="774" t="s">
        <v>17</v>
      </c>
      <c r="S33" s="775">
        <f t="shared" si="12"/>
        <v>100</v>
      </c>
      <c r="T33" s="774" t="s">
        <v>17</v>
      </c>
      <c r="U33" s="775">
        <f t="shared" si="13"/>
        <v>100</v>
      </c>
      <c r="V33" s="774" t="s">
        <v>17</v>
      </c>
      <c r="W33" s="775">
        <f t="shared" si="14"/>
        <v>100</v>
      </c>
      <c r="X33" s="2977"/>
      <c r="Y33" s="3222" t="s">
        <v>2569</v>
      </c>
      <c r="Z33" s="2978" t="str">
        <f t="shared" si="15"/>
        <v>建筑类型</v>
      </c>
      <c r="AA33" s="2976">
        <f t="shared" si="3"/>
        <v>1</v>
      </c>
      <c r="AB33" s="2976">
        <f t="shared" si="4"/>
        <v>1</v>
      </c>
      <c r="AC33" s="2678">
        <f t="shared" si="5"/>
        <v>1</v>
      </c>
    </row>
    <row r="34" spans="1:29" s="471" customFormat="1" ht="15">
      <c r="A34" s="468"/>
      <c r="B34" s="2968"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0"/>
      <c r="Q34" s="776" t="str">
        <f t="shared" si="11"/>
        <v>项目建筑规模</v>
      </c>
      <c r="R34" s="777" t="s">
        <v>17</v>
      </c>
      <c r="S34" s="778">
        <f t="shared" si="12"/>
        <v>100</v>
      </c>
      <c r="T34" s="777" t="s">
        <v>17</v>
      </c>
      <c r="U34" s="778">
        <f t="shared" si="13"/>
        <v>100</v>
      </c>
      <c r="V34" s="777" t="s">
        <v>17</v>
      </c>
      <c r="W34" s="778">
        <f t="shared" si="14"/>
        <v>100</v>
      </c>
      <c r="X34" s="779"/>
      <c r="Y34" s="3222"/>
      <c r="Z34" s="780" t="str">
        <f t="shared" si="15"/>
        <v>项目建筑规模</v>
      </c>
      <c r="AA34" s="2976">
        <f t="shared" si="3"/>
        <v>1</v>
      </c>
      <c r="AB34" s="2976">
        <f t="shared" si="4"/>
        <v>1</v>
      </c>
      <c r="AC34" s="2678">
        <f t="shared" si="5"/>
        <v>1</v>
      </c>
    </row>
    <row r="35" spans="1:29" ht="15">
      <c r="A35" s="472"/>
      <c r="B35" s="2968"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220"/>
      <c r="Q35" s="2975" t="str">
        <f t="shared" si="11"/>
        <v>建筑结构</v>
      </c>
      <c r="R35" s="774" t="s">
        <v>17</v>
      </c>
      <c r="S35" s="775">
        <f t="shared" si="12"/>
        <v>100</v>
      </c>
      <c r="T35" s="774" t="s">
        <v>17</v>
      </c>
      <c r="U35" s="775">
        <f t="shared" si="13"/>
        <v>100</v>
      </c>
      <c r="V35" s="774" t="s">
        <v>17</v>
      </c>
      <c r="W35" s="775">
        <f t="shared" si="14"/>
        <v>100</v>
      </c>
      <c r="X35" s="2977"/>
      <c r="Y35" s="3222"/>
      <c r="Z35" s="2978" t="str">
        <f t="shared" si="15"/>
        <v>建筑结构</v>
      </c>
      <c r="AA35" s="2976">
        <f t="shared" si="3"/>
        <v>1</v>
      </c>
      <c r="AB35" s="2976">
        <f t="shared" si="4"/>
        <v>1</v>
      </c>
      <c r="AC35" s="2678">
        <f t="shared" si="5"/>
        <v>1</v>
      </c>
    </row>
    <row r="36" spans="1:29" ht="15">
      <c r="A36" s="472"/>
      <c r="B36" s="2968"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220"/>
      <c r="Q36" s="2975" t="str">
        <f t="shared" si="11"/>
        <v>公共部分装修</v>
      </c>
      <c r="R36" s="774" t="s">
        <v>17</v>
      </c>
      <c r="S36" s="775">
        <f t="shared" si="12"/>
        <v>100</v>
      </c>
      <c r="T36" s="774" t="s">
        <v>17</v>
      </c>
      <c r="U36" s="775">
        <f t="shared" si="13"/>
        <v>100</v>
      </c>
      <c r="V36" s="774" t="s">
        <v>17</v>
      </c>
      <c r="W36" s="775">
        <f t="shared" si="14"/>
        <v>100</v>
      </c>
      <c r="X36" s="2977"/>
      <c r="Y36" s="3222"/>
      <c r="Z36" s="2978" t="str">
        <f t="shared" si="15"/>
        <v>公共部分装修</v>
      </c>
      <c r="AA36" s="2976">
        <f t="shared" si="3"/>
        <v>1</v>
      </c>
      <c r="AB36" s="2976">
        <f t="shared" si="4"/>
        <v>1</v>
      </c>
      <c r="AC36" s="2678">
        <f t="shared" si="5"/>
        <v>1</v>
      </c>
    </row>
    <row r="37" spans="1:29" ht="15">
      <c r="A37" s="472"/>
      <c r="B37" s="2968"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20"/>
      <c r="Q37" s="2975" t="str">
        <f t="shared" si="11"/>
        <v>成新度</v>
      </c>
      <c r="R37" s="774" t="s">
        <v>17</v>
      </c>
      <c r="S37" s="775">
        <f t="shared" si="12"/>
        <v>100</v>
      </c>
      <c r="T37" s="774" t="s">
        <v>17</v>
      </c>
      <c r="U37" s="775">
        <f t="shared" si="13"/>
        <v>100</v>
      </c>
      <c r="V37" s="774" t="s">
        <v>17</v>
      </c>
      <c r="W37" s="775">
        <f t="shared" si="14"/>
        <v>100</v>
      </c>
      <c r="X37" s="2977"/>
      <c r="Y37" s="3222"/>
      <c r="Z37" s="2978" t="str">
        <f t="shared" si="15"/>
        <v>成新度</v>
      </c>
      <c r="AA37" s="2976">
        <f t="shared" si="3"/>
        <v>1</v>
      </c>
      <c r="AB37" s="2976">
        <f t="shared" si="4"/>
        <v>1</v>
      </c>
      <c r="AC37" s="2678">
        <f t="shared" si="5"/>
        <v>1</v>
      </c>
    </row>
    <row r="38" spans="1:29" s="117" customFormat="1" ht="15">
      <c r="A38" s="473"/>
      <c r="B38" s="2968"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220"/>
      <c r="Q38" s="2957" t="str">
        <f t="shared" si="11"/>
        <v>写字楼等级</v>
      </c>
      <c r="R38" s="770" t="s">
        <v>17</v>
      </c>
      <c r="S38" s="771">
        <f t="shared" si="12"/>
        <v>100</v>
      </c>
      <c r="T38" s="770" t="s">
        <v>17</v>
      </c>
      <c r="U38" s="771">
        <f t="shared" si="13"/>
        <v>100</v>
      </c>
      <c r="V38" s="770" t="s">
        <v>17</v>
      </c>
      <c r="W38" s="771">
        <f t="shared" si="14"/>
        <v>100</v>
      </c>
      <c r="X38" s="772"/>
      <c r="Y38" s="3222"/>
      <c r="Z38" s="2959" t="str">
        <f t="shared" si="15"/>
        <v>写字楼等级</v>
      </c>
      <c r="AA38" s="773">
        <f t="shared" si="3"/>
        <v>1</v>
      </c>
      <c r="AB38" s="773">
        <f t="shared" si="4"/>
        <v>1</v>
      </c>
      <c r="AC38" s="2675">
        <f t="shared" si="5"/>
        <v>1</v>
      </c>
    </row>
    <row r="39" spans="1:29" ht="15">
      <c r="A39" s="472"/>
      <c r="B39" s="2968"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2</v>
      </c>
      <c r="L39" s="1143"/>
      <c r="M39" s="1134"/>
      <c r="N39" s="1134"/>
      <c r="O39" s="1134"/>
      <c r="P39" s="3220" t="s">
        <v>2569</v>
      </c>
      <c r="Q39" s="2975" t="str">
        <f t="shared" si="11"/>
        <v>物业管理</v>
      </c>
      <c r="R39" s="774" t="s">
        <v>17</v>
      </c>
      <c r="S39" s="775">
        <f t="shared" si="12"/>
        <v>100</v>
      </c>
      <c r="T39" s="774" t="s">
        <v>17</v>
      </c>
      <c r="U39" s="775">
        <f t="shared" si="13"/>
        <v>100</v>
      </c>
      <c r="V39" s="774" t="s">
        <v>17</v>
      </c>
      <c r="W39" s="775">
        <f t="shared" si="14"/>
        <v>100</v>
      </c>
      <c r="X39" s="2977"/>
      <c r="Y39" s="3222" t="s">
        <v>2569</v>
      </c>
      <c r="Z39" s="2978" t="str">
        <f t="shared" si="15"/>
        <v>物业管理</v>
      </c>
      <c r="AA39" s="2976">
        <f t="shared" si="3"/>
        <v>1</v>
      </c>
      <c r="AB39" s="2976">
        <f t="shared" si="4"/>
        <v>1</v>
      </c>
      <c r="AC39" s="2678">
        <f t="shared" si="5"/>
        <v>1</v>
      </c>
    </row>
    <row r="40" spans="1:29" ht="15">
      <c r="A40" s="472"/>
      <c r="B40" s="2968"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2</v>
      </c>
      <c r="L40" s="1143"/>
      <c r="M40" s="1134"/>
      <c r="N40" s="1134"/>
      <c r="O40" s="1134"/>
      <c r="P40" s="3220"/>
      <c r="Q40" s="2975" t="str">
        <f t="shared" si="11"/>
        <v>市政基础设施</v>
      </c>
      <c r="R40" s="774" t="s">
        <v>17</v>
      </c>
      <c r="S40" s="775">
        <f t="shared" si="12"/>
        <v>100</v>
      </c>
      <c r="T40" s="774" t="s">
        <v>17</v>
      </c>
      <c r="U40" s="775">
        <f t="shared" si="13"/>
        <v>100</v>
      </c>
      <c r="V40" s="774" t="s">
        <v>17</v>
      </c>
      <c r="W40" s="775">
        <f t="shared" si="14"/>
        <v>100</v>
      </c>
      <c r="X40" s="2977"/>
      <c r="Y40" s="3222"/>
      <c r="Z40" s="2978" t="str">
        <f t="shared" si="15"/>
        <v>市政基础设施</v>
      </c>
      <c r="AA40" s="2976">
        <f t="shared" si="3"/>
        <v>1</v>
      </c>
      <c r="AB40" s="2976">
        <f t="shared" si="4"/>
        <v>1</v>
      </c>
      <c r="AC40" s="2678">
        <f t="shared" si="5"/>
        <v>1</v>
      </c>
    </row>
    <row r="41" spans="1:29" ht="15">
      <c r="A41" s="472"/>
      <c r="B41" s="2968"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220"/>
      <c r="Q41" s="2975" t="str">
        <f t="shared" si="11"/>
        <v>层高</v>
      </c>
      <c r="R41" s="774" t="s">
        <v>17</v>
      </c>
      <c r="S41" s="775">
        <f t="shared" si="12"/>
        <v>100</v>
      </c>
      <c r="T41" s="774" t="s">
        <v>17</v>
      </c>
      <c r="U41" s="775">
        <f t="shared" si="13"/>
        <v>100</v>
      </c>
      <c r="V41" s="774" t="s">
        <v>17</v>
      </c>
      <c r="W41" s="775">
        <f t="shared" si="14"/>
        <v>100</v>
      </c>
      <c r="X41" s="2977"/>
      <c r="Y41" s="3222"/>
      <c r="Z41" s="2978" t="str">
        <f t="shared" si="15"/>
        <v>层高</v>
      </c>
      <c r="AA41" s="2976">
        <f t="shared" si="3"/>
        <v>1</v>
      </c>
      <c r="AB41" s="2976">
        <f t="shared" si="4"/>
        <v>1</v>
      </c>
      <c r="AC41" s="2678">
        <f t="shared" si="5"/>
        <v>1</v>
      </c>
    </row>
    <row r="42" spans="1:29" s="471" customFormat="1" ht="15">
      <c r="A42" s="468"/>
      <c r="B42" s="297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2976">
        <f t="shared" si="3"/>
        <v>1</v>
      </c>
      <c r="AB42" s="2976">
        <f t="shared" si="4"/>
        <v>1</v>
      </c>
      <c r="AC42" s="2678">
        <f t="shared" si="5"/>
        <v>1</v>
      </c>
    </row>
    <row r="43" spans="1:29" ht="15">
      <c r="A43" s="472"/>
      <c r="B43" s="2968" t="s">
        <v>2672</v>
      </c>
      <c r="C43" s="460" t="s">
        <v>3135</v>
      </c>
      <c r="D43" s="435">
        <v>100</v>
      </c>
      <c r="E43" s="460" t="s">
        <v>3132</v>
      </c>
      <c r="F43" s="461">
        <f>SUMIF(123:123,E43,124:124)-SUMIF(123:123,C43,124:124)+100</f>
        <v>98</v>
      </c>
      <c r="G43" s="460" t="s">
        <v>3133</v>
      </c>
      <c r="H43" s="435">
        <f>SUMIF(123:123,G43,124:124)-SUMIF(123:123,C43,124:124)+100</f>
        <v>99</v>
      </c>
      <c r="I43" s="460" t="s">
        <v>3133</v>
      </c>
      <c r="J43" s="435">
        <f>SUMIF(123:123,I43,124:124)-SUMIF(123:123,C43,124:124)+100</f>
        <v>99</v>
      </c>
      <c r="K43" s="612">
        <v>1</v>
      </c>
      <c r="L43" s="1143"/>
      <c r="M43" s="1134"/>
      <c r="N43" s="1134"/>
      <c r="O43" s="1134"/>
      <c r="P43" s="3220"/>
      <c r="Q43" s="2975" t="str">
        <f t="shared" si="11"/>
        <v>内部装修</v>
      </c>
      <c r="R43" s="774" t="s">
        <v>17</v>
      </c>
      <c r="S43" s="775">
        <f t="shared" si="12"/>
        <v>98</v>
      </c>
      <c r="T43" s="774" t="s">
        <v>17</v>
      </c>
      <c r="U43" s="775">
        <f t="shared" si="13"/>
        <v>99</v>
      </c>
      <c r="V43" s="774" t="s">
        <v>17</v>
      </c>
      <c r="W43" s="775">
        <f t="shared" si="14"/>
        <v>99</v>
      </c>
      <c r="X43" s="2977"/>
      <c r="Y43" s="3222"/>
      <c r="Z43" s="2978" t="str">
        <f t="shared" si="15"/>
        <v>内部装修</v>
      </c>
      <c r="AA43" s="2976">
        <f t="shared" si="3"/>
        <v>1.0204081632653061</v>
      </c>
      <c r="AB43" s="2976">
        <f t="shared" si="4"/>
        <v>1.0101010101010102</v>
      </c>
      <c r="AC43" s="2678">
        <f t="shared" si="5"/>
        <v>1.0101010101010102</v>
      </c>
    </row>
    <row r="44" spans="1:29" ht="15">
      <c r="A44" s="472"/>
      <c r="B44" s="2968"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220"/>
      <c r="Q44" s="2975" t="str">
        <f t="shared" si="11"/>
        <v>内部装修维护情况</v>
      </c>
      <c r="R44" s="774" t="s">
        <v>17</v>
      </c>
      <c r="S44" s="775">
        <f t="shared" si="12"/>
        <v>100</v>
      </c>
      <c r="T44" s="774" t="s">
        <v>17</v>
      </c>
      <c r="U44" s="775">
        <f t="shared" si="13"/>
        <v>100</v>
      </c>
      <c r="V44" s="774" t="s">
        <v>17</v>
      </c>
      <c r="W44" s="775">
        <f t="shared" si="14"/>
        <v>100</v>
      </c>
      <c r="X44" s="2977"/>
      <c r="Y44" s="3222"/>
      <c r="Z44" s="2978" t="str">
        <f t="shared" si="15"/>
        <v>内部装修维护情况</v>
      </c>
      <c r="AA44" s="2976">
        <f t="shared" si="3"/>
        <v>1</v>
      </c>
      <c r="AB44" s="2976">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2957">
        <f t="shared" si="11"/>
        <v>111</v>
      </c>
      <c r="R45" s="770" t="s">
        <v>17</v>
      </c>
      <c r="S45" s="771">
        <f t="shared" si="12"/>
        <v>100</v>
      </c>
      <c r="T45" s="770" t="s">
        <v>17</v>
      </c>
      <c r="U45" s="771">
        <f t="shared" si="13"/>
        <v>100</v>
      </c>
      <c r="V45" s="770" t="s">
        <v>17</v>
      </c>
      <c r="W45" s="771">
        <f t="shared" si="14"/>
        <v>100</v>
      </c>
      <c r="X45" s="772"/>
      <c r="Y45" s="3222"/>
      <c r="Z45" s="2959">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2975">
        <f t="shared" si="11"/>
        <v>111</v>
      </c>
      <c r="R46" s="774" t="s">
        <v>17</v>
      </c>
      <c r="S46" s="775">
        <f t="shared" si="12"/>
        <v>100</v>
      </c>
      <c r="T46" s="774" t="s">
        <v>17</v>
      </c>
      <c r="U46" s="775">
        <f t="shared" si="13"/>
        <v>100</v>
      </c>
      <c r="V46" s="774" t="s">
        <v>17</v>
      </c>
      <c r="W46" s="775">
        <f t="shared" si="14"/>
        <v>100</v>
      </c>
      <c r="X46" s="2977"/>
      <c r="Y46" s="3222"/>
      <c r="Z46" s="2978">
        <f t="shared" si="15"/>
        <v>111</v>
      </c>
      <c r="AA46" s="2976">
        <f t="shared" si="3"/>
        <v>1</v>
      </c>
      <c r="AB46" s="2976">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2975">
        <f t="shared" si="11"/>
        <v>111</v>
      </c>
      <c r="R47" s="774" t="s">
        <v>17</v>
      </c>
      <c r="S47" s="775">
        <f t="shared" si="12"/>
        <v>100</v>
      </c>
      <c r="T47" s="774" t="s">
        <v>17</v>
      </c>
      <c r="U47" s="775">
        <f t="shared" si="13"/>
        <v>100</v>
      </c>
      <c r="V47" s="774" t="s">
        <v>17</v>
      </c>
      <c r="W47" s="775">
        <f t="shared" si="14"/>
        <v>100</v>
      </c>
      <c r="X47" s="2977"/>
      <c r="Y47" s="3223"/>
      <c r="Z47" s="2978">
        <f t="shared" si="15"/>
        <v>111</v>
      </c>
      <c r="AA47" s="2976">
        <f t="shared" si="3"/>
        <v>1</v>
      </c>
      <c r="AB47" s="2976">
        <f t="shared" si="4"/>
        <v>1</v>
      </c>
      <c r="AC47" s="2678">
        <f t="shared" si="5"/>
        <v>1</v>
      </c>
    </row>
    <row r="48" spans="1:29" ht="15">
      <c r="A48" s="479" t="s">
        <v>2581</v>
      </c>
      <c r="B48" s="480"/>
      <c r="C48" s="1410" t="s">
        <v>1</v>
      </c>
      <c r="D48" s="1411"/>
      <c r="E48" s="1412">
        <v>5</v>
      </c>
      <c r="F48" s="1413"/>
      <c r="G48" s="1414">
        <v>5.5</v>
      </c>
      <c r="H48" s="1415"/>
      <c r="I48" s="1412">
        <v>6</v>
      </c>
      <c r="J48" s="485"/>
      <c r="K48" s="783"/>
      <c r="L48" s="1146"/>
      <c r="M48" s="1134"/>
      <c r="N48" s="1134"/>
      <c r="O48" s="1134"/>
      <c r="P48" s="3195" t="str">
        <f>A48</f>
        <v>成交单价（元/平方米）</v>
      </c>
      <c r="Q48" s="3224"/>
      <c r="R48" s="3225">
        <f>E48</f>
        <v>5</v>
      </c>
      <c r="S48" s="3225"/>
      <c r="T48" s="3225">
        <f>G48</f>
        <v>5.5</v>
      </c>
      <c r="U48" s="3225"/>
      <c r="V48" s="3225">
        <f>I48</f>
        <v>6</v>
      </c>
      <c r="W48" s="3225"/>
      <c r="X48" s="446"/>
      <c r="Y48" s="781"/>
      <c r="Z48" s="446"/>
      <c r="AA48" s="446"/>
      <c r="AB48" s="446"/>
      <c r="AC48" s="630"/>
    </row>
    <row r="49" spans="1:29" ht="15.75" thickBot="1">
      <c r="A49" s="486" t="s">
        <v>2673</v>
      </c>
      <c r="B49" s="487"/>
      <c r="C49" s="1416">
        <f>R50</f>
        <v>5.5</v>
      </c>
      <c r="D49" s="1417"/>
      <c r="E49" s="1418">
        <f>R49</f>
        <v>4.9000000000000004</v>
      </c>
      <c r="F49" s="1418"/>
      <c r="G49" s="1416">
        <f>T49</f>
        <v>5.6</v>
      </c>
      <c r="H49" s="1417"/>
      <c r="I49" s="1418">
        <f>V49</f>
        <v>5.9</v>
      </c>
      <c r="J49" s="489"/>
      <c r="K49" s="784"/>
      <c r="L49" s="1146"/>
      <c r="M49" s="1134"/>
      <c r="N49" s="1134"/>
      <c r="O49" s="1134"/>
      <c r="P49" s="3195" t="str">
        <f>A49</f>
        <v>比较价值（元/平方米）</v>
      </c>
      <c r="Q49" s="3224"/>
      <c r="R49" s="3225">
        <f>IF(F1="售价",ROUND(PRODUCT(R48,AA7:AA47),0),ROUND(PRODUCT(R48,AA7:AA47),1))</f>
        <v>4.9000000000000004</v>
      </c>
      <c r="S49" s="3225"/>
      <c r="T49" s="3225">
        <f>IF(F1="售价",ROUND(PRODUCT(T48,AB7:AB47),0),ROUND(PRODUCT(T48,AB7:AB47),1))</f>
        <v>5.6</v>
      </c>
      <c r="U49" s="3225"/>
      <c r="V49" s="3225">
        <f>IF(F1="售价",ROUND(PRODUCT(V48,AC7:AC47),0),ROUND(PRODUCT(V48,AC7:AC47),1))</f>
        <v>5.9</v>
      </c>
      <c r="W49" s="3225"/>
      <c r="X49" s="446"/>
      <c r="Y49" s="446"/>
      <c r="Z49" s="446"/>
      <c r="AA49" s="446"/>
      <c r="AB49" s="446"/>
      <c r="AC49" s="630"/>
    </row>
    <row r="50" spans="1:29" ht="15.75" thickBot="1">
      <c r="A50" s="492" t="s">
        <v>2674</v>
      </c>
      <c r="B50" s="493"/>
      <c r="C50" s="1420">
        <f>R50</f>
        <v>5.5</v>
      </c>
      <c r="D50" s="1420"/>
      <c r="E50" s="1420"/>
      <c r="F50" s="1420"/>
      <c r="G50" s="1420"/>
      <c r="H50" s="1420"/>
      <c r="I50" s="1420"/>
      <c r="J50" s="494"/>
      <c r="K50" s="785"/>
      <c r="L50" s="1146"/>
      <c r="M50" s="1134"/>
      <c r="N50" s="1134"/>
      <c r="O50" s="1134"/>
      <c r="P50" s="3226" t="str">
        <f>A50</f>
        <v>估价对象XX用房的比较价值（楼面单价，元/平方米）</v>
      </c>
      <c r="Q50" s="3227"/>
      <c r="R50" s="3228">
        <f>IF(F1="售价",ROUND(AVERAGE(R49:V49),0),ROUND(AVERAGE(R49:V49),1))</f>
        <v>5.5</v>
      </c>
      <c r="S50" s="3228"/>
      <c r="T50" s="3228"/>
      <c r="U50" s="3228"/>
      <c r="V50" s="3228"/>
      <c r="W50" s="322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2.0408163265306145E-2</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2676</v>
      </c>
      <c r="D54" s="501"/>
      <c r="E54" s="499">
        <f>IF(E49&lt;G49,G49/E49-1,E49/G49-1)</f>
        <v>0.14285714285714279</v>
      </c>
      <c r="F54" s="500" t="str">
        <f>IF(OR(E54&gt;=0.2,E54&lt;=-0.2),"超过20%","")</f>
        <v/>
      </c>
      <c r="G54" s="499">
        <f>IF(G49&lt;I49,I49/G49-1,G49/I49-1)</f>
        <v>5.3571428571428603E-2</v>
      </c>
      <c r="H54" s="500" t="str">
        <f>IF(OR(G54&gt;=0.2,G54&lt;=-0.2),"超过20%","")</f>
        <v/>
      </c>
      <c r="I54" s="499">
        <f>IF(I49&lt;E49,E49/I49-1,I49/E49-1)</f>
        <v>0.20408163265306123</v>
      </c>
      <c r="J54" s="500" t="str">
        <f>IF(OR(I54&gt;=0.2,I54&lt;=-0.2),"超过20%","")</f>
        <v>超过20%</v>
      </c>
      <c r="K54" s="1108"/>
      <c r="L54" s="1109"/>
      <c r="M54" s="1147"/>
      <c r="N54" s="1147"/>
      <c r="O54" s="1147"/>
    </row>
    <row r="55" spans="1:29" s="502" customFormat="1" ht="13.5" customHeight="1">
      <c r="A55" s="1148"/>
      <c r="B55" s="1148"/>
      <c r="C55" s="497" t="s">
        <v>2677</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3" zoomScaleNormal="100" zoomScaleSheetLayoutView="100" zoomScalePageLayoutView="80" workbookViewId="0">
      <selection activeCell="I26" sqref="I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53" t="str">
        <f>项目基本情况!S2</f>
        <v>北京市房地产</v>
      </c>
      <c r="B2" s="3154"/>
      <c r="C2" s="3154"/>
      <c r="D2" s="3154"/>
      <c r="E2" s="3154"/>
      <c r="F2" s="3154"/>
      <c r="G2" s="3154"/>
      <c r="H2" s="3154"/>
      <c r="I2" s="3155"/>
    </row>
    <row r="3" spans="1:12" ht="12.75">
      <c r="A3" s="3156" t="s">
        <v>2123</v>
      </c>
      <c r="B3" s="3157"/>
      <c r="C3" s="3157"/>
      <c r="D3" s="3157"/>
      <c r="E3" s="3157"/>
      <c r="F3" s="3157"/>
      <c r="G3" s="3157"/>
      <c r="H3" s="3157"/>
      <c r="I3" s="3157"/>
    </row>
    <row r="4" spans="1:12" ht="14.25">
      <c r="A4" s="2427" t="s">
        <v>2124</v>
      </c>
      <c r="B4" s="2428" t="s">
        <v>2125</v>
      </c>
      <c r="C4" s="2429" t="s">
        <v>3130</v>
      </c>
      <c r="D4" s="2429" t="s">
        <v>3096</v>
      </c>
      <c r="E4" s="3137" t="s">
        <v>2126</v>
      </c>
      <c r="F4" s="3150"/>
      <c r="G4" s="3150"/>
      <c r="H4" s="3150"/>
      <c r="I4" s="3138"/>
      <c r="K4" s="2430" t="str">
        <f>IF(ISNUMBER(FIND("比较法",结果表车库!C4)),"比较法",IF(ISNUMBER(FIND("成本法",结果表车库!C4)),"成本法",IF(ISNUMBER(FIND("假设开发法",结果表车库!C4)),"假设开发法",IF(ISNUMBER(FIND("收益法",结果表车库!C4)),"收益法","基准地价系数修正法"))))</f>
        <v>比较法</v>
      </c>
      <c r="L4" s="243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8" t="s">
        <v>2127</v>
      </c>
      <c r="B5" s="3054">
        <v>25</v>
      </c>
      <c r="C5" s="3158"/>
      <c r="D5" s="3146"/>
      <c r="E5" s="140" t="s">
        <v>2128</v>
      </c>
      <c r="F5" s="2431"/>
      <c r="G5" s="2431"/>
      <c r="H5" s="2431"/>
      <c r="I5" s="1834"/>
    </row>
    <row r="6" spans="1:12" ht="12.75">
      <c r="A6" s="3128"/>
      <c r="B6" s="3054"/>
      <c r="C6" s="3160"/>
      <c r="D6" s="3146"/>
      <c r="E6" s="140" t="s">
        <v>2129</v>
      </c>
      <c r="F6" s="2431"/>
      <c r="G6" s="2431"/>
      <c r="H6" s="2431"/>
      <c r="I6" s="1834"/>
    </row>
    <row r="7" spans="1:12" ht="12.75">
      <c r="A7" s="3128"/>
      <c r="B7" s="3054"/>
      <c r="C7" s="3159"/>
      <c r="D7" s="3146"/>
      <c r="E7" s="140" t="s">
        <v>2130</v>
      </c>
      <c r="F7" s="2431"/>
      <c r="G7" s="2431"/>
      <c r="H7" s="2431"/>
      <c r="I7" s="1834"/>
    </row>
    <row r="8" spans="1:12" ht="12.75">
      <c r="A8" s="3128" t="s">
        <v>2131</v>
      </c>
      <c r="B8" s="3054">
        <v>15</v>
      </c>
      <c r="C8" s="3158"/>
      <c r="D8" s="3146"/>
      <c r="E8" s="140" t="s">
        <v>2132</v>
      </c>
      <c r="F8" s="2431"/>
      <c r="G8" s="2431"/>
      <c r="H8" s="2431"/>
      <c r="I8" s="1834"/>
    </row>
    <row r="9" spans="1:12" ht="12.75">
      <c r="A9" s="3128"/>
      <c r="B9" s="3054"/>
      <c r="C9" s="3159"/>
      <c r="D9" s="3146"/>
      <c r="E9" s="140" t="s">
        <v>2133</v>
      </c>
      <c r="F9" s="2431"/>
      <c r="G9" s="2431"/>
      <c r="H9" s="2431"/>
      <c r="I9" s="1834"/>
    </row>
    <row r="10" spans="1:12" ht="12.75">
      <c r="A10" s="3128" t="s">
        <v>2134</v>
      </c>
      <c r="B10" s="3054">
        <v>15</v>
      </c>
      <c r="C10" s="3158"/>
      <c r="D10" s="3146"/>
      <c r="E10" s="140" t="s">
        <v>2135</v>
      </c>
      <c r="F10" s="2431"/>
      <c r="G10" s="2431"/>
      <c r="H10" s="2431"/>
      <c r="I10" s="1834"/>
    </row>
    <row r="11" spans="1:12" ht="12.75">
      <c r="A11" s="3128"/>
      <c r="B11" s="3054"/>
      <c r="C11" s="3159"/>
      <c r="D11" s="3146"/>
      <c r="E11" s="140" t="s">
        <v>2136</v>
      </c>
      <c r="F11" s="2431"/>
      <c r="G11" s="2431"/>
      <c r="H11" s="2431"/>
      <c r="I11" s="1834"/>
    </row>
    <row r="12" spans="1:12" ht="12.75">
      <c r="A12" s="3128" t="s">
        <v>2137</v>
      </c>
      <c r="B12" s="3054">
        <v>15</v>
      </c>
      <c r="C12" s="3158"/>
      <c r="D12" s="3146"/>
      <c r="E12" s="140" t="s">
        <v>2138</v>
      </c>
      <c r="F12" s="2431"/>
      <c r="G12" s="2431"/>
      <c r="H12" s="2431"/>
      <c r="I12" s="1834"/>
    </row>
    <row r="13" spans="1:12" ht="12.75">
      <c r="A13" s="3128"/>
      <c r="B13" s="3054"/>
      <c r="C13" s="3159"/>
      <c r="D13" s="3146"/>
      <c r="E13" s="140" t="s">
        <v>2139</v>
      </c>
      <c r="F13" s="2431"/>
      <c r="G13" s="2431"/>
      <c r="H13" s="2431"/>
      <c r="I13" s="1834"/>
    </row>
    <row r="14" spans="1:12" ht="12.75">
      <c r="A14" s="3128" t="s">
        <v>2140</v>
      </c>
      <c r="B14" s="3054">
        <v>30</v>
      </c>
      <c r="C14" s="3158">
        <v>0.5</v>
      </c>
      <c r="D14" s="3146">
        <f>1-C14</f>
        <v>0.5</v>
      </c>
      <c r="E14" s="140" t="s">
        <v>2141</v>
      </c>
      <c r="F14" s="2431"/>
      <c r="G14" s="2431"/>
      <c r="H14" s="2431"/>
      <c r="I14" s="1834"/>
    </row>
    <row r="15" spans="1:12" ht="12.75">
      <c r="A15" s="3128"/>
      <c r="B15" s="3054"/>
      <c r="C15" s="3160"/>
      <c r="D15" s="3146"/>
      <c r="E15" s="140" t="s">
        <v>2142</v>
      </c>
      <c r="F15" s="2431"/>
      <c r="G15" s="2431"/>
      <c r="H15" s="2431"/>
      <c r="I15" s="1834"/>
    </row>
    <row r="16" spans="1:12" ht="12.75">
      <c r="A16" s="3128"/>
      <c r="B16" s="3054"/>
      <c r="C16" s="3159"/>
      <c r="D16" s="3146"/>
      <c r="E16" s="140" t="s">
        <v>2143</v>
      </c>
      <c r="F16" s="2431"/>
      <c r="G16" s="2431"/>
      <c r="H16" s="2431"/>
      <c r="I16" s="1834"/>
    </row>
    <row r="17" spans="1:35" ht="15">
      <c r="A17" s="2432" t="s">
        <v>2144</v>
      </c>
      <c r="B17" s="64"/>
      <c r="C17" s="141">
        <f>SUM(C5:C16)</f>
        <v>0.5</v>
      </c>
      <c r="D17" s="141">
        <f>SUM(D5:D16)</f>
        <v>0.5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35659.39</v>
      </c>
      <c r="M18" s="2430">
        <f>IF(C1="",'数据-汇总表'!E3,SUMIF(项目类型,C1,'数据-汇总表'!E17:E26))</f>
        <v>35659.39</v>
      </c>
    </row>
    <row r="19" spans="1:35" ht="15">
      <c r="A19" s="2436" t="s">
        <v>2149</v>
      </c>
      <c r="B19" s="2437" t="s">
        <v>2150</v>
      </c>
      <c r="C19" s="143">
        <f ca="1">SUMIF(INDIRECT("'"&amp;C4&amp;"'"&amp;"!A:A"),结果表车库!B19,INDIRECT("'"&amp;C4&amp;"'"&amp;"!B:B"))</f>
        <v>3550</v>
      </c>
      <c r="D19" s="144">
        <f ca="1">SUMIF(INDIRECT("'"&amp;D4&amp;"'"&amp;"!A:A"),结果表车库!B19,INDIRECT("'"&amp;D4&amp;"'"&amp;"!B:B"))</f>
        <v>3215</v>
      </c>
      <c r="E19" s="2436" t="s">
        <v>2151</v>
      </c>
      <c r="F19" s="2437" t="s">
        <v>2150</v>
      </c>
      <c r="G19" s="145">
        <f ca="1">ROUND(C19*$C$18+D19*$D$18,0)</f>
        <v>3383</v>
      </c>
      <c r="H19" s="2438" t="s">
        <v>2152</v>
      </c>
      <c r="I19" s="138"/>
      <c r="K19" s="2430" t="s">
        <v>2153</v>
      </c>
      <c r="L19" s="2430">
        <f>IF(C1="",'数据-汇总表'!D3,SUMIF(项目类型,C1,'数据-汇总表'!D17:D26)+SUMIF(项目类型,C1,'数据-汇总表'!H17:H27))</f>
        <v>31338.03</v>
      </c>
      <c r="M19" s="2430">
        <f>IF(C1="",'数据-汇总表'!D3,SUMIF(项目类型,C1,'数据-汇总表'!D17:D26))</f>
        <v>31338.03</v>
      </c>
    </row>
    <row r="20" spans="1:35" ht="15">
      <c r="A20" s="2439"/>
      <c r="B20" s="1250" t="s">
        <v>2154</v>
      </c>
      <c r="C20" s="146">
        <f ca="1">SUMIF(INDIRECT("'"&amp;C4&amp;"'"&amp;"!A:A"),结果表车库!B20,INDIRECT("'"&amp;C4&amp;"'"&amp;"!B:B"))</f>
        <v>6801</v>
      </c>
      <c r="D20" s="147">
        <f ca="1">SUMIF(INDIRECT("'"&amp;D4&amp;"'"&amp;"!A:A"),结果表车库!B20,INDIRECT("'"&amp;D4&amp;"'"&amp;"!B:B"))</f>
        <v>6159</v>
      </c>
      <c r="E20" s="2439"/>
      <c r="F20" s="1250" t="s">
        <v>2154</v>
      </c>
      <c r="G20" s="148">
        <f ca="1">ROUND(C20*$C$18+D20*$D$18,0)</f>
        <v>6480</v>
      </c>
      <c r="H20" s="983" t="s">
        <v>2155</v>
      </c>
      <c r="I20" s="138"/>
    </row>
    <row r="21" spans="1:35" ht="15" customHeight="1" thickBot="1">
      <c r="A21" s="1003"/>
      <c r="B21" s="2440" t="s">
        <v>2156</v>
      </c>
      <c r="C21" s="789">
        <f ca="1">ROUND(C19*10000/L19,0)</f>
        <v>1133</v>
      </c>
      <c r="D21" s="790">
        <f ca="1">ROUND(D19*10000/L19,0)</f>
        <v>1026</v>
      </c>
      <c r="E21" s="1003"/>
      <c r="F21" s="2440" t="s">
        <v>2156</v>
      </c>
      <c r="G21" s="149">
        <f ca="1">ROUND(G19*10000/L19,0)</f>
        <v>1080</v>
      </c>
      <c r="H21" s="2441" t="s">
        <v>2155</v>
      </c>
      <c r="I21" s="138"/>
    </row>
    <row r="22" spans="1:35" ht="15" thickBot="1">
      <c r="A22" s="2282" t="s">
        <v>2157</v>
      </c>
      <c r="B22" s="2442"/>
      <c r="C22" s="2443"/>
      <c r="D22" s="791">
        <f ca="1">IF(C19&lt;D19,D19/C19-1,C19/D19-1)</f>
        <v>0.10419906687402802</v>
      </c>
      <c r="E22" s="138"/>
      <c r="F22" s="138"/>
      <c r="G22" s="138"/>
      <c r="H22" s="138"/>
      <c r="I22" s="138"/>
    </row>
    <row r="23" spans="1:35" ht="13.5" thickBot="1">
      <c r="A23" s="2420"/>
      <c r="B23" s="2420"/>
      <c r="C23" s="2420"/>
      <c r="D23" s="2420"/>
      <c r="E23" s="138"/>
      <c r="F23" s="138"/>
      <c r="G23" s="138"/>
      <c r="H23" s="138"/>
      <c r="I23" s="138"/>
    </row>
    <row r="24" spans="1:35" ht="14.25">
      <c r="A24" s="3167" t="s">
        <v>2158</v>
      </c>
      <c r="B24" s="2437" t="s">
        <v>2150</v>
      </c>
      <c r="C24" s="145">
        <f>IF(B30=0,0,D30)</f>
        <v>0</v>
      </c>
      <c r="D24" s="2444"/>
      <c r="E24" s="138"/>
      <c r="F24" s="138"/>
      <c r="G24" s="138"/>
      <c r="H24" s="138"/>
      <c r="I24" s="138"/>
    </row>
    <row r="25" spans="1:35" ht="14.25">
      <c r="A25" s="3168"/>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3383</v>
      </c>
      <c r="D32" s="2451" t="s">
        <v>2165</v>
      </c>
      <c r="E32" s="138"/>
      <c r="F32" s="138"/>
      <c r="G32" s="138"/>
      <c r="H32" s="138"/>
      <c r="I32" s="138"/>
    </row>
    <row r="33" spans="1:15" ht="15">
      <c r="A33" s="960" t="s">
        <v>2166</v>
      </c>
      <c r="B33" s="2452"/>
      <c r="C33" s="2453"/>
      <c r="D33" s="2454"/>
      <c r="E33" s="2455" t="s">
        <v>2167</v>
      </c>
      <c r="F33" s="2958"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47" t="s">
        <v>2172</v>
      </c>
      <c r="B36" s="2463" t="s">
        <v>2173</v>
      </c>
      <c r="C36" s="154"/>
      <c r="D36" s="2464"/>
      <c r="E36" s="2465"/>
      <c r="F36" s="2466"/>
      <c r="G36" s="138"/>
      <c r="H36" s="138"/>
      <c r="I36" s="138"/>
    </row>
    <row r="37" spans="1:15" ht="15.75" thickBot="1">
      <c r="A37" s="3148"/>
      <c r="B37" s="2268" t="s">
        <v>2174</v>
      </c>
      <c r="C37" s="156"/>
      <c r="D37" s="1395"/>
      <c r="E37" s="1395"/>
      <c r="F37" s="2466"/>
      <c r="G37" s="138"/>
      <c r="H37" s="138"/>
      <c r="I37" s="138"/>
    </row>
    <row r="38" spans="1:15" ht="15.75" thickBot="1">
      <c r="A38" s="3149"/>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64" t="s">
        <v>2186</v>
      </c>
      <c r="B45" s="3165"/>
      <c r="C45" s="3166"/>
      <c r="D45" s="164">
        <f ca="1">ROUND(H101*F45,0)</f>
        <v>3383</v>
      </c>
      <c r="E45" s="165" t="s">
        <v>2187</v>
      </c>
      <c r="F45" s="166">
        <v>1</v>
      </c>
      <c r="G45" s="167" t="s">
        <v>2188</v>
      </c>
      <c r="H45" s="138"/>
      <c r="I45" s="138"/>
      <c r="J45" s="3083" t="s">
        <v>2189</v>
      </c>
      <c r="K45" s="3083"/>
      <c r="L45" s="3083"/>
      <c r="M45" s="3083"/>
      <c r="N45" s="3083"/>
      <c r="O45" s="3083"/>
    </row>
    <row r="46" spans="1:15" ht="14.25" customHeight="1">
      <c r="A46" s="3161" t="s">
        <v>2190</v>
      </c>
      <c r="B46" s="3162"/>
      <c r="C46" s="3162"/>
      <c r="D46" s="3162"/>
      <c r="E46" s="3162"/>
      <c r="F46" s="3162"/>
      <c r="G46" s="3163"/>
      <c r="H46" s="2482"/>
      <c r="I46" s="168"/>
      <c r="J46" s="2970">
        <v>1</v>
      </c>
      <c r="K46" s="3083" t="s">
        <v>2191</v>
      </c>
      <c r="L46" s="3083"/>
      <c r="M46" s="3084"/>
      <c r="N46" s="3084"/>
      <c r="O46" s="3084"/>
    </row>
    <row r="47" spans="1:15" ht="12" customHeight="1">
      <c r="A47" s="169" t="s">
        <v>2192</v>
      </c>
      <c r="B47" s="170"/>
      <c r="C47" s="171"/>
      <c r="D47" s="172" t="s">
        <v>2193</v>
      </c>
      <c r="E47" s="24" t="s">
        <v>2194</v>
      </c>
      <c r="F47" s="173" t="s">
        <v>2195</v>
      </c>
      <c r="G47" s="174" t="s">
        <v>2196</v>
      </c>
      <c r="H47" s="2482"/>
      <c r="I47" s="168"/>
      <c r="J47" s="2970">
        <v>2</v>
      </c>
      <c r="K47" s="3083" t="s">
        <v>2197</v>
      </c>
      <c r="L47" s="3083"/>
      <c r="M47" s="3085">
        <f>'数据-取费表'!B2</f>
        <v>43140</v>
      </c>
      <c r="N47" s="3085"/>
      <c r="O47" s="3085"/>
    </row>
    <row r="48" spans="1:15" ht="25.5">
      <c r="A48" s="3151" t="s">
        <v>2198</v>
      </c>
      <c r="B48" s="3152"/>
      <c r="C48" s="3152"/>
      <c r="D48" s="140">
        <f>IF(H48="情况1",0,IF(H48="情况2",D52,IF(H48="情况3",D53,IF(H48="情况4",D54))))</f>
        <v>0</v>
      </c>
      <c r="E48" s="2963" t="str">
        <f>IF(H48="情况4","(销售额-原购置价)×税（费）率","销售额×税（费）率")</f>
        <v>销售额×税（费）率</v>
      </c>
      <c r="F48" s="175" t="str">
        <f>IF(H48="情况1","免征",'数据-取费表'!B41)</f>
        <v>免征</v>
      </c>
      <c r="G48" s="2483" t="s">
        <v>2199</v>
      </c>
      <c r="H48" s="2484" t="s">
        <v>2200</v>
      </c>
      <c r="I48" s="2482"/>
      <c r="J48" s="2970">
        <v>3</v>
      </c>
      <c r="K48" s="3083" t="s">
        <v>2201</v>
      </c>
      <c r="L48" s="3083"/>
      <c r="M48" s="3086">
        <f ca="1">H101</f>
        <v>3383</v>
      </c>
      <c r="N48" s="3086"/>
      <c r="O48" s="3086"/>
    </row>
    <row r="49" spans="1:35" ht="25.5" customHeight="1">
      <c r="A49" s="176" t="s">
        <v>2202</v>
      </c>
      <c r="B49" s="3131" t="s">
        <v>2203</v>
      </c>
      <c r="C49" s="3131"/>
      <c r="D49" s="177">
        <v>0</v>
      </c>
      <c r="E49" s="23" t="s">
        <v>2204</v>
      </c>
      <c r="F49" s="28" t="s">
        <v>34</v>
      </c>
      <c r="G49" s="3112"/>
      <c r="H49" s="138"/>
      <c r="I49" s="2485"/>
      <c r="J49" s="2970">
        <v>4</v>
      </c>
      <c r="K49" s="3083" t="str">
        <f>IF(项目基本情况!E8="房地产抵押价值","房地产抵押价值","抵押担保权已注销时的房地产抵押价值")</f>
        <v>房地产抵押价值</v>
      </c>
      <c r="L49" s="3083"/>
      <c r="M49" s="3086">
        <f ca="1">IF(项目基本情况!E8="房地产抵押价值",H107,H109)</f>
        <v>3383</v>
      </c>
      <c r="N49" s="3086"/>
      <c r="O49" s="3086"/>
    </row>
    <row r="50" spans="1:35" ht="25.5" customHeight="1">
      <c r="A50" s="178"/>
      <c r="B50" s="3131" t="s">
        <v>2205</v>
      </c>
      <c r="C50" s="3131"/>
      <c r="D50" s="179"/>
      <c r="E50" s="31"/>
      <c r="F50" s="180"/>
      <c r="G50" s="3113"/>
      <c r="H50" s="138"/>
      <c r="I50" s="2485"/>
      <c r="J50" s="3083" t="s">
        <v>2206</v>
      </c>
      <c r="K50" s="3083"/>
      <c r="L50" s="3083"/>
      <c r="M50" s="3083"/>
      <c r="N50" s="3083"/>
      <c r="O50" s="3083"/>
    </row>
    <row r="51" spans="1:35" ht="12" customHeight="1">
      <c r="A51" s="181"/>
      <c r="B51" s="3131" t="s">
        <v>2207</v>
      </c>
      <c r="C51" s="3131"/>
      <c r="D51" s="182"/>
      <c r="E51" s="30"/>
      <c r="F51" s="180"/>
      <c r="G51" s="3114"/>
      <c r="H51" s="138"/>
      <c r="I51" s="2485"/>
      <c r="J51" s="2969" t="s">
        <v>2208</v>
      </c>
      <c r="K51" s="3083" t="s">
        <v>2209</v>
      </c>
      <c r="L51" s="3083"/>
      <c r="M51" s="2969" t="s">
        <v>2210</v>
      </c>
      <c r="N51" s="2969" t="s">
        <v>2211</v>
      </c>
      <c r="O51" s="2969" t="s">
        <v>2212</v>
      </c>
    </row>
    <row r="52" spans="1:35" ht="24" customHeight="1">
      <c r="A52" s="183" t="s">
        <v>2213</v>
      </c>
      <c r="B52" s="3131" t="s">
        <v>2214</v>
      </c>
      <c r="C52" s="3131"/>
      <c r="D52" s="182">
        <f ca="1">ROUND(D45*'数据-取费表'!B41/(1+'数据-取费表'!C42),0)</f>
        <v>180</v>
      </c>
      <c r="E52" s="11" t="s">
        <v>2215</v>
      </c>
      <c r="F52" s="184">
        <f>'数据-取费表'!B41</f>
        <v>5.6000000000000001E-2</v>
      </c>
      <c r="G52" s="2487"/>
      <c r="H52" s="138"/>
      <c r="I52" s="2485"/>
      <c r="J52" s="2970">
        <v>1</v>
      </c>
      <c r="K52" s="3106" t="s">
        <v>2216</v>
      </c>
      <c r="L52" s="3106"/>
      <c r="M52" s="1754">
        <f>D48</f>
        <v>0</v>
      </c>
      <c r="N52" s="2970" t="str">
        <f>E48</f>
        <v>销售额×税（费）率</v>
      </c>
      <c r="O52" s="1755" t="str">
        <f>F48</f>
        <v>免征</v>
      </c>
    </row>
    <row r="53" spans="1:35" ht="12" customHeight="1">
      <c r="A53" s="183" t="s">
        <v>2217</v>
      </c>
      <c r="B53" s="3132" t="s">
        <v>2218</v>
      </c>
      <c r="C53" s="3133"/>
      <c r="D53" s="182">
        <f ca="1">ROUND(D45*'数据-取费表'!B41/(1+'数据-取费表'!C42),0)</f>
        <v>180</v>
      </c>
      <c r="E53" s="11" t="s">
        <v>2215</v>
      </c>
      <c r="F53" s="184">
        <f>'数据-取费表'!B41</f>
        <v>5.6000000000000001E-2</v>
      </c>
      <c r="G53" s="2487"/>
      <c r="H53" s="138"/>
      <c r="I53" s="2485"/>
      <c r="J53" s="2970">
        <v>2</v>
      </c>
      <c r="K53" s="3106" t="s">
        <v>2219</v>
      </c>
      <c r="L53" s="3106"/>
      <c r="M53" s="1754">
        <f t="shared" ref="M53:O54" ca="1" si="0">D55</f>
        <v>2</v>
      </c>
      <c r="N53" s="2970" t="str">
        <f t="shared" si="0"/>
        <v>销售额×税（费）率</v>
      </c>
      <c r="O53" s="1755">
        <f t="shared" si="0"/>
        <v>5.0000000000000001E-4</v>
      </c>
    </row>
    <row r="54" spans="1:35" ht="12" customHeight="1">
      <c r="A54" s="183" t="s">
        <v>2220</v>
      </c>
      <c r="B54" s="3132" t="s">
        <v>2221</v>
      </c>
      <c r="C54" s="3133"/>
      <c r="D54" s="182">
        <f ca="1">C68</f>
        <v>180</v>
      </c>
      <c r="E54" s="30" t="s">
        <v>2222</v>
      </c>
      <c r="F54" s="184">
        <f>'数据-取费表'!B41</f>
        <v>5.6000000000000001E-2</v>
      </c>
      <c r="G54" s="2487"/>
      <c r="H54" s="2488"/>
      <c r="I54" s="2485"/>
      <c r="J54" s="2970">
        <v>3</v>
      </c>
      <c r="K54" s="3106" t="s">
        <v>2223</v>
      </c>
      <c r="L54" s="3106"/>
      <c r="M54" s="1754">
        <f t="shared" ca="1" si="0"/>
        <v>1915</v>
      </c>
      <c r="N54" s="2970" t="str">
        <f t="shared" si="0"/>
        <v>增值额×税（费）率</v>
      </c>
      <c r="O54" s="1756" t="str">
        <f t="shared" si="0"/>
        <v>——</v>
      </c>
    </row>
    <row r="55" spans="1:35" ht="24" customHeight="1">
      <c r="A55" s="3170" t="s">
        <v>2224</v>
      </c>
      <c r="B55" s="3152"/>
      <c r="C55" s="3152"/>
      <c r="D55" s="185">
        <f ca="1">IF(H55="个人住宅",0,ROUND(D45*I55,0))</f>
        <v>2</v>
      </c>
      <c r="E55" s="11" t="s">
        <v>2225</v>
      </c>
      <c r="F55" s="184">
        <f>IF(H55="正常",I55,"免征")</f>
        <v>5.0000000000000001E-4</v>
      </c>
      <c r="G55" s="2487"/>
      <c r="H55" s="2484" t="s">
        <v>2226</v>
      </c>
      <c r="I55" s="186">
        <f>'数据-取费表'!B49</f>
        <v>5.0000000000000001E-4</v>
      </c>
      <c r="J55" s="2970" t="str">
        <f>IF(H59="非个人房产","",4)</f>
        <v/>
      </c>
      <c r="K55" s="3106" t="str">
        <f>IF(H59="非个人房产","——","个人所得税")</f>
        <v>——</v>
      </c>
      <c r="L55" s="3106"/>
      <c r="M55" s="1757" t="str">
        <f>D59</f>
        <v>——</v>
      </c>
      <c r="N55" s="2971" t="str">
        <f>E59</f>
        <v>——</v>
      </c>
      <c r="O55" s="1758" t="str">
        <f>F59</f>
        <v>——</v>
      </c>
    </row>
    <row r="56" spans="1:35" ht="24.75">
      <c r="A56" s="3170" t="s">
        <v>2227</v>
      </c>
      <c r="B56" s="3152"/>
      <c r="C56" s="3152"/>
      <c r="D56" s="185">
        <f ca="1">IF(H56="个人住宅",D57,D58)</f>
        <v>1915</v>
      </c>
      <c r="E56" s="11" t="s">
        <v>2228</v>
      </c>
      <c r="F56" s="184" t="str">
        <f>IF(H56="正常",F58,"免征")</f>
        <v>——</v>
      </c>
      <c r="G56" s="2489" t="s">
        <v>2229</v>
      </c>
      <c r="H56" s="2490" t="s">
        <v>2226</v>
      </c>
      <c r="I56" s="2491"/>
      <c r="J56" s="2970" t="str">
        <f>IF(项目基本情况!K6="上海银行",IF(J55="",4,J55+1),"")</f>
        <v/>
      </c>
      <c r="K56" s="3089" t="str">
        <f>IF(项目基本情况!K6="上海银行","其他处置费用","")</f>
        <v/>
      </c>
      <c r="L56" s="3090"/>
      <c r="M56" s="1754" t="str">
        <f>IF(项目基本情况!K6="上海银行",M69,"")</f>
        <v/>
      </c>
      <c r="N56" s="3092" t="str">
        <f>IF(项目基本情况!K6="上海银行","包含处置中涉及的律师、诉讼、拍卖、评估等费用","")</f>
        <v/>
      </c>
      <c r="O56" s="3093"/>
    </row>
    <row r="57" spans="1:35" ht="12.75">
      <c r="A57" s="183" t="s">
        <v>2202</v>
      </c>
      <c r="B57" s="3137" t="s">
        <v>2230</v>
      </c>
      <c r="C57" s="3138"/>
      <c r="D57" s="187">
        <v>0</v>
      </c>
      <c r="E57" s="23" t="s">
        <v>2204</v>
      </c>
      <c r="F57" s="155"/>
      <c r="G57" s="2487"/>
      <c r="H57" s="2491"/>
      <c r="I57" s="2491"/>
      <c r="J57" s="3106">
        <f>IF(AND(J55="",J56=""),4,IF(项目基本情况!K6="上海银行",结果表车库!J56+1,结果表车库!J55+1))</f>
        <v>4</v>
      </c>
      <c r="K57" s="3106" t="s">
        <v>2231</v>
      </c>
      <c r="L57" s="2492" t="s">
        <v>2232</v>
      </c>
      <c r="M57" s="1759"/>
      <c r="N57" s="1760">
        <f ca="1">SUMIF(M52:M56,"&lt;9e307")</f>
        <v>1917</v>
      </c>
      <c r="O57" s="2493"/>
      <c r="P57" s="1753">
        <f ca="1">N57/M49</f>
        <v>0.56665681347916053</v>
      </c>
    </row>
    <row r="58" spans="1:35" ht="24.75">
      <c r="A58" s="183" t="s">
        <v>2213</v>
      </c>
      <c r="B58" s="3137" t="s">
        <v>2233</v>
      </c>
      <c r="C58" s="3150"/>
      <c r="D58" s="185">
        <f ca="1">IF(H58="转让取得",C81,C97)</f>
        <v>1915</v>
      </c>
      <c r="E58" s="11" t="s">
        <v>2228</v>
      </c>
      <c r="F58" s="24" t="s">
        <v>34</v>
      </c>
      <c r="G58" s="2487"/>
      <c r="H58" s="2490" t="s">
        <v>2234</v>
      </c>
      <c r="I58" s="2491"/>
      <c r="J58" s="3106"/>
      <c r="K58" s="3106"/>
      <c r="L58" s="2492" t="s">
        <v>2235</v>
      </c>
      <c r="M58" s="1761"/>
      <c r="N58" s="2494" t="str">
        <f ca="1">NUMBERSTRING(INT(N57*10000),2)&amp;"元整"</f>
        <v>壹仟玖佰壹拾柒万元整</v>
      </c>
      <c r="O58" s="2495"/>
    </row>
    <row r="59" spans="1:35" ht="24.75" thickBot="1">
      <c r="A59" s="3110" t="s">
        <v>2236</v>
      </c>
      <c r="B59" s="3111"/>
      <c r="C59" s="3111"/>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08">
        <f>J57+1</f>
        <v>5</v>
      </c>
      <c r="K59" s="3106" t="s">
        <v>2238</v>
      </c>
      <c r="L59" s="2970" t="s">
        <v>2232</v>
      </c>
      <c r="M59" s="1762"/>
      <c r="N59" s="1763">
        <f ca="1">M49-N57</f>
        <v>1466</v>
      </c>
      <c r="O59" s="2497"/>
    </row>
    <row r="60" spans="1:35" ht="12" customHeight="1">
      <c r="A60" s="2498"/>
      <c r="B60" s="2420"/>
      <c r="C60" s="2420"/>
      <c r="D60" s="2420"/>
      <c r="E60" s="2168"/>
      <c r="F60" s="2491"/>
      <c r="G60" s="2491"/>
      <c r="H60" s="2499"/>
      <c r="I60" s="138"/>
      <c r="J60" s="3109"/>
      <c r="K60" s="3106"/>
      <c r="L60" s="2492" t="s">
        <v>2235</v>
      </c>
      <c r="M60" s="1761"/>
      <c r="N60" s="2494" t="str">
        <f ca="1">NUMBERSTRING(INT(N59*10000),2)&amp;"元整"</f>
        <v>壹仟肆佰陆拾陆万元整</v>
      </c>
      <c r="O60" s="2495"/>
    </row>
    <row r="61" spans="1:35" ht="13.5" thickBot="1">
      <c r="A61" s="3169" t="s">
        <v>2239</v>
      </c>
      <c r="B61" s="3169"/>
      <c r="C61" s="3169"/>
      <c r="D61" s="3169"/>
      <c r="E61" s="3169"/>
      <c r="F61" s="2491"/>
      <c r="G61" s="2491"/>
      <c r="H61" s="2499"/>
      <c r="I61" s="138"/>
      <c r="J61" s="2970">
        <f>J59+1</f>
        <v>6</v>
      </c>
      <c r="K61" s="3106" t="s">
        <v>2240</v>
      </c>
      <c r="L61" s="3106"/>
      <c r="M61" s="1764"/>
      <c r="N61" s="1765">
        <f ca="1">ROUND(N59*10000/'数据-汇总表'!E3,0)</f>
        <v>359</v>
      </c>
      <c r="O61" s="2500"/>
    </row>
    <row r="62" spans="1:35" ht="12.75">
      <c r="A62" s="3126" t="s">
        <v>2241</v>
      </c>
      <c r="B62" s="3127"/>
      <c r="C62" s="2966"/>
      <c r="D62" s="2966" t="s">
        <v>2242</v>
      </c>
      <c r="E62" s="192" t="s">
        <v>2243</v>
      </c>
      <c r="F62" s="2491"/>
      <c r="G62" s="2491"/>
      <c r="H62" s="2499"/>
      <c r="I62" s="138"/>
    </row>
    <row r="63" spans="1:35" ht="12.75">
      <c r="A63" s="203" t="s">
        <v>775</v>
      </c>
      <c r="B63" s="193" t="s">
        <v>2244</v>
      </c>
      <c r="C63" s="194">
        <f ca="1">ROUND((C64+C65)/(1+'数据-取费表'!C42),0)</f>
        <v>3222</v>
      </c>
      <c r="D63" s="195"/>
      <c r="E63" s="196"/>
      <c r="F63" s="2491"/>
      <c r="G63" s="2491"/>
      <c r="H63" s="2499"/>
      <c r="I63" s="138"/>
      <c r="J63" s="3091" t="s">
        <v>2245</v>
      </c>
      <c r="K63" s="2972" t="s">
        <v>2246</v>
      </c>
      <c r="L63" s="1752">
        <f ca="1">IF(M49&gt;10000,M49*0.5%,IF(AND(M49&gt;1000,M49&lt;=10000),M49*1%,IF(AND(M49&gt;100,M49&lt;=1000),M49*3%,IF(AND(M49&gt;10,M49&lt;=100),M49*5%,M49*8%))))</f>
        <v>33.83</v>
      </c>
      <c r="M63" s="24">
        <f ca="1">ROUND(L63,1)</f>
        <v>33.799999999999997</v>
      </c>
      <c r="Z63" s="2425"/>
      <c r="AI63" s="2426"/>
    </row>
    <row r="64" spans="1:35" ht="14.25" customHeight="1">
      <c r="A64" s="197" t="s">
        <v>770</v>
      </c>
      <c r="B64" s="198" t="s">
        <v>2247</v>
      </c>
      <c r="C64" s="199">
        <f ca="1">D45</f>
        <v>3383</v>
      </c>
      <c r="D64" s="200" t="s">
        <v>32</v>
      </c>
      <c r="E64" s="201"/>
      <c r="F64" s="2491"/>
      <c r="G64" s="2491"/>
      <c r="H64" s="2499"/>
      <c r="I64" s="138"/>
      <c r="J64" s="3091"/>
      <c r="K64" s="2972" t="s">
        <v>2248</v>
      </c>
      <c r="L64" s="1752">
        <f ca="1">IF(M49&gt;2000,M49*0.5%,IF(AND(M49&gt;1000,M49&lt;=2000),M49*0.6%,IF(AND(M49&gt;500,M49&lt;=1000),M49*0.7%,IF(AND(M49&gt;200,M49&lt;=500),M49*0.8%,IF(AND(M49&gt;100,M49&lt;=200),M49*0.9%,IF(AND(M49&gt;50,M49&lt;=100),M49*1%,IF(AND(M49&gt;20,M49&lt;=50),M49*1.5%,IF(AND(M49&gt;10,M49&lt;=20),M49*2%,IF(AND(M49&gt;1,M49&lt;=10),M49*2.5%)))))))))</f>
        <v>16.914999999999999</v>
      </c>
      <c r="M64" s="24">
        <f t="shared" ref="M64:M65" ca="1" si="1">ROUND(L64,1)</f>
        <v>16.899999999999999</v>
      </c>
      <c r="N64" s="138" t="s">
        <v>2249</v>
      </c>
      <c r="Z64" s="2425"/>
      <c r="AI64" s="2426"/>
    </row>
    <row r="65" spans="1:35" ht="14.25" customHeight="1">
      <c r="A65" s="197" t="s">
        <v>771</v>
      </c>
      <c r="B65" s="198" t="s">
        <v>2250</v>
      </c>
      <c r="C65" s="202"/>
      <c r="D65" s="200"/>
      <c r="E65" s="201"/>
      <c r="F65" s="2491"/>
      <c r="G65" s="2491"/>
      <c r="H65" s="2499"/>
      <c r="I65" s="138"/>
      <c r="J65" s="3091"/>
      <c r="K65" s="2972" t="s">
        <v>2251</v>
      </c>
      <c r="L65" s="1752">
        <f ca="1">IF(M49&gt;1000,M49*0.1%,IF(AND(M49&gt;500,M49&lt;=1000),M49*0.5%,IF(AND(M49&gt;50,M49&lt;=500),M49*1%,IF(AND(M49&gt;1,M49&lt;=50),M49*1.5%))))</f>
        <v>3.383</v>
      </c>
      <c r="M65" s="24">
        <f t="shared" ca="1" si="1"/>
        <v>3.4</v>
      </c>
      <c r="N65" s="138" t="s">
        <v>2249</v>
      </c>
      <c r="Z65" s="2425"/>
      <c r="AI65" s="2426"/>
    </row>
    <row r="66" spans="1:35" ht="14.25" customHeight="1">
      <c r="A66" s="203" t="s">
        <v>772</v>
      </c>
      <c r="B66" s="204" t="s">
        <v>2252</v>
      </c>
      <c r="C66" s="205"/>
      <c r="D66" s="206" t="s">
        <v>32</v>
      </c>
      <c r="E66" s="1776" t="s">
        <v>1370</v>
      </c>
      <c r="F66" s="2491"/>
      <c r="G66" s="2491"/>
      <c r="H66" s="2499"/>
      <c r="I66" s="138"/>
      <c r="J66" s="3091"/>
      <c r="K66" s="2972" t="s">
        <v>2253</v>
      </c>
      <c r="L66" s="1752">
        <f ca="1">M49*0.5%</f>
        <v>16.914999999999999</v>
      </c>
      <c r="M66" s="24">
        <f ca="1">IF(L66&gt;0.5,0.5,ROUND(L66,0))</f>
        <v>0.5</v>
      </c>
      <c r="N66" s="138" t="s">
        <v>2254</v>
      </c>
      <c r="Z66" s="2425"/>
      <c r="AI66" s="2426"/>
    </row>
    <row r="67" spans="1:35" ht="14.25" customHeight="1">
      <c r="A67" s="203" t="s">
        <v>773</v>
      </c>
      <c r="B67" s="204" t="s">
        <v>2255</v>
      </c>
      <c r="C67" s="207">
        <f ca="1">C63-C66</f>
        <v>3222</v>
      </c>
      <c r="D67" s="200" t="s">
        <v>32</v>
      </c>
      <c r="E67" s="201"/>
      <c r="F67" s="2491"/>
      <c r="G67" s="2491"/>
      <c r="H67" s="2499"/>
      <c r="I67" s="138"/>
      <c r="J67" s="3091"/>
      <c r="K67" s="2972" t="s">
        <v>2256</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2257</v>
      </c>
      <c r="C68" s="210">
        <f ca="1">IF(C67&lt;=0,0,ROUND(C67*D68,0))</f>
        <v>180</v>
      </c>
      <c r="D68" s="211">
        <f>'数据-取费表'!B41</f>
        <v>5.6000000000000001E-2</v>
      </c>
      <c r="E68" s="212"/>
      <c r="F68" s="2491"/>
      <c r="G68" s="2491"/>
      <c r="H68" s="2499"/>
      <c r="I68" s="138"/>
      <c r="J68" s="3091"/>
      <c r="K68" s="2972" t="s">
        <v>2258</v>
      </c>
      <c r="L68" s="1752">
        <f ca="1">IF(M49&gt;10000,M49*0.5%,IF(AND(M49&gt;5000,M49&lt;=10000),M49*1%,IF(AND(M49&gt;1000,M49&lt;=5000),M49*2%,IF(AND(M49&gt;200,M49&lt;=1000),M49*3%,M49*5%))))</f>
        <v>67.66</v>
      </c>
      <c r="M68" s="24">
        <f ca="1">ROUND(L68,1)</f>
        <v>67.7</v>
      </c>
      <c r="Z68" s="2425"/>
      <c r="AI68" s="2426"/>
    </row>
    <row r="69" spans="1:35" s="2448" customFormat="1" ht="16.5" customHeight="1">
      <c r="A69" s="2502"/>
      <c r="B69" s="2503"/>
      <c r="C69" s="2504"/>
      <c r="D69" s="2505"/>
      <c r="E69" s="2506"/>
      <c r="F69" s="2168"/>
      <c r="G69" s="2168"/>
      <c r="H69" s="2167"/>
      <c r="I69" s="2420"/>
      <c r="J69" s="3091"/>
      <c r="K69" s="2972" t="s">
        <v>2259</v>
      </c>
      <c r="L69" s="2507"/>
      <c r="M69" s="24">
        <f ca="1">ROUND(SUM(M63:M68),0)</f>
        <v>125</v>
      </c>
      <c r="N69" s="1753">
        <f ca="1">M69/M49</f>
        <v>3.6949453148093406E-2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5" t="s">
        <v>2260</v>
      </c>
      <c r="B70" s="3136"/>
      <c r="C70" s="3136"/>
      <c r="D70" s="3136"/>
      <c r="E70" s="3136"/>
      <c r="F70" s="3136"/>
      <c r="G70" s="3136"/>
      <c r="H70" s="313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6" t="s">
        <v>2241</v>
      </c>
      <c r="B71" s="3127"/>
      <c r="C71" s="2966"/>
      <c r="D71" s="2966"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3222</v>
      </c>
      <c r="D72" s="200" t="s">
        <v>32</v>
      </c>
      <c r="E72" s="2965"/>
      <c r="F72" s="2960"/>
      <c r="G72" s="2960"/>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19</v>
      </c>
      <c r="D73" s="200" t="s">
        <v>32</v>
      </c>
      <c r="E73" s="2965"/>
      <c r="F73" s="2960"/>
      <c r="G73" s="2960"/>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2965"/>
      <c r="F74" s="2960"/>
      <c r="G74" s="2960"/>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32" t="s">
        <v>2269</v>
      </c>
      <c r="F76" s="3131"/>
      <c r="G76" s="3131"/>
      <c r="H76" s="313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2973" t="s">
        <v>2271</v>
      </c>
      <c r="F77" s="224"/>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19</v>
      </c>
      <c r="D78" s="226">
        <f>'数据-取费表'!B43</f>
        <v>6.000000000000001E-3</v>
      </c>
      <c r="E78" s="3123" t="s">
        <v>2274</v>
      </c>
      <c r="F78" s="3124"/>
      <c r="G78" s="3124"/>
      <c r="H78" s="312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3203</v>
      </c>
      <c r="D79" s="200" t="s">
        <v>32</v>
      </c>
      <c r="E79" s="2965"/>
      <c r="F79" s="2960"/>
      <c r="G79" s="2960"/>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168.57894736842104</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1915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5" t="s">
        <v>2278</v>
      </c>
      <c r="B83" s="3136"/>
      <c r="C83" s="3136"/>
      <c r="D83" s="3136"/>
      <c r="E83" s="3136"/>
      <c r="F83" s="3136"/>
      <c r="G83" s="3136"/>
      <c r="H83" s="313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6" t="s">
        <v>2241</v>
      </c>
      <c r="B84" s="3127"/>
      <c r="C84" s="2966"/>
      <c r="D84" s="2966"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3222</v>
      </c>
      <c r="D85" s="200" t="s">
        <v>32</v>
      </c>
      <c r="E85" s="2965"/>
      <c r="F85" s="2960"/>
      <c r="G85" s="2960"/>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19</v>
      </c>
      <c r="D86" s="235"/>
      <c r="E86" s="2965"/>
      <c r="F86" s="2960"/>
      <c r="G86" s="2960"/>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2961"/>
      <c r="F87" s="2962"/>
      <c r="G87" s="2962"/>
      <c r="H87" s="296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2962"/>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2962"/>
      <c r="G89" s="2962"/>
      <c r="H89" s="296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2962"/>
      <c r="G90" s="2962"/>
      <c r="H90" s="296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123" t="s">
        <v>2287</v>
      </c>
      <c r="F91" s="3124"/>
      <c r="G91" s="3124"/>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123" t="s">
        <v>2291</v>
      </c>
      <c r="F92" s="3124"/>
      <c r="G92" s="3124"/>
      <c r="H92" s="312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19</v>
      </c>
      <c r="D93" s="226">
        <f>'数据-取费表'!B43</f>
        <v>6.000000000000001E-3</v>
      </c>
      <c r="E93" s="3123" t="s">
        <v>2274</v>
      </c>
      <c r="F93" s="3124"/>
      <c r="G93" s="3124"/>
      <c r="H93" s="312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71" t="s">
        <v>2295</v>
      </c>
      <c r="F94" s="3172"/>
      <c r="G94" s="3172"/>
      <c r="H94" s="31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3203</v>
      </c>
      <c r="D95" s="200" t="s">
        <v>32</v>
      </c>
      <c r="E95" s="2965"/>
      <c r="F95" s="2960"/>
      <c r="G95" s="2960"/>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168.57894736842104</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1915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107"/>
      <c r="E100" s="3076" t="s">
        <v>2298</v>
      </c>
      <c r="F100" s="3076"/>
      <c r="G100" s="3076"/>
      <c r="H100" s="3107"/>
      <c r="I100" s="138"/>
    </row>
    <row r="101" spans="1:35" ht="18.75" customHeight="1">
      <c r="A101" s="3115" t="s">
        <v>2299</v>
      </c>
      <c r="B101" s="3116"/>
      <c r="C101" s="736" t="str">
        <f>C4</f>
        <v>比较法-车位</v>
      </c>
      <c r="D101" s="737" t="str">
        <f>D4</f>
        <v>收益法 (车库)</v>
      </c>
      <c r="E101" s="3087" t="s">
        <v>2300</v>
      </c>
      <c r="F101" s="3088"/>
      <c r="G101" s="2522" t="s">
        <v>2301</v>
      </c>
      <c r="H101" s="1048">
        <f ca="1">H118</f>
        <v>3383</v>
      </c>
      <c r="I101" s="138"/>
    </row>
    <row r="102" spans="1:35" ht="18.75" customHeight="1">
      <c r="A102" s="3117" t="s">
        <v>2302</v>
      </c>
      <c r="B102" s="2522" t="s">
        <v>2301</v>
      </c>
      <c r="C102" s="736">
        <f ca="1">C19</f>
        <v>3550</v>
      </c>
      <c r="D102" s="737">
        <f ca="1">D19</f>
        <v>3215</v>
      </c>
      <c r="E102" s="3087"/>
      <c r="F102" s="3088"/>
      <c r="G102" s="2522" t="s">
        <v>2303</v>
      </c>
      <c r="H102" s="371">
        <f ca="1">I118</f>
        <v>949</v>
      </c>
      <c r="I102" s="138"/>
    </row>
    <row r="103" spans="1:35" ht="42.75" customHeight="1">
      <c r="A103" s="3117"/>
      <c r="B103" s="2522" t="s">
        <v>2303</v>
      </c>
      <c r="C103" s="738">
        <f ca="1">C20</f>
        <v>6801</v>
      </c>
      <c r="D103" s="739">
        <f ca="1">D20</f>
        <v>6159</v>
      </c>
      <c r="E103" s="3081" t="s">
        <v>2304</v>
      </c>
      <c r="F103" s="3082"/>
      <c r="G103" s="2523" t="s">
        <v>2305</v>
      </c>
      <c r="H103" s="1048">
        <f>IF(D36="正常操作",H104+H105+H106,H105+H106)</f>
        <v>0</v>
      </c>
      <c r="I103" s="138"/>
    </row>
    <row r="104" spans="1:35" ht="18.75" customHeight="1">
      <c r="A104" s="3117" t="s">
        <v>2306</v>
      </c>
      <c r="B104" s="2524" t="s">
        <v>2301</v>
      </c>
      <c r="C104" s="740">
        <f ca="1">H118</f>
        <v>3383</v>
      </c>
      <c r="D104" s="741"/>
      <c r="E104" s="2268" t="s">
        <v>2307</v>
      </c>
      <c r="F104" s="2259"/>
      <c r="G104" s="2523" t="s">
        <v>2305</v>
      </c>
      <c r="H104" s="1049">
        <f>IF(D36="同一抵押权人同一抵押物续贷",C36&amp;"（未扣减，详见特别提示）",C36)</f>
        <v>0</v>
      </c>
      <c r="I104" s="138"/>
    </row>
    <row r="105" spans="1:35" ht="18.75" customHeight="1" thickBot="1">
      <c r="A105" s="3129"/>
      <c r="B105" s="2525" t="s">
        <v>2303</v>
      </c>
      <c r="C105" s="742">
        <f ca="1">I118</f>
        <v>949</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18" t="str">
        <f>IF(项目基本情况!E8="已注销","——","3.房地产抵押价值")</f>
        <v>3.房地产抵押价值</v>
      </c>
      <c r="F107" s="3088"/>
      <c r="G107" s="2522" t="s">
        <v>2301</v>
      </c>
      <c r="H107" s="1048">
        <f ca="1">IF(E107="——","——",H101-H103)</f>
        <v>3383</v>
      </c>
      <c r="I107" s="138"/>
    </row>
    <row r="108" spans="1:35" ht="18.75" customHeight="1">
      <c r="A108" s="138"/>
      <c r="B108" s="138"/>
      <c r="C108" s="138"/>
      <c r="D108" s="138"/>
      <c r="E108" s="3118"/>
      <c r="F108" s="3088"/>
      <c r="G108" s="2522" t="s">
        <v>2303</v>
      </c>
      <c r="H108" s="371">
        <f ca="1">ROUND(H107*10000/'数据-汇总表'!E3,0)</f>
        <v>828</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22" t="s">
        <v>2301</v>
      </c>
      <c r="H109" s="348" t="str">
        <f>IF(E109="——","——",H101-H105-H106)</f>
        <v>——</v>
      </c>
      <c r="I109" s="138"/>
    </row>
    <row r="110" spans="1:35" ht="18.75" customHeight="1">
      <c r="A110" s="138"/>
      <c r="B110" s="138"/>
      <c r="C110" s="138"/>
      <c r="D110" s="138"/>
      <c r="E110" s="3118"/>
      <c r="F110" s="3088"/>
      <c r="G110" s="2522" t="s">
        <v>2303</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2" t="s">
        <v>2301</v>
      </c>
      <c r="H111" s="1048" t="str">
        <f>IF(E111="——","——",N59)</f>
        <v>——</v>
      </c>
      <c r="I111" s="138"/>
    </row>
    <row r="112" spans="1:35" ht="18.75" customHeight="1" thickBot="1">
      <c r="A112" s="138"/>
      <c r="B112" s="138"/>
      <c r="C112" s="138"/>
      <c r="D112" s="138"/>
      <c r="E112" s="3121"/>
      <c r="F112" s="3122"/>
      <c r="G112" s="2527" t="s">
        <v>2303</v>
      </c>
      <c r="H112" s="790" t="str">
        <f>IF(E111="——","——",N61)</f>
        <v>——</v>
      </c>
      <c r="I112" s="138"/>
    </row>
    <row r="113" spans="1:11" ht="18.75" customHeight="1">
      <c r="A113" s="138"/>
      <c r="B113" s="138"/>
      <c r="C113" s="138"/>
      <c r="D113" s="138"/>
      <c r="E113" s="3130" t="s">
        <v>2309</v>
      </c>
      <c r="F113" s="3130"/>
      <c r="G113" s="3130"/>
      <c r="H113" s="3130"/>
      <c r="I113" s="138"/>
    </row>
    <row r="114" spans="1:11" ht="3.75" customHeight="1">
      <c r="A114" s="2420"/>
      <c r="B114" s="2420"/>
      <c r="C114" s="2420"/>
      <c r="D114" s="2420"/>
      <c r="E114" s="2498"/>
      <c r="F114" s="2498"/>
      <c r="G114" s="2498"/>
      <c r="H114" s="2498"/>
      <c r="I114" s="2420"/>
    </row>
    <row r="115" spans="1:11" ht="18.75" customHeight="1">
      <c r="A115" s="3143" t="s">
        <v>2311</v>
      </c>
      <c r="B115" s="3144"/>
      <c r="C115" s="3144"/>
      <c r="D115" s="3144"/>
      <c r="E115" s="3144"/>
      <c r="F115" s="3144"/>
      <c r="G115" s="3144"/>
      <c r="H115" s="3144"/>
      <c r="I115" s="3145"/>
    </row>
    <row r="116" spans="1:11" ht="27" customHeight="1">
      <c r="A116" s="3054" t="s">
        <v>2312</v>
      </c>
      <c r="B116" s="3097" t="s">
        <v>2313</v>
      </c>
      <c r="C116" s="3097" t="s">
        <v>2314</v>
      </c>
      <c r="D116" s="3103" t="s">
        <v>2315</v>
      </c>
      <c r="E116" s="3104"/>
      <c r="F116" s="3139" t="s">
        <v>2316</v>
      </c>
      <c r="G116" s="3139"/>
      <c r="H116" s="3054" t="s">
        <v>2317</v>
      </c>
      <c r="I116" s="3054"/>
    </row>
    <row r="117" spans="1:11" ht="18.75" customHeight="1">
      <c r="A117" s="3054"/>
      <c r="B117" s="3098"/>
      <c r="C117" s="3098"/>
      <c r="D117" s="2957" t="s">
        <v>2318</v>
      </c>
      <c r="E117" s="2957" t="s">
        <v>2319</v>
      </c>
      <c r="F117" s="2957" t="s">
        <v>2318</v>
      </c>
      <c r="G117" s="2957" t="s">
        <v>2320</v>
      </c>
      <c r="H117" s="2957" t="s">
        <v>2318</v>
      </c>
      <c r="I117" s="2957" t="s">
        <v>2320</v>
      </c>
    </row>
    <row r="118" spans="1:11" ht="24.75" customHeight="1">
      <c r="A118" s="2528" t="str">
        <f>项目基本情况!S2</f>
        <v>北京市房地产</v>
      </c>
      <c r="B118" s="2957">
        <f>M18</f>
        <v>35659.39</v>
      </c>
      <c r="C118" s="2957">
        <f>M19</f>
        <v>31338.03</v>
      </c>
      <c r="D118" s="2957" t="e">
        <f ca="1">ROUND(IF(D32="总价",C34,E118*B118/10000),0)</f>
        <v>#REF!</v>
      </c>
      <c r="E118" s="2957" t="e">
        <f ca="1">ROUND(IF(C33="自定义",IF(D32="楼面单价",C34,D118*10000/B118),I118-G118),0)</f>
        <v>#REF!</v>
      </c>
      <c r="F118" s="2957" t="e">
        <f ca="1">ROUND(IF(D32="总价",C35,G118*B118/10000),0)</f>
        <v>#REF!</v>
      </c>
      <c r="G118" s="2957" t="e">
        <f ca="1">ROUND(IF(D32="楼面单价",C35,F118*10000/B118),0)</f>
        <v>#REF!</v>
      </c>
      <c r="H118" s="2957">
        <f ca="1">ROUND(IF(D32="总价",C32,I118*B118/10000),0)</f>
        <v>3383</v>
      </c>
      <c r="I118" s="2957">
        <f ca="1">ROUND(IF(D32="楼面单价",C32,H118*10000/B118),0)</f>
        <v>949</v>
      </c>
    </row>
    <row r="119" spans="1:11" ht="18.75" customHeight="1">
      <c r="A119" s="3054" t="s">
        <v>2321</v>
      </c>
      <c r="B119" s="3054"/>
      <c r="C119" s="3054"/>
      <c r="D119" s="3099" t="e">
        <f ca="1">NUMBERSTRING(INT(D118*10000),2)&amp;"元整"</f>
        <v>#REF!</v>
      </c>
      <c r="E119" s="3100"/>
      <c r="F119" s="3099" t="e">
        <f ca="1">NUMBERSTRING(INT(F118*10000),2)&amp;"元整"</f>
        <v>#REF!</v>
      </c>
      <c r="G119" s="3100"/>
      <c r="H119" s="3099" t="str">
        <f ca="1">NUMBERSTRING(INT(H118*10000),2)&amp;"元整"</f>
        <v>叁仟叁佰捌拾叁万元整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5" t="str">
        <f>IF(D120=0,"故，本次评估不存在"&amp;A120,"故，本次评估"&amp;A120&amp;"为人民币"&amp;D120&amp;"万元整。")</f>
        <v>故，本次评估不存在估价师知悉的法定优先受偿款</v>
      </c>
    </row>
    <row r="121" spans="1:11" ht="18.75" customHeight="1">
      <c r="A121" s="3140" t="s">
        <v>2321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3383</v>
      </c>
      <c r="E122" s="3095"/>
      <c r="F122" s="3095"/>
      <c r="G122" s="3095"/>
      <c r="H122" s="3095"/>
      <c r="I122" s="3096"/>
    </row>
    <row r="123" spans="1:11" ht="18.75" customHeight="1">
      <c r="A123" s="3054" t="s">
        <v>2321</v>
      </c>
      <c r="B123" s="3054"/>
      <c r="C123" s="3054"/>
      <c r="D123" s="3099" t="str">
        <f ca="1">NUMBERSTRING(INT(D122*10000),2)&amp;"元整"</f>
        <v>叁仟叁佰捌拾叁万元整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2321</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2321</v>
      </c>
      <c r="B127" s="3054"/>
      <c r="C127" s="3054"/>
      <c r="D127" s="3099" t="e">
        <f>NUMBERSTRING(INT(D126*10000),2)&amp;"元整"</f>
        <v>#VALUE!</v>
      </c>
      <c r="E127" s="3101"/>
      <c r="F127" s="3101"/>
      <c r="G127" s="3101"/>
      <c r="H127" s="3101"/>
      <c r="I127" s="3100"/>
    </row>
    <row r="128" spans="1:11" ht="21.75" customHeight="1">
      <c r="A128" s="3102" t="s">
        <v>2322</v>
      </c>
      <c r="B128" s="3102"/>
      <c r="C128" s="3102"/>
      <c r="D128" s="3102"/>
      <c r="E128" s="3102"/>
      <c r="F128" s="3102"/>
      <c r="G128" s="3102"/>
      <c r="H128" s="3102"/>
      <c r="I128" s="310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估价对象为北京市房地产，为所有。根据《国有土地使用证》[]，估价对象（分摊）出让国有建设用地使用权面积为35925.1平方米，建筑面积为40878.99平方米。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估价对象为北京市房地产,为开发建设的办公项目，该项目尚在开发建设中。根据《国有土地使用证》[]，估价对象（分摊）出让国有建设用地使用权面积为35925.1平方米，规划建筑面积为40878.99平方米。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0" sqref="C3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t="s">
        <v>3079</v>
      </c>
      <c r="C1" s="1623" t="s">
        <v>2534</v>
      </c>
      <c r="D1" s="1624" t="s">
        <v>3079</v>
      </c>
      <c r="E1" s="1625"/>
      <c r="F1" s="2588" t="s">
        <v>3102</v>
      </c>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f>IF(C2="——",IF(B37="元/平方米",ROUND(C39*D3/10000,0),ROUND(F3*C39/10000,0)),IF(B37="元/平方米",ROUND(C39*D3/10000,0),ROUND(F3*C39/10000,0))-D2)</f>
        <v>3550</v>
      </c>
      <c r="C2" s="2590" t="s">
        <v>70</v>
      </c>
      <c r="D2" s="1127" t="e">
        <f ca="1">SUMIF(INDIRECT("'"&amp;F2&amp;"'"&amp;"!A:A"),"承租人权益价值",INDIRECT("'"&amp;F2&amp;"'"&amp;"!c:c"))</f>
        <v>#REF!</v>
      </c>
      <c r="E2" s="2591" t="s">
        <v>2332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6801</v>
      </c>
      <c r="C3" s="400" t="s">
        <v>2648</v>
      </c>
      <c r="D3" s="399">
        <f>SUMIF('数据-汇总表'!$C19:$C33,D1,'数据-汇总表'!$E19:$E33)</f>
        <v>5219.6000000000004</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92" t="s">
        <v>3172</v>
      </c>
      <c r="D5" s="3189"/>
      <c r="E5" s="3186" t="s">
        <v>3152</v>
      </c>
      <c r="F5" s="3187"/>
      <c r="G5" s="3192" t="s">
        <v>3153</v>
      </c>
      <c r="H5" s="3189"/>
      <c r="I5" s="3192" t="s">
        <v>3154</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316" t="s">
        <v>3173</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180" t="s">
        <v>2553</v>
      </c>
      <c r="Q7" s="3214"/>
      <c r="R7" s="770" t="s">
        <v>17</v>
      </c>
      <c r="S7" s="771">
        <f t="shared" ref="S7:S14" si="0">F7</f>
        <v>100</v>
      </c>
      <c r="T7" s="770" t="s">
        <v>17</v>
      </c>
      <c r="U7" s="771">
        <f t="shared" ref="U7:U14" si="1">H7</f>
        <v>100</v>
      </c>
      <c r="V7" s="770" t="s">
        <v>17</v>
      </c>
      <c r="W7" s="771">
        <f t="shared" ref="W7:W14" si="2">J7</f>
        <v>100</v>
      </c>
      <c r="X7" s="772"/>
      <c r="Y7" s="3180" t="s">
        <v>2553</v>
      </c>
      <c r="Z7" s="3181"/>
      <c r="AA7" s="773">
        <f>D7/F7</f>
        <v>1</v>
      </c>
      <c r="AB7" s="773">
        <f>D7/H7</f>
        <v>1</v>
      </c>
      <c r="AC7" s="773">
        <f>D7/J7</f>
        <v>1</v>
      </c>
    </row>
    <row r="8" spans="1:29" s="117" customFormat="1" ht="15.75" thickBot="1">
      <c r="A8" s="408" t="s">
        <v>2554</v>
      </c>
      <c r="B8" s="409"/>
      <c r="C8" s="414" t="s">
        <v>2656</v>
      </c>
      <c r="D8" s="411">
        <v>100</v>
      </c>
      <c r="E8" s="414" t="s">
        <v>3101</v>
      </c>
      <c r="F8" s="413">
        <f>SUMIF(51:51,E8,52:52)-SUMIF(51:51,C8,52:52)+100</f>
        <v>100</v>
      </c>
      <c r="G8" s="414" t="s">
        <v>3101</v>
      </c>
      <c r="H8" s="411">
        <f>SUMIF(51:51,G8,52:52)-SUMIF(51:51,C8,52:52)+100</f>
        <v>100</v>
      </c>
      <c r="I8" s="414" t="s">
        <v>3101</v>
      </c>
      <c r="J8" s="411">
        <f>SUMIF(51:51,I8,52:52)-SUMIF(51:51,C8,52:52)+100</f>
        <v>100</v>
      </c>
      <c r="K8" s="611"/>
      <c r="L8" s="1135"/>
      <c r="M8" s="1136"/>
      <c r="N8" s="1136"/>
      <c r="O8" s="1136"/>
      <c r="P8" s="3180" t="s">
        <v>2556</v>
      </c>
      <c r="Q8" s="3181"/>
      <c r="R8" s="770" t="s">
        <v>17</v>
      </c>
      <c r="S8" s="771">
        <f t="shared" si="0"/>
        <v>100</v>
      </c>
      <c r="T8" s="770" t="s">
        <v>17</v>
      </c>
      <c r="U8" s="771">
        <f t="shared" si="1"/>
        <v>100</v>
      </c>
      <c r="V8" s="770" t="s">
        <v>17</v>
      </c>
      <c r="W8" s="771">
        <f t="shared" si="2"/>
        <v>100</v>
      </c>
      <c r="X8" s="772"/>
      <c r="Y8" s="3180" t="s">
        <v>2556</v>
      </c>
      <c r="Z8" s="3181"/>
      <c r="AA8" s="773">
        <f t="shared" ref="AA8:AA36" si="3">D8/F8</f>
        <v>1</v>
      </c>
      <c r="AB8" s="773">
        <f t="shared" ref="AB8:AB36" si="4">D8/H8</f>
        <v>1</v>
      </c>
      <c r="AC8" s="773">
        <f t="shared" ref="AC8:AC36" si="5">D8/J8</f>
        <v>1</v>
      </c>
    </row>
    <row r="9" spans="1:29" s="117" customFormat="1">
      <c r="A9" s="68" t="s">
        <v>2557</v>
      </c>
      <c r="B9" s="640" t="s">
        <v>2558</v>
      </c>
      <c r="C9" s="2980" t="s">
        <v>3150</v>
      </c>
      <c r="D9" s="135">
        <v>100</v>
      </c>
      <c r="E9" s="419" t="s">
        <v>3079</v>
      </c>
      <c r="F9" s="135">
        <f>SUMIF(53:53,E9,54:54)-SUMIF(53:53,C9,54:54)+100</f>
        <v>100</v>
      </c>
      <c r="G9" s="417" t="s">
        <v>3079</v>
      </c>
      <c r="H9" s="135">
        <f>SUMIF(53:53,G9,54:54)-SUMIF(53:53,C9,54:54)+100</f>
        <v>100</v>
      </c>
      <c r="I9" s="417" t="s">
        <v>3079</v>
      </c>
      <c r="J9" s="135">
        <f>SUMIF(53:53,I9,54:54)-SUMIF(53:53,C9,54:54)+100</f>
        <v>100</v>
      </c>
      <c r="K9" s="611"/>
      <c r="L9" s="1135"/>
      <c r="M9" s="1136"/>
      <c r="N9" s="1136"/>
      <c r="O9" s="1136"/>
      <c r="P9" s="3224" t="s">
        <v>2559</v>
      </c>
      <c r="Q9" s="1798" t="str">
        <f t="shared" ref="Q9:Q14" si="6">B9</f>
        <v>用途</v>
      </c>
      <c r="R9" s="770" t="s">
        <v>17</v>
      </c>
      <c r="S9" s="771">
        <f t="shared" si="0"/>
        <v>100</v>
      </c>
      <c r="T9" s="770" t="s">
        <v>17</v>
      </c>
      <c r="U9" s="771">
        <f t="shared" si="1"/>
        <v>100</v>
      </c>
      <c r="V9" s="770" t="s">
        <v>17</v>
      </c>
      <c r="W9" s="771">
        <f t="shared" si="2"/>
        <v>100</v>
      </c>
      <c r="X9" s="772"/>
      <c r="Y9" s="3054" t="s">
        <v>2560</v>
      </c>
      <c r="Z9" s="55" t="str">
        <f t="shared" ref="Z9:Z14" si="7">Q9</f>
        <v>用途</v>
      </c>
      <c r="AA9" s="773">
        <f t="shared" si="3"/>
        <v>1</v>
      </c>
      <c r="AB9" s="773">
        <f t="shared" si="4"/>
        <v>1</v>
      </c>
      <c r="AC9" s="773">
        <f t="shared" si="5"/>
        <v>1</v>
      </c>
    </row>
    <row r="10" spans="1:29" s="427" customFormat="1" ht="27">
      <c r="A10" s="641"/>
      <c r="B10" s="642" t="s">
        <v>2561</v>
      </c>
      <c r="C10" s="423" t="s">
        <v>3151</v>
      </c>
      <c r="D10" s="136">
        <v>100</v>
      </c>
      <c r="E10" s="423" t="s">
        <v>3104</v>
      </c>
      <c r="F10" s="136">
        <f>SUMIF(55:55,E10,56:56)-SUMIF(55:55,C10,56:56)+100</f>
        <v>102</v>
      </c>
      <c r="G10" s="424" t="s">
        <v>3104</v>
      </c>
      <c r="H10" s="136">
        <f>SUMIF(55:55,G10,56:56)-SUMIF(55:55,C10,56:56)+100</f>
        <v>102</v>
      </c>
      <c r="I10" s="423" t="s">
        <v>3104</v>
      </c>
      <c r="J10" s="136">
        <f>SUMIF(55:55,I10,56:56)-SUMIF(55:55,C10,56:56)+100</f>
        <v>102</v>
      </c>
      <c r="K10" s="612">
        <v>2</v>
      </c>
      <c r="L10" s="1138"/>
      <c r="M10" s="1139"/>
      <c r="N10" s="1139"/>
      <c r="O10" s="1139"/>
      <c r="P10" s="3224"/>
      <c r="Q10" s="1798" t="str">
        <f t="shared" si="6"/>
        <v>土地使用年限（年）</v>
      </c>
      <c r="R10" s="770" t="s">
        <v>17</v>
      </c>
      <c r="S10" s="771">
        <f t="shared" si="0"/>
        <v>102</v>
      </c>
      <c r="T10" s="770" t="s">
        <v>17</v>
      </c>
      <c r="U10" s="771">
        <f t="shared" si="1"/>
        <v>102</v>
      </c>
      <c r="V10" s="770" t="s">
        <v>17</v>
      </c>
      <c r="W10" s="771">
        <f t="shared" si="2"/>
        <v>102</v>
      </c>
      <c r="X10" s="772"/>
      <c r="Y10" s="3054"/>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01" t="s">
        <v>2563</v>
      </c>
      <c r="B14" s="629" t="s">
        <v>2713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3315" t="s">
        <v>3156</v>
      </c>
      <c r="J14" s="441">
        <f>SUMIF(63:63,I15,64:64)-SUMIF(63:63,C15,64:64)+100</f>
        <v>100</v>
      </c>
      <c r="K14" s="614"/>
      <c r="L14" s="1143"/>
      <c r="M14" s="1134"/>
      <c r="N14" s="1134"/>
      <c r="O14" s="1134"/>
      <c r="P14" s="3217" t="s">
        <v>2564</v>
      </c>
      <c r="Q14" s="1813" t="str">
        <f t="shared" si="6"/>
        <v>交通便捷度</v>
      </c>
      <c r="R14" s="774" t="s">
        <v>17</v>
      </c>
      <c r="S14" s="775">
        <f t="shared" si="0"/>
        <v>100</v>
      </c>
      <c r="T14" s="774" t="s">
        <v>17</v>
      </c>
      <c r="U14" s="775">
        <f t="shared" si="1"/>
        <v>100</v>
      </c>
      <c r="V14" s="774" t="s">
        <v>17</v>
      </c>
      <c r="W14" s="775">
        <f t="shared" si="2"/>
        <v>100</v>
      </c>
      <c r="X14" s="1816"/>
      <c r="Y14" s="3217" t="s">
        <v>2564</v>
      </c>
      <c r="Z14" s="1817" t="str">
        <f t="shared" si="7"/>
        <v>交通便捷度</v>
      </c>
      <c r="AA14" s="1814">
        <f t="shared" si="3"/>
        <v>1</v>
      </c>
      <c r="AB14" s="1814">
        <f t="shared" si="4"/>
        <v>1</v>
      </c>
      <c r="AC14" s="1814">
        <f t="shared" si="5"/>
        <v>1</v>
      </c>
    </row>
    <row r="15" spans="1:29" ht="15">
      <c r="A15" s="404"/>
      <c r="B15" s="647"/>
      <c r="C15" s="447" t="s">
        <v>3105</v>
      </c>
      <c r="D15" s="448"/>
      <c r="E15" s="447" t="s">
        <v>3105</v>
      </c>
      <c r="F15" s="449"/>
      <c r="G15" s="447" t="s">
        <v>3105</v>
      </c>
      <c r="H15" s="450"/>
      <c r="I15" s="447" t="s">
        <v>3155</v>
      </c>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2692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12" t="s">
        <v>3106</v>
      </c>
      <c r="D17" s="448"/>
      <c r="E17" s="447" t="s">
        <v>3105</v>
      </c>
      <c r="F17" s="449"/>
      <c r="G17" s="447" t="s">
        <v>3105</v>
      </c>
      <c r="H17" s="448"/>
      <c r="I17" s="447" t="s">
        <v>3105</v>
      </c>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28.5">
      <c r="A18" s="404"/>
      <c r="B18" s="633" t="s">
        <v>2693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12" t="s">
        <v>3107</v>
      </c>
      <c r="D19" s="450"/>
      <c r="E19" s="2612" t="s">
        <v>3107</v>
      </c>
      <c r="F19" s="453"/>
      <c r="G19" s="2612" t="s">
        <v>3107</v>
      </c>
      <c r="H19" s="448"/>
      <c r="I19" s="447" t="s">
        <v>3107</v>
      </c>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57">
      <c r="A20" s="404"/>
      <c r="B20" s="631" t="s">
        <v>2714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t="s">
        <v>3105</v>
      </c>
      <c r="D21" s="448"/>
      <c r="E21" s="447" t="s">
        <v>3105</v>
      </c>
      <c r="F21" s="449"/>
      <c r="G21" s="447" t="s">
        <v>3105</v>
      </c>
      <c r="H21" s="448"/>
      <c r="I21" s="447" t="s">
        <v>3105</v>
      </c>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652" t="s">
        <v>2567</v>
      </c>
      <c r="B26" s="70" t="s">
        <v>2716</v>
      </c>
      <c r="C26" s="2698" t="str">
        <f>B1</f>
        <v>车库</v>
      </c>
      <c r="D26" s="448">
        <v>100</v>
      </c>
      <c r="E26" s="447" t="s">
        <v>3157</v>
      </c>
      <c r="F26" s="449">
        <f>SUMIF(79:79,E26,80:80)-SUMIF(79:79,C26,80:80)+100</f>
        <v>99</v>
      </c>
      <c r="G26" s="447" t="s">
        <v>3157</v>
      </c>
      <c r="H26" s="448">
        <f>SUMIF(79:79,G26,80:80)-SUMIF(79:79,C26,80:80)+100</f>
        <v>99</v>
      </c>
      <c r="I26" s="447" t="s">
        <v>3157</v>
      </c>
      <c r="J26" s="448">
        <f>SUMIF(79:79,I26,80:80)-SUMIF(79:79,C26,80:80)+100</f>
        <v>99</v>
      </c>
      <c r="K26" s="612">
        <v>1</v>
      </c>
      <c r="L26" s="1143"/>
      <c r="M26" s="1134"/>
      <c r="N26" s="1134"/>
      <c r="O26" s="1134"/>
      <c r="P26" s="3267" t="s">
        <v>2569</v>
      </c>
      <c r="Q26" s="1813" t="str">
        <f t="shared" si="11"/>
        <v>配套类型</v>
      </c>
      <c r="R26" s="774" t="s">
        <v>17</v>
      </c>
      <c r="S26" s="775">
        <f t="shared" ref="S26:S36" si="12">F26</f>
        <v>99</v>
      </c>
      <c r="T26" s="774" t="s">
        <v>17</v>
      </c>
      <c r="U26" s="775">
        <f t="shared" ref="U26:U36" si="13">H26</f>
        <v>99</v>
      </c>
      <c r="V26" s="774" t="s">
        <v>17</v>
      </c>
      <c r="W26" s="775">
        <f t="shared" ref="W26:W36" si="14">J26</f>
        <v>99</v>
      </c>
      <c r="X26" s="1816"/>
      <c r="Y26" s="3222" t="s">
        <v>2569</v>
      </c>
      <c r="Z26" s="1817" t="str">
        <f t="shared" ref="Z26:Z36" si="15">Q26</f>
        <v>配套类型</v>
      </c>
      <c r="AA26" s="1814">
        <f t="shared" si="3"/>
        <v>1.0101010101010102</v>
      </c>
      <c r="AB26" s="1814">
        <f t="shared" si="4"/>
        <v>1.0101010101010102</v>
      </c>
      <c r="AC26" s="1814">
        <f t="shared" si="5"/>
        <v>1.0101010101010102</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4">
        <f t="shared" si="3"/>
        <v>1</v>
      </c>
      <c r="AB27" s="1814">
        <f t="shared" si="4"/>
        <v>1</v>
      </c>
      <c r="AC27" s="1814">
        <f t="shared" si="5"/>
        <v>1</v>
      </c>
    </row>
    <row r="28" spans="1:29" ht="15">
      <c r="A28" s="656"/>
      <c r="B28" s="654" t="s">
        <v>2718</v>
      </c>
      <c r="C28" s="460" t="s">
        <v>3161</v>
      </c>
      <c r="D28" s="435">
        <v>100</v>
      </c>
      <c r="E28" s="460" t="s">
        <v>3161</v>
      </c>
      <c r="F28" s="461">
        <f>SUMIF(83:83,E28,84:84)-SUMIF(83:83,C28,84:84)+100</f>
        <v>100</v>
      </c>
      <c r="G28" s="460" t="s">
        <v>3161</v>
      </c>
      <c r="H28" s="435">
        <f>SUMIF(83:83,G28,84:84)-SUMIF(83:83,C28,84:84)+100</f>
        <v>100</v>
      </c>
      <c r="I28" s="460" t="s">
        <v>3161</v>
      </c>
      <c r="J28" s="435">
        <f>SUMIF(83:83,I28,84:84)-SUMIF(83:83,C28,84:84)+100</f>
        <v>100</v>
      </c>
      <c r="K28" s="612">
        <v>2</v>
      </c>
      <c r="L28" s="1143"/>
      <c r="M28" s="1134"/>
      <c r="N28" s="1134"/>
      <c r="O28" s="1134"/>
      <c r="P28" s="3222"/>
      <c r="Q28" s="1813" t="str">
        <f t="shared" si="11"/>
        <v>公共部分装修</v>
      </c>
      <c r="R28" s="774" t="s">
        <v>17</v>
      </c>
      <c r="S28" s="775">
        <f t="shared" si="12"/>
        <v>100</v>
      </c>
      <c r="T28" s="774" t="s">
        <v>17</v>
      </c>
      <c r="U28" s="775">
        <f t="shared" si="13"/>
        <v>100</v>
      </c>
      <c r="V28" s="774" t="s">
        <v>17</v>
      </c>
      <c r="W28" s="775">
        <f t="shared" si="14"/>
        <v>100</v>
      </c>
      <c r="X28" s="1816"/>
      <c r="Y28" s="3222"/>
      <c r="Z28" s="1817" t="str">
        <f t="shared" si="15"/>
        <v>公共部分装修</v>
      </c>
      <c r="AA28" s="1814">
        <f t="shared" si="3"/>
        <v>1</v>
      </c>
      <c r="AB28" s="1814">
        <f t="shared" si="4"/>
        <v>1</v>
      </c>
      <c r="AC28" s="1814">
        <f t="shared" si="5"/>
        <v>1</v>
      </c>
    </row>
    <row r="29" spans="1:29" ht="15">
      <c r="A29" s="656"/>
      <c r="B29" s="654" t="s">
        <v>2719</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222"/>
      <c r="Q29" s="1813" t="str">
        <f t="shared" si="11"/>
        <v>成新率</v>
      </c>
      <c r="R29" s="774" t="s">
        <v>17</v>
      </c>
      <c r="S29" s="775">
        <f t="shared" si="12"/>
        <v>98</v>
      </c>
      <c r="T29" s="774" t="s">
        <v>17</v>
      </c>
      <c r="U29" s="775">
        <f t="shared" si="13"/>
        <v>98</v>
      </c>
      <c r="V29" s="774" t="s">
        <v>17</v>
      </c>
      <c r="W29" s="775">
        <f t="shared" si="14"/>
        <v>100</v>
      </c>
      <c r="X29" s="1816"/>
      <c r="Y29" s="3222"/>
      <c r="Z29" s="1817" t="str">
        <f t="shared" si="15"/>
        <v>成新率</v>
      </c>
      <c r="AA29" s="1814">
        <f t="shared" si="3"/>
        <v>1.0204081632653061</v>
      </c>
      <c r="AB29" s="1814">
        <f t="shared" si="4"/>
        <v>1.0204081632653061</v>
      </c>
      <c r="AC29" s="1814">
        <f t="shared" si="5"/>
        <v>1</v>
      </c>
    </row>
    <row r="30" spans="1:29" ht="15">
      <c r="A30" s="656"/>
      <c r="B30" s="654" t="s">
        <v>2720</v>
      </c>
      <c r="C30" s="657" t="s">
        <v>3144</v>
      </c>
      <c r="D30" s="435">
        <v>100</v>
      </c>
      <c r="E30" s="657" t="s">
        <v>3144</v>
      </c>
      <c r="F30" s="461">
        <f>SUMIF(88:88,E30,89:89)-SUMIF(88:88,C30,89:89)+100</f>
        <v>100</v>
      </c>
      <c r="G30" s="657" t="s">
        <v>3144</v>
      </c>
      <c r="H30" s="435">
        <f>SUMIF(88:88,E30,89:89)-SUMIF(88:88,C30,89:89)+100</f>
        <v>100</v>
      </c>
      <c r="I30" s="657" t="s">
        <v>3144</v>
      </c>
      <c r="J30" s="435">
        <f>SUMIF(88:88,E30,89:89)-SUMIF(88:88,C30,89:89)+100</f>
        <v>100</v>
      </c>
      <c r="K30" s="612">
        <v>2</v>
      </c>
      <c r="L30" s="1143"/>
      <c r="M30" s="1134"/>
      <c r="N30" s="1134"/>
      <c r="O30" s="1134"/>
      <c r="P30" s="3222"/>
      <c r="Q30" s="1813" t="str">
        <f t="shared" si="11"/>
        <v>物业等级</v>
      </c>
      <c r="R30" s="774" t="s">
        <v>17</v>
      </c>
      <c r="S30" s="775">
        <f t="shared" si="12"/>
        <v>100</v>
      </c>
      <c r="T30" s="774" t="s">
        <v>17</v>
      </c>
      <c r="U30" s="775">
        <f t="shared" si="13"/>
        <v>100</v>
      </c>
      <c r="V30" s="774" t="s">
        <v>17</v>
      </c>
      <c r="W30" s="775">
        <f t="shared" si="14"/>
        <v>100</v>
      </c>
      <c r="X30" s="1816"/>
      <c r="Y30" s="3222"/>
      <c r="Z30" s="1817" t="str">
        <f t="shared" si="15"/>
        <v>物业等级</v>
      </c>
      <c r="AA30" s="1814">
        <f t="shared" si="3"/>
        <v>1</v>
      </c>
      <c r="AB30" s="1814">
        <f t="shared" si="4"/>
        <v>1</v>
      </c>
      <c r="AC30" s="1814">
        <f t="shared" si="5"/>
        <v>1</v>
      </c>
    </row>
    <row r="31" spans="1:29" s="117" customFormat="1" ht="15">
      <c r="A31" s="658"/>
      <c r="B31" s="654" t="s">
        <v>2721</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222"/>
      <c r="Q31" s="1798" t="str">
        <f t="shared" si="11"/>
        <v>停车位面积</v>
      </c>
      <c r="R31" s="770" t="s">
        <v>17</v>
      </c>
      <c r="S31" s="771">
        <f t="shared" si="12"/>
        <v>100</v>
      </c>
      <c r="T31" s="770" t="s">
        <v>17</v>
      </c>
      <c r="U31" s="771">
        <f t="shared" si="13"/>
        <v>100</v>
      </c>
      <c r="V31" s="770" t="s">
        <v>17</v>
      </c>
      <c r="W31" s="771">
        <f t="shared" si="14"/>
        <v>103</v>
      </c>
      <c r="X31" s="772"/>
      <c r="Y31" s="3222"/>
      <c r="Z31" s="55" t="str">
        <f t="shared" si="15"/>
        <v>停车位面积</v>
      </c>
      <c r="AA31" s="773">
        <f t="shared" si="3"/>
        <v>1</v>
      </c>
      <c r="AB31" s="773">
        <f t="shared" si="4"/>
        <v>1</v>
      </c>
      <c r="AC31" s="773">
        <f t="shared" si="5"/>
        <v>0.970873786407767</v>
      </c>
    </row>
    <row r="32" spans="1:29" ht="15">
      <c r="A32" s="656"/>
      <c r="B32" s="654" t="s">
        <v>2722</v>
      </c>
      <c r="C32" s="460" t="s">
        <v>3167</v>
      </c>
      <c r="D32" s="435">
        <v>100</v>
      </c>
      <c r="E32" s="460" t="s">
        <v>3165</v>
      </c>
      <c r="F32" s="461">
        <f>SUMIF(93:93,E32,94:94)-SUMIF(93:93,C32,94:94)+100</f>
        <v>102</v>
      </c>
      <c r="G32" s="460" t="s">
        <v>3165</v>
      </c>
      <c r="H32" s="435">
        <f>SUMIF(93:93,G32,94:94)-SUMIF(93:93,C32,94:94)+100</f>
        <v>102</v>
      </c>
      <c r="I32" s="460" t="s">
        <v>3165</v>
      </c>
      <c r="J32" s="435">
        <f>SUMIF(93:93,I32,94:94)-SUMIF(93:93,C32,94:94)+100</f>
        <v>102</v>
      </c>
      <c r="K32" s="612">
        <v>2</v>
      </c>
      <c r="L32" s="1143"/>
      <c r="M32" s="1134"/>
      <c r="N32" s="1134"/>
      <c r="O32" s="1134"/>
      <c r="P32" s="3222" t="s">
        <v>2569</v>
      </c>
      <c r="Q32" s="1813" t="str">
        <f t="shared" si="11"/>
        <v>车位类型</v>
      </c>
      <c r="R32" s="774" t="s">
        <v>17</v>
      </c>
      <c r="S32" s="775">
        <f t="shared" si="12"/>
        <v>102</v>
      </c>
      <c r="T32" s="774" t="s">
        <v>17</v>
      </c>
      <c r="U32" s="775">
        <f t="shared" si="13"/>
        <v>102</v>
      </c>
      <c r="V32" s="774" t="s">
        <v>17</v>
      </c>
      <c r="W32" s="775">
        <f t="shared" si="14"/>
        <v>102</v>
      </c>
      <c r="X32" s="1816"/>
      <c r="Y32" s="3222" t="s">
        <v>2569</v>
      </c>
      <c r="Z32" s="1817" t="str">
        <f t="shared" si="15"/>
        <v>车位类型</v>
      </c>
      <c r="AA32" s="1814">
        <f t="shared" si="3"/>
        <v>0.98039215686274506</v>
      </c>
      <c r="AB32" s="1814">
        <f t="shared" si="4"/>
        <v>0.98039215686274506</v>
      </c>
      <c r="AC32" s="1814">
        <f t="shared" si="5"/>
        <v>0.98039215686274506</v>
      </c>
    </row>
    <row r="33" spans="1:29" ht="15">
      <c r="A33" s="656"/>
      <c r="B33" s="654" t="s">
        <v>2723</v>
      </c>
      <c r="C33" s="460" t="s">
        <v>3059</v>
      </c>
      <c r="D33" s="435">
        <v>100</v>
      </c>
      <c r="E33" s="460" t="s">
        <v>3059</v>
      </c>
      <c r="F33" s="461">
        <f>SUMIF(95:95,E33,96:96)-SUMIF(95:95,C33,96:96)+100</f>
        <v>100</v>
      </c>
      <c r="G33" s="460" t="s">
        <v>3059</v>
      </c>
      <c r="H33" s="435">
        <f>SUMIF(95:95,G33,96:96)-SUMIF(95:95,C33,96:96)+100</f>
        <v>100</v>
      </c>
      <c r="I33" s="460" t="s">
        <v>3059</v>
      </c>
      <c r="J33" s="435">
        <f>SUMIF(95:95,I33,96:96)-SUMIF(95:95,C33,96:96)+100</f>
        <v>100</v>
      </c>
      <c r="K33" s="612">
        <v>2</v>
      </c>
      <c r="L33" s="1143"/>
      <c r="M33" s="1134"/>
      <c r="N33" s="1134"/>
      <c r="O33" s="1134"/>
      <c r="P33" s="3222"/>
      <c r="Q33" s="1813" t="str">
        <f t="shared" si="11"/>
        <v>是否直接入户</v>
      </c>
      <c r="R33" s="774" t="s">
        <v>17</v>
      </c>
      <c r="S33" s="775">
        <f t="shared" si="12"/>
        <v>100</v>
      </c>
      <c r="T33" s="774" t="s">
        <v>17</v>
      </c>
      <c r="U33" s="775">
        <f t="shared" si="13"/>
        <v>100</v>
      </c>
      <c r="V33" s="774" t="s">
        <v>17</v>
      </c>
      <c r="W33" s="775">
        <f t="shared" si="14"/>
        <v>100</v>
      </c>
      <c r="X33" s="1816"/>
      <c r="Y33" s="322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3">
        <f t="shared" si="11"/>
        <v>111</v>
      </c>
      <c r="R36" s="774" t="s">
        <v>17</v>
      </c>
      <c r="S36" s="775">
        <f t="shared" si="12"/>
        <v>100</v>
      </c>
      <c r="T36" s="774" t="s">
        <v>17</v>
      </c>
      <c r="U36" s="775">
        <f t="shared" si="13"/>
        <v>100</v>
      </c>
      <c r="V36" s="774" t="s">
        <v>17</v>
      </c>
      <c r="W36" s="775">
        <f t="shared" si="14"/>
        <v>100</v>
      </c>
      <c r="X36" s="1816"/>
      <c r="Y36" s="3222"/>
      <c r="Z36" s="1817">
        <f t="shared" si="15"/>
        <v>111</v>
      </c>
      <c r="AA36" s="1814">
        <f t="shared" si="3"/>
        <v>1</v>
      </c>
      <c r="AB36" s="1814">
        <f t="shared" si="4"/>
        <v>1</v>
      </c>
      <c r="AC36" s="1814">
        <f t="shared" si="5"/>
        <v>1</v>
      </c>
    </row>
    <row r="37" spans="1:29" ht="15">
      <c r="A37" s="479" t="s">
        <v>2724</v>
      </c>
      <c r="B37" s="2699" t="s">
        <v>3149</v>
      </c>
      <c r="C37" s="1410" t="s">
        <v>1</v>
      </c>
      <c r="D37" s="1411"/>
      <c r="E37" s="1412">
        <v>6452</v>
      </c>
      <c r="F37" s="1413"/>
      <c r="G37" s="1414">
        <v>7172</v>
      </c>
      <c r="H37" s="1415"/>
      <c r="I37" s="1412">
        <v>7325</v>
      </c>
      <c r="J37" s="1415"/>
      <c r="K37" s="619"/>
      <c r="L37" s="1146"/>
      <c r="M37" s="1147"/>
      <c r="N37" s="1134"/>
      <c r="O37" s="1147"/>
      <c r="P37" s="3224" t="str">
        <f>A37</f>
        <v>成交单价</v>
      </c>
      <c r="Q37" s="3224"/>
      <c r="R37" s="3225">
        <f>E37</f>
        <v>6452</v>
      </c>
      <c r="S37" s="3225"/>
      <c r="T37" s="3225">
        <f>G37</f>
        <v>7172</v>
      </c>
      <c r="U37" s="3225"/>
      <c r="V37" s="3225">
        <f>I37</f>
        <v>7325</v>
      </c>
      <c r="W37" s="3225"/>
      <c r="X37" s="759"/>
      <c r="Y37" s="781"/>
      <c r="Z37" s="759"/>
      <c r="AA37" s="759"/>
      <c r="AB37" s="759"/>
      <c r="AC37" s="759"/>
    </row>
    <row r="38" spans="1:29" ht="15.75" thickBot="1">
      <c r="A38" s="486" t="s">
        <v>2725</v>
      </c>
      <c r="B38" s="487" t="str">
        <f>B37</f>
        <v>元/平方米</v>
      </c>
      <c r="C38" s="1416">
        <f>R39</f>
        <v>6801</v>
      </c>
      <c r="D38" s="1417"/>
      <c r="E38" s="1418">
        <f>R38</f>
        <v>6392</v>
      </c>
      <c r="F38" s="1418"/>
      <c r="G38" s="1416">
        <f>T38</f>
        <v>7105</v>
      </c>
      <c r="H38" s="1417"/>
      <c r="I38" s="1418">
        <f>V38</f>
        <v>6905</v>
      </c>
      <c r="J38" s="1417"/>
      <c r="K38" s="620"/>
      <c r="L38" s="1146"/>
      <c r="M38" s="1147"/>
      <c r="N38" s="1147"/>
      <c r="O38" s="1147"/>
      <c r="P38" s="3224" t="str">
        <f>A38</f>
        <v>比较价值（元/平方米）</v>
      </c>
      <c r="Q38" s="3224"/>
      <c r="R38" s="3225">
        <f>IF(F1="售价",ROUND(PRODUCT(R37,AA7:AA36),0),ROUND(PRODUCT(R37,AA7:AA36),1))</f>
        <v>6392</v>
      </c>
      <c r="S38" s="3225"/>
      <c r="T38" s="3225">
        <f>IF(F1="售价",ROUND(PRODUCT(T37,AB7:AB36),0),ROUND(PRODUCT(T37,AB7:AB36),1))</f>
        <v>7105</v>
      </c>
      <c r="U38" s="3225"/>
      <c r="V38" s="3225">
        <f>IF(F1="售价",ROUND(PRODUCT(V37,AC7:AC36),0),ROUND(PRODUCT(V37,AC7:AC36),1))</f>
        <v>6905</v>
      </c>
      <c r="W38" s="3225"/>
      <c r="X38" s="759"/>
      <c r="Y38" s="759"/>
      <c r="Z38" s="759"/>
      <c r="AA38" s="759"/>
      <c r="AB38" s="759"/>
      <c r="AC38" s="759"/>
    </row>
    <row r="39" spans="1:29" ht="15.75" thickBot="1">
      <c r="A39" s="492" t="s">
        <v>2726</v>
      </c>
      <c r="B39" s="493"/>
      <c r="C39" s="1420">
        <f>R39</f>
        <v>6801</v>
      </c>
      <c r="D39" s="1420"/>
      <c r="E39" s="1420"/>
      <c r="F39" s="1420"/>
      <c r="G39" s="1420"/>
      <c r="H39" s="1420"/>
      <c r="I39" s="1420"/>
      <c r="J39" s="1420"/>
      <c r="K39" s="621"/>
      <c r="L39" s="1146"/>
      <c r="M39" s="1147"/>
      <c r="N39" s="1147"/>
      <c r="O39" s="1147"/>
      <c r="P39" s="3264" t="str">
        <f>A39</f>
        <v>估价对象XX用房的比较价值（楼面单价，元/平方米）</v>
      </c>
      <c r="Q39" s="3265"/>
      <c r="R39" s="3266">
        <f>IF(F1="售价",ROUND(AVERAGE(R38:V38),0),ROUND(AVERAGE(R38:V38),1))</f>
        <v>6801</v>
      </c>
      <c r="S39" s="3266"/>
      <c r="T39" s="3266"/>
      <c r="U39" s="3266"/>
      <c r="V39" s="3266"/>
      <c r="W39" s="326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f>IF(E37&lt;E38,E38/E37-1,E37/E38-1)</f>
        <v>9.386733416770987E-3</v>
      </c>
      <c r="F42" s="500" t="str">
        <f>IF(OR(E42&gt;=0.3,E42&lt;=-0.3),"超过30%","")</f>
        <v/>
      </c>
      <c r="G42" s="499">
        <f>IF(G37&lt;G38,G38/G37-1,G37/G38-1)</f>
        <v>9.4299788881069269E-3</v>
      </c>
      <c r="H42" s="500" t="str">
        <f>IF(OR(G42&gt;=0.3,G42&lt;=-0.3),"超过30%","")</f>
        <v/>
      </c>
      <c r="I42" s="499">
        <f>IF(I37&lt;I38,I38/I37-1,I37/I38-1)</f>
        <v>6.0825488776249159E-2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f>IF(E38&lt;G38,G38/E38-1,E38/G38-1)</f>
        <v>0.11154568210262839</v>
      </c>
      <c r="F43" s="500" t="str">
        <f>IF(OR(E43&gt;=0.2,E43&lt;=-0.2),"超过20%","")</f>
        <v/>
      </c>
      <c r="G43" s="499">
        <f>IF(G38&lt;I38,I38/G38-1,G38/I38-1)</f>
        <v>2.8964518464880573E-2</v>
      </c>
      <c r="H43" s="500" t="str">
        <f>IF(OR(G43&gt;=0.2,G43&lt;=-0.2),"超过20%","")</f>
        <v/>
      </c>
      <c r="I43" s="499">
        <f>IF(I38&lt;E38,E38/I38-1,I38/E38-1)</f>
        <v>8.0256570713391762E-2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2733</v>
      </c>
      <c r="C79" s="529" t="str">
        <f>C26</f>
        <v>车库</v>
      </c>
      <c r="D79" s="2982" t="s">
        <v>3158</v>
      </c>
      <c r="E79" s="2982" t="s">
        <v>3159</v>
      </c>
      <c r="F79" s="2982" t="s">
        <v>3160</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2981" t="s">
        <v>3162</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2982" t="s">
        <v>3163</v>
      </c>
      <c r="D88" s="2982" t="s">
        <v>3164</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2981" t="s">
        <v>3166</v>
      </c>
      <c r="D93" s="2981" t="s">
        <v>3168</v>
      </c>
      <c r="E93" s="2983" t="s">
        <v>3169</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2982" t="s">
        <v>3170</v>
      </c>
      <c r="D95" s="2982" t="s">
        <v>3171</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32" sqref="C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3079</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3215</v>
      </c>
      <c r="C2" s="1848" t="s">
        <v>1516</v>
      </c>
      <c r="D2" s="1848"/>
      <c r="E2" s="1849"/>
      <c r="F2" s="1850"/>
      <c r="G2" s="1851"/>
      <c r="H2" s="1843"/>
      <c r="I2" s="1843"/>
      <c r="J2" s="1843"/>
      <c r="K2" s="1844"/>
      <c r="L2" s="1843"/>
      <c r="M2" s="1843"/>
    </row>
    <row r="3" spans="1:37" ht="18" customHeight="1" thickBot="1">
      <c r="A3" s="1852" t="s">
        <v>1517</v>
      </c>
      <c r="B3" s="1853">
        <f ca="1">IF(ISERROR(B2*10000/F43),0,ROUND(B2*10000/F43,0))</f>
        <v>6159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217</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217</v>
      </c>
      <c r="D6" s="164" t="s">
        <v>3037</v>
      </c>
      <c r="E6" s="347" t="s">
        <v>1404</v>
      </c>
      <c r="F6" s="348">
        <f ca="1">INDIRECT("'数据-取费表'!u"&amp;$G$1)</f>
        <v>1.2</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2951" t="s">
        <v>1405</v>
      </c>
      <c r="F7" s="348">
        <f ca="1">IF(INDIRECT("'数据-取费表'!ah"&amp;$G$1)="",INDIRECT("'数据-取费表'!k"&amp;$G$1),INDIRECT("'数据-取费表'!ah"&amp;$G$1))</f>
        <v>5219.6000000000004</v>
      </c>
      <c r="G7" s="1854"/>
      <c r="H7" s="349"/>
      <c r="I7" s="3232"/>
      <c r="J7" s="351"/>
      <c r="K7" s="352"/>
      <c r="L7" s="347" t="s">
        <v>1405</v>
      </c>
      <c r="M7" s="348">
        <f ca="1">F7</f>
        <v>5219.6000000000004</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0.05</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3033</v>
      </c>
      <c r="E10" s="358" t="s">
        <v>1410</v>
      </c>
      <c r="F10" s="1369" t="s">
        <v>3091</v>
      </c>
      <c r="G10" s="1854"/>
      <c r="H10" s="1294" t="s">
        <v>1039</v>
      </c>
      <c r="I10" s="1826" t="s">
        <v>1408</v>
      </c>
      <c r="J10" s="346">
        <f ca="1">ROUND(IF(M10="押一",M6*M8*M7/12*M11,IF(M10="押二",M6*M8*M7/12*2*M11,IF(M10="押三",M6*M8*M7/12*3*M11,J11*M11)))/10000,0)</f>
        <v>0</v>
      </c>
      <c r="K10" s="1827" t="s">
        <v>3033</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1503</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1044</v>
      </c>
      <c r="D14" s="2945" t="s">
        <v>1418</v>
      </c>
      <c r="E14" s="2943"/>
      <c r="F14" s="364"/>
      <c r="G14" s="1854"/>
      <c r="H14" s="1204" t="s">
        <v>1035</v>
      </c>
      <c r="I14" s="347" t="s">
        <v>1419</v>
      </c>
      <c r="J14" s="24">
        <f ca="1">C29</f>
        <v>1549</v>
      </c>
      <c r="K14" s="2950"/>
      <c r="L14" s="982"/>
      <c r="M14" s="983"/>
    </row>
    <row r="15" spans="1:37" s="1861" customFormat="1" ht="18" customHeight="1" thickBot="1">
      <c r="A15" s="1204" t="s">
        <v>1036</v>
      </c>
      <c r="B15" s="347" t="s">
        <v>1420</v>
      </c>
      <c r="C15" s="24">
        <f ca="1">ROUND(C14*F15,0)</f>
        <v>31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45</v>
      </c>
      <c r="K16" s="1340" t="s">
        <v>1425</v>
      </c>
      <c r="L16" s="2946"/>
      <c r="M16" s="1297"/>
    </row>
    <row r="17" spans="1:37" s="1861" customFormat="1" ht="18" customHeight="1">
      <c r="A17" s="1204" t="s">
        <v>1389</v>
      </c>
      <c r="B17" s="347" t="s">
        <v>1426</v>
      </c>
      <c r="C17" s="24">
        <f ca="1">ROUND(F17*(F43+INDIRECT("'数据-取费表'!S"&amp;$G$1))/10000,0)</f>
        <v>104</v>
      </c>
      <c r="D17" s="347" t="s">
        <v>1427</v>
      </c>
      <c r="E17" s="347" t="s">
        <v>1428</v>
      </c>
      <c r="F17" s="26">
        <f>'数据-取费表'!B35</f>
        <v>200</v>
      </c>
      <c r="G17" s="1857"/>
      <c r="H17" s="1204" t="s">
        <v>1035</v>
      </c>
      <c r="I17" s="347" t="s">
        <v>1429</v>
      </c>
      <c r="J17" s="24">
        <f ca="1">ROUND(IF(项目基本情况!B11="自然人",J5*M17,J18+J19+J20),1)</f>
        <v>13.7</v>
      </c>
      <c r="K17" s="2945" t="s">
        <v>1430</v>
      </c>
      <c r="L17" s="294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4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1195</v>
      </c>
      <c r="D19" s="140" t="s">
        <v>1436</v>
      </c>
      <c r="E19" s="2949"/>
      <c r="F19" s="26"/>
      <c r="G19" s="1854"/>
      <c r="H19" s="1204" t="s">
        <v>1036</v>
      </c>
      <c r="I19" s="347" t="s">
        <v>1437</v>
      </c>
      <c r="J19" s="24">
        <f ca="1">IF(K19="按租金收入计税",ROUND(J5*M19,2),ROUND(C29*M19*0.7,2))</f>
        <v>13.01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36</v>
      </c>
      <c r="D20" s="369" t="s">
        <v>1440</v>
      </c>
      <c r="E20" s="347" t="s">
        <v>1422</v>
      </c>
      <c r="F20" s="367">
        <f>'数据-取费表'!B37</f>
        <v>0.03</v>
      </c>
      <c r="G20" s="1857"/>
      <c r="H20" s="1204" t="s">
        <v>1388</v>
      </c>
      <c r="I20" s="164" t="s">
        <v>1441</v>
      </c>
      <c r="J20" s="25">
        <f ca="1">ROUND(M20*M21/10000,2)</f>
        <v>0.69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4587.07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31</v>
      </c>
      <c r="K22" s="2944"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59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4"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-45</v>
      </c>
      <c r="K25" s="1348" t="s">
        <v>1464</v>
      </c>
      <c r="L25" s="1349"/>
      <c r="M25" s="1350"/>
    </row>
    <row r="26" spans="1:37">
      <c r="A26" s="1204" t="s">
        <v>1034</v>
      </c>
      <c r="B26" s="347" t="s">
        <v>1465</v>
      </c>
      <c r="C26" s="24">
        <f ca="1">ROUND((C19+C20)*F26,0)</f>
        <v>123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1549</v>
      </c>
      <c r="D29" s="1345"/>
      <c r="E29" s="1343"/>
      <c r="F29" s="1346"/>
      <c r="G29" s="1857"/>
      <c r="H29" s="380" t="s">
        <v>1033</v>
      </c>
      <c r="I29" s="381" t="s">
        <v>1479</v>
      </c>
      <c r="J29" s="382">
        <f ca="1">ROUND(J26/(1+F40)^F41,0)</f>
        <v>0</v>
      </c>
      <c r="K29" s="383" t="s">
        <v>1480</v>
      </c>
      <c r="L29" s="384"/>
      <c r="M29" s="385">
        <f ca="1">INDIRECT("'数据-取费表'!k"&amp;$G$1)</f>
        <v>5219.6000000000004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64</v>
      </c>
      <c r="D30" s="1340" t="s">
        <v>1425</v>
      </c>
      <c r="E30" s="2946"/>
      <c r="F30" s="1297"/>
      <c r="G30" s="1854"/>
      <c r="H30" s="745"/>
      <c r="I30" s="746"/>
      <c r="J30" s="747"/>
      <c r="K30" s="748"/>
      <c r="L30" s="749"/>
      <c r="M30" s="750"/>
    </row>
    <row r="31" spans="1:37" ht="18" customHeight="1">
      <c r="A31" s="1204" t="s">
        <v>1035</v>
      </c>
      <c r="B31" s="347" t="s">
        <v>1429</v>
      </c>
      <c r="C31" s="24">
        <f ca="1">ROUND(IF(项目基本情况!B11="自然人",C5*F31,C32+C33+C34),1)</f>
        <v>25.3</v>
      </c>
      <c r="D31" s="2945" t="s">
        <v>1430</v>
      </c>
      <c r="E31" s="294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11.57</v>
      </c>
      <c r="D32" s="294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0.69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4587.07</v>
      </c>
      <c r="G35" s="1854"/>
      <c r="H35" s="745"/>
      <c r="I35" s="1863"/>
      <c r="J35" s="1864"/>
      <c r="K35" s="1865"/>
      <c r="L35" s="1862"/>
      <c r="M35" s="1862"/>
    </row>
    <row r="36" spans="1:18" ht="18" customHeight="1">
      <c r="A36" s="1355" t="s">
        <v>1039</v>
      </c>
      <c r="B36" s="347" t="s">
        <v>1449</v>
      </c>
      <c r="C36" s="24">
        <f ca="1">ROUND(C29*F36,1)</f>
        <v>31</v>
      </c>
      <c r="D36" s="2944"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v>
      </c>
      <c r="D37" s="2944" t="s">
        <v>1454</v>
      </c>
      <c r="E37" s="347" t="s">
        <v>1422</v>
      </c>
      <c r="F37" s="376">
        <f ca="1">INDIRECT("'数据-取费表'!Al"&amp;$G$1)</f>
        <v>2E-3</v>
      </c>
      <c r="G37" s="1854"/>
      <c r="H37" s="1862"/>
      <c r="I37" s="1863"/>
      <c r="J37" s="1864"/>
      <c r="K37" s="751"/>
      <c r="L37" s="1862"/>
      <c r="M37" s="1862"/>
    </row>
    <row r="38" spans="1:18" ht="18" customHeight="1" thickBot="1">
      <c r="A38" s="1342" t="s">
        <v>1391</v>
      </c>
      <c r="B38" s="1343" t="s">
        <v>1439</v>
      </c>
      <c r="C38" s="1344">
        <f ca="1">ROUND(C5*F38,1)</f>
        <v>4.3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153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3215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6159</v>
      </c>
      <c r="D43" s="383" t="s">
        <v>1488</v>
      </c>
      <c r="E43" s="384" t="s">
        <v>1489</v>
      </c>
      <c r="F43" s="385">
        <f ca="1">INDIRECT("'数据-取费表'!k"&amp;$G$1)</f>
        <v>5219.6000000000004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-4033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3215</v>
      </c>
      <c r="R47" s="1889" t="s">
        <v>1529</v>
      </c>
    </row>
    <row r="48" spans="1:18" s="1845" customFormat="1" ht="28.5" thickBot="1">
      <c r="A48" s="1363" t="s">
        <v>1135</v>
      </c>
      <c r="B48" s="345" t="s">
        <v>1400</v>
      </c>
      <c r="C48" s="2948">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2016</v>
      </c>
      <c r="K49" s="1892" t="s">
        <v>1535</v>
      </c>
      <c r="L49" s="1896"/>
      <c r="O49" s="1897" t="s">
        <v>1042</v>
      </c>
      <c r="P49" s="1888" t="s">
        <v>1536</v>
      </c>
      <c r="Q49" s="1889">
        <f ca="1">C29</f>
        <v>1549</v>
      </c>
      <c r="R49" s="1889" t="s">
        <v>1529</v>
      </c>
    </row>
    <row r="50" spans="1:18" s="1845" customFormat="1" ht="13.5" thickBot="1">
      <c r="A50" s="1198"/>
      <c r="B50" s="1201"/>
      <c r="C50" s="1371"/>
      <c r="D50" s="1175"/>
      <c r="E50" s="1280" t="s">
        <v>1405</v>
      </c>
      <c r="F50" s="1281">
        <f ca="1">F7</f>
        <v>5219.6000000000004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324</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3033</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3215</v>
      </c>
      <c r="R53" s="1889" t="s">
        <v>1047</v>
      </c>
    </row>
    <row r="54" spans="1:18" s="1845" customFormat="1" ht="13.5" thickBot="1">
      <c r="A54" s="1409"/>
      <c r="B54" s="1828" t="s">
        <v>1387</v>
      </c>
      <c r="C54" s="1181"/>
      <c r="D54" s="1827"/>
      <c r="E54" s="294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1503</v>
      </c>
      <c r="D56" s="1917"/>
      <c r="E56" s="1918"/>
      <c r="F56" s="1910"/>
      <c r="I56" s="1919" t="s">
        <v>1554</v>
      </c>
      <c r="J56" s="1920" t="s">
        <v>3056</v>
      </c>
      <c r="K56" s="1890" t="s">
        <v>1555</v>
      </c>
      <c r="L56" s="1893" t="str">
        <f ca="1">IF(L48&lt;J51,"——",L48-J53)</f>
        <v>——</v>
      </c>
      <c r="O56" s="1887" t="s">
        <v>1040</v>
      </c>
      <c r="P56" s="1888" t="s">
        <v>1528</v>
      </c>
      <c r="Q56" s="1889">
        <f ca="1">C40+J29</f>
        <v>3215</v>
      </c>
      <c r="R56" s="1889" t="s">
        <v>1529</v>
      </c>
    </row>
    <row r="57" spans="1:18" s="1845" customFormat="1" ht="24.75" thickBot="1">
      <c r="A57" s="1921"/>
      <c r="B57" s="1172" t="s">
        <v>1478</v>
      </c>
      <c r="C57" s="282">
        <f ca="1">C29</f>
        <v>1549</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13.01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0.69</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3215</v>
      </c>
      <c r="R62" s="1889" t="s">
        <v>1047</v>
      </c>
    </row>
    <row r="63" spans="1:18" s="1845" customFormat="1" ht="13.5" thickBot="1">
      <c r="A63" s="372"/>
      <c r="B63" s="1178"/>
      <c r="C63" s="29"/>
      <c r="D63" s="1188"/>
      <c r="E63" s="1172" t="s">
        <v>1447</v>
      </c>
      <c r="F63" s="348">
        <f t="shared" ca="1" si="0"/>
        <v>4587.07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31</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v>
      </c>
      <c r="D65" s="1186" t="s">
        <v>1454</v>
      </c>
      <c r="E65" s="1172" t="s">
        <v>1422</v>
      </c>
      <c r="F65" s="376">
        <f t="shared" ca="1" si="0"/>
        <v>2E-3</v>
      </c>
      <c r="I65" s="1932" t="s">
        <v>1579</v>
      </c>
      <c r="J65" s="1933">
        <v>40</v>
      </c>
      <c r="K65" s="1933">
        <v>30</v>
      </c>
      <c r="L65" s="1933">
        <v>50</v>
      </c>
      <c r="M65" s="1935">
        <v>0.02</v>
      </c>
      <c r="O65" s="1887" t="s">
        <v>1040</v>
      </c>
      <c r="P65" s="1888" t="s">
        <v>1528</v>
      </c>
      <c r="Q65" s="1889">
        <f ca="1">C40+J29</f>
        <v>3215</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-48</v>
      </c>
      <c r="D67" s="1185" t="s">
        <v>1464</v>
      </c>
      <c r="E67" s="1190"/>
      <c r="F67" s="1191"/>
      <c r="O67" s="1897" t="s">
        <v>1042</v>
      </c>
      <c r="P67" s="1888" t="s">
        <v>1562</v>
      </c>
      <c r="Q67" s="1936">
        <f ca="1">L51</f>
        <v>324</v>
      </c>
      <c r="R67" s="1889" t="s">
        <v>1582</v>
      </c>
    </row>
    <row r="68" spans="1:18" s="1845" customFormat="1" ht="16.5" thickBot="1">
      <c r="A68" s="1169" t="s">
        <v>1032</v>
      </c>
      <c r="B68" s="1170" t="s">
        <v>1485</v>
      </c>
      <c r="C68" s="346">
        <f ca="1">ROUND(C67*(1-((1+F70)/(1+F68))^F69)/(F68-F70),0)</f>
        <v>-818</v>
      </c>
      <c r="D68" s="1187" t="s">
        <v>1469</v>
      </c>
      <c r="E68" s="1172" t="s">
        <v>1470</v>
      </c>
      <c r="F68" s="357">
        <f ca="1">F40</f>
        <v>0.05</v>
      </c>
      <c r="O68" s="1897" t="s">
        <v>1043</v>
      </c>
      <c r="P68" s="1937" t="s">
        <v>1583</v>
      </c>
      <c r="Q68" s="1889">
        <f ca="1">ROUND(Q69-Q70*Q71,0)</f>
        <v>18</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153</v>
      </c>
      <c r="R69" s="1889" t="s">
        <v>1529</v>
      </c>
    </row>
    <row r="70" spans="1:18" s="1845" customFormat="1" ht="13.5" thickBot="1">
      <c r="A70" s="1176"/>
      <c r="B70" s="1177"/>
      <c r="C70" s="355"/>
      <c r="D70" s="1188"/>
      <c r="E70" s="1172" t="s">
        <v>1477</v>
      </c>
      <c r="F70" s="1278"/>
      <c r="O70" s="1897" t="s">
        <v>1049</v>
      </c>
      <c r="P70" s="1937" t="s">
        <v>1585</v>
      </c>
      <c r="Q70" s="1889">
        <f ca="1">C13</f>
        <v>1503</v>
      </c>
      <c r="R70" s="1889" t="s">
        <v>1529</v>
      </c>
    </row>
    <row r="71" spans="1:18" s="1845" customFormat="1" ht="13.5" thickBot="1">
      <c r="A71" s="1193" t="s">
        <v>1033</v>
      </c>
      <c r="B71" s="1194" t="s">
        <v>1487</v>
      </c>
      <c r="C71" s="382">
        <f ca="1">ROUND(C68*10000/F71,0)</f>
        <v>-1567</v>
      </c>
      <c r="D71" s="1195" t="s">
        <v>1488</v>
      </c>
      <c r="E71" s="1196" t="s">
        <v>1489</v>
      </c>
      <c r="F71" s="385">
        <f ca="1">F43</f>
        <v>5219.6000000000004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135</v>
      </c>
      <c r="D75" s="1845"/>
      <c r="E75" s="1845"/>
      <c r="F75" s="1845"/>
      <c r="K75" s="1871"/>
      <c r="L75" s="1845"/>
      <c r="O75" s="1887" t="s">
        <v>1046</v>
      </c>
      <c r="P75" s="1888" t="s">
        <v>1549</v>
      </c>
      <c r="Q75" s="1889">
        <f ca="1">Q65+Q66</f>
        <v>3215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0.11799999999999999</v>
      </c>
    </row>
    <row r="80" spans="1:18">
      <c r="B80" s="386" t="s">
        <v>1511</v>
      </c>
      <c r="C80" s="318">
        <f ca="1">ROUND(C75/C39,3)</f>
        <v>0.88200000000000001</v>
      </c>
    </row>
    <row r="81" spans="2:3">
      <c r="B81" s="314" t="s">
        <v>1512</v>
      </c>
      <c r="C81" s="282"/>
    </row>
    <row r="82" spans="2:3">
      <c r="B82" s="317" t="s">
        <v>1513</v>
      </c>
      <c r="C82" s="319">
        <f ca="1">1-C83</f>
        <v>0.53299999999999992</v>
      </c>
    </row>
    <row r="83" spans="2:3">
      <c r="B83" s="317" t="s">
        <v>1514</v>
      </c>
      <c r="C83" s="318">
        <f ca="1">ROUND(C13/C40,3)</f>
        <v>0.46700000000000003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2706</v>
      </c>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0"/>
      <c r="D2" s="1127"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40878.99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2563</v>
      </c>
      <c r="B15" s="69" t="s">
        <v>2707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7" t="s">
        <v>2564</v>
      </c>
      <c r="Q15" s="1813" t="str">
        <f t="shared" si="6"/>
        <v>产业集聚程度</v>
      </c>
      <c r="R15" s="774" t="s">
        <v>17</v>
      </c>
      <c r="S15" s="775">
        <f t="shared" si="0"/>
        <v>100</v>
      </c>
      <c r="T15" s="774" t="s">
        <v>17</v>
      </c>
      <c r="U15" s="775">
        <f t="shared" si="1"/>
        <v>100</v>
      </c>
      <c r="V15" s="774" t="s">
        <v>17</v>
      </c>
      <c r="W15" s="775">
        <f t="shared" si="2"/>
        <v>100</v>
      </c>
      <c r="X15" s="1816"/>
      <c r="Y15" s="3217"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2692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28.5">
      <c r="A21" s="428"/>
      <c r="B21" s="1387" t="s">
        <v>2693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2694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8"/>
      <c r="Q25" s="1813">
        <f>B25</f>
        <v>111</v>
      </c>
      <c r="R25" s="774" t="s">
        <v>17</v>
      </c>
      <c r="S25" s="775">
        <f>F25</f>
        <v>100</v>
      </c>
      <c r="T25" s="774" t="s">
        <v>17</v>
      </c>
      <c r="U25" s="775">
        <f>H25</f>
        <v>100</v>
      </c>
      <c r="V25" s="774" t="s">
        <v>17</v>
      </c>
      <c r="W25" s="775">
        <f>J25</f>
        <v>100</v>
      </c>
      <c r="X25" s="1816"/>
      <c r="Y25" s="321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15">
      <c r="A29" s="466" t="s">
        <v>2567</v>
      </c>
      <c r="B29" s="71" t="s">
        <v>2697</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67" t="s">
        <v>2569</v>
      </c>
      <c r="Q29" s="1813" t="str">
        <f t="shared" si="11"/>
        <v>建筑类型</v>
      </c>
      <c r="R29" s="774" t="s">
        <v>17</v>
      </c>
      <c r="S29" s="775">
        <f t="shared" si="12"/>
        <v>100</v>
      </c>
      <c r="T29" s="774" t="s">
        <v>17</v>
      </c>
      <c r="U29" s="775">
        <f t="shared" si="13"/>
        <v>100</v>
      </c>
      <c r="V29" s="774" t="s">
        <v>17</v>
      </c>
      <c r="W29" s="775">
        <f t="shared" si="14"/>
        <v>100</v>
      </c>
      <c r="X29" s="1816"/>
      <c r="Y29" s="3222"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3" t="str">
        <f t="shared" si="11"/>
        <v>建筑结构</v>
      </c>
      <c r="R31" s="774" t="s">
        <v>17</v>
      </c>
      <c r="S31" s="775">
        <f t="shared" si="12"/>
        <v>100</v>
      </c>
      <c r="T31" s="774" t="s">
        <v>17</v>
      </c>
      <c r="U31" s="775">
        <f t="shared" si="13"/>
        <v>100</v>
      </c>
      <c r="V31" s="774" t="s">
        <v>17</v>
      </c>
      <c r="W31" s="775">
        <f t="shared" si="14"/>
        <v>100</v>
      </c>
      <c r="X31" s="1816"/>
      <c r="Y31" s="3222"/>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3" t="str">
        <f t="shared" si="11"/>
        <v>公共部分装修</v>
      </c>
      <c r="R32" s="774" t="s">
        <v>17</v>
      </c>
      <c r="S32" s="775">
        <f t="shared" si="12"/>
        <v>100</v>
      </c>
      <c r="T32" s="774" t="s">
        <v>17</v>
      </c>
      <c r="U32" s="775">
        <f t="shared" si="13"/>
        <v>100</v>
      </c>
      <c r="V32" s="774" t="s">
        <v>17</v>
      </c>
      <c r="W32" s="775">
        <f t="shared" si="14"/>
        <v>100</v>
      </c>
      <c r="X32" s="1816"/>
      <c r="Y32" s="3222"/>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3" t="str">
        <f t="shared" si="11"/>
        <v>成新度</v>
      </c>
      <c r="R33" s="774" t="s">
        <v>17</v>
      </c>
      <c r="S33" s="775" t="e">
        <f t="shared" si="12"/>
        <v>#N/A</v>
      </c>
      <c r="T33" s="774" t="s">
        <v>17</v>
      </c>
      <c r="U33" s="775" t="e">
        <f t="shared" si="13"/>
        <v>#N/A</v>
      </c>
      <c r="V33" s="774" t="s">
        <v>17</v>
      </c>
      <c r="W33" s="775" t="e">
        <f t="shared" si="14"/>
        <v>#N/A</v>
      </c>
      <c r="X33" s="1816"/>
      <c r="Y33" s="3222"/>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8"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2569</v>
      </c>
      <c r="Q35" s="1813" t="str">
        <f t="shared" si="11"/>
        <v>市政基础设施</v>
      </c>
      <c r="R35" s="774" t="s">
        <v>17</v>
      </c>
      <c r="S35" s="775">
        <f t="shared" si="12"/>
        <v>100</v>
      </c>
      <c r="T35" s="774" t="s">
        <v>17</v>
      </c>
      <c r="U35" s="775">
        <f t="shared" si="13"/>
        <v>100</v>
      </c>
      <c r="V35" s="774" t="s">
        <v>17</v>
      </c>
      <c r="W35" s="775">
        <f t="shared" si="14"/>
        <v>100</v>
      </c>
      <c r="X35" s="1816"/>
      <c r="Y35" s="3222"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3" t="str">
        <f t="shared" si="11"/>
        <v>内部装修</v>
      </c>
      <c r="R36" s="774" t="s">
        <v>17</v>
      </c>
      <c r="S36" s="775">
        <f t="shared" si="12"/>
        <v>100</v>
      </c>
      <c r="T36" s="774" t="s">
        <v>17</v>
      </c>
      <c r="U36" s="775">
        <f t="shared" si="13"/>
        <v>100</v>
      </c>
      <c r="V36" s="774" t="s">
        <v>17</v>
      </c>
      <c r="W36" s="775">
        <f t="shared" si="14"/>
        <v>100</v>
      </c>
      <c r="X36" s="1816"/>
      <c r="Y36" s="3222"/>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3" t="str">
        <f t="shared" si="11"/>
        <v>内部装修状况</v>
      </c>
      <c r="R37" s="774" t="s">
        <v>17</v>
      </c>
      <c r="S37" s="775">
        <f t="shared" si="12"/>
        <v>100</v>
      </c>
      <c r="T37" s="774" t="s">
        <v>17</v>
      </c>
      <c r="U37" s="775">
        <f t="shared" si="13"/>
        <v>100</v>
      </c>
      <c r="V37" s="774" t="s">
        <v>17</v>
      </c>
      <c r="W37" s="775">
        <f t="shared" si="14"/>
        <v>100</v>
      </c>
      <c r="X37" s="1816"/>
      <c r="Y37" s="322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3">
        <f t="shared" si="11"/>
        <v>111</v>
      </c>
      <c r="R39" s="774" t="s">
        <v>17</v>
      </c>
      <c r="S39" s="775">
        <f t="shared" si="12"/>
        <v>100</v>
      </c>
      <c r="T39" s="774" t="s">
        <v>17</v>
      </c>
      <c r="U39" s="775">
        <f t="shared" si="13"/>
        <v>100</v>
      </c>
      <c r="V39" s="774" t="s">
        <v>17</v>
      </c>
      <c r="W39" s="775">
        <f t="shared" si="14"/>
        <v>100</v>
      </c>
      <c r="X39" s="1816"/>
      <c r="Y39" s="3222"/>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3">
        <f t="shared" si="11"/>
        <v>111</v>
      </c>
      <c r="R40" s="774" t="s">
        <v>17</v>
      </c>
      <c r="S40" s="775">
        <f t="shared" si="12"/>
        <v>100</v>
      </c>
      <c r="T40" s="774" t="s">
        <v>17</v>
      </c>
      <c r="U40" s="775">
        <f t="shared" si="13"/>
        <v>100</v>
      </c>
      <c r="V40" s="774" t="s">
        <v>17</v>
      </c>
      <c r="W40" s="775">
        <f t="shared" si="14"/>
        <v>100</v>
      </c>
      <c r="X40" s="1816"/>
      <c r="Y40" s="3223"/>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64" t="str">
        <f>A43</f>
        <v>估价对象XX用房的比较价值（楼面单价，元/平方米）</v>
      </c>
      <c r="Q43" s="3265"/>
      <c r="R43" s="3266" t="e">
        <f>IF(F1="售价",ROUND(AVERAGE(R42:V42),0),ROUND(AVERAGE(R42:V42),1))</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0"/>
      <c r="D2" s="1127" t="e">
        <f ca="1">SUMIF(INDIRECT("'"&amp;F2&amp;"'"&amp;"!A:A"),"承租人权益价值",INDIRECT("'"&amp;F2&amp;"'"&amp;"!c:c"))</f>
        <v>#REF!</v>
      </c>
      <c r="E2" s="2591" t="s">
        <v>2332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80" t="s">
        <v>2553</v>
      </c>
      <c r="Q7" s="3214"/>
      <c r="R7" s="770" t="s">
        <v>17</v>
      </c>
      <c r="S7" s="771">
        <f t="shared" ref="S7:S14" si="0">F7</f>
        <v>0</v>
      </c>
      <c r="T7" s="770" t="s">
        <v>17</v>
      </c>
      <c r="U7" s="771">
        <f t="shared" ref="U7:U14" si="1">H7</f>
        <v>0</v>
      </c>
      <c r="V7" s="770" t="s">
        <v>17</v>
      </c>
      <c r="W7" s="771">
        <f t="shared" ref="W7:W14"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2559</v>
      </c>
      <c r="Q9" s="1798" t="str">
        <f t="shared" ref="Q9:Q14" si="6">B9</f>
        <v>用途</v>
      </c>
      <c r="R9" s="770" t="s">
        <v>17</v>
      </c>
      <c r="S9" s="771">
        <f t="shared" si="0"/>
        <v>100</v>
      </c>
      <c r="T9" s="770" t="s">
        <v>17</v>
      </c>
      <c r="U9" s="771">
        <f t="shared" si="1"/>
        <v>100</v>
      </c>
      <c r="V9" s="770" t="s">
        <v>17</v>
      </c>
      <c r="W9" s="771">
        <f t="shared" si="2"/>
        <v>100</v>
      </c>
      <c r="X9" s="772"/>
      <c r="Y9" s="305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40" t="s">
        <v>2563</v>
      </c>
      <c r="B14" s="69" t="s">
        <v>2713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2564</v>
      </c>
      <c r="Q14" s="1813" t="str">
        <f t="shared" si="6"/>
        <v>交通便捷度</v>
      </c>
      <c r="R14" s="774" t="s">
        <v>17</v>
      </c>
      <c r="S14" s="775">
        <f t="shared" si="0"/>
        <v>100</v>
      </c>
      <c r="T14" s="774" t="s">
        <v>17</v>
      </c>
      <c r="U14" s="775">
        <f t="shared" si="1"/>
        <v>100</v>
      </c>
      <c r="V14" s="774" t="s">
        <v>17</v>
      </c>
      <c r="W14" s="775">
        <f t="shared" si="2"/>
        <v>100</v>
      </c>
      <c r="X14" s="1816"/>
      <c r="Y14" s="3217"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2692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28.5">
      <c r="A18" s="428"/>
      <c r="B18" s="1387" t="s">
        <v>2693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57">
      <c r="A20" s="428"/>
      <c r="B20" s="451" t="s">
        <v>2714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466" t="s">
        <v>2567</v>
      </c>
      <c r="B26" s="71" t="s">
        <v>2718</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67"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2"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3" t="str">
        <f t="shared" si="11"/>
        <v>物业等级</v>
      </c>
      <c r="R28" s="774" t="s">
        <v>17</v>
      </c>
      <c r="S28" s="775">
        <f t="shared" si="12"/>
        <v>100</v>
      </c>
      <c r="T28" s="774" t="s">
        <v>17</v>
      </c>
      <c r="U28" s="775">
        <f t="shared" si="13"/>
        <v>100</v>
      </c>
      <c r="V28" s="774" t="s">
        <v>17</v>
      </c>
      <c r="W28" s="775">
        <f t="shared" si="14"/>
        <v>100</v>
      </c>
      <c r="X28" s="1816"/>
      <c r="Y28" s="3222"/>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3" t="str">
        <f t="shared" si="11"/>
        <v>有无电梯</v>
      </c>
      <c r="R29" s="774" t="s">
        <v>17</v>
      </c>
      <c r="S29" s="775">
        <f t="shared" si="12"/>
        <v>100</v>
      </c>
      <c r="T29" s="774" t="s">
        <v>17</v>
      </c>
      <c r="U29" s="775">
        <f t="shared" si="13"/>
        <v>100</v>
      </c>
      <c r="V29" s="774" t="s">
        <v>17</v>
      </c>
      <c r="W29" s="775">
        <f t="shared" si="14"/>
        <v>100</v>
      </c>
      <c r="X29" s="1816"/>
      <c r="Y29" s="3222"/>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3" t="str">
        <f t="shared" si="11"/>
        <v>建筑面积</v>
      </c>
      <c r="R30" s="774" t="s">
        <v>17</v>
      </c>
      <c r="S30" s="775" t="e">
        <f t="shared" si="12"/>
        <v>#N/A</v>
      </c>
      <c r="T30" s="774" t="s">
        <v>17</v>
      </c>
      <c r="U30" s="775" t="e">
        <f t="shared" si="13"/>
        <v>#N/A</v>
      </c>
      <c r="V30" s="774" t="s">
        <v>17</v>
      </c>
      <c r="W30" s="775" t="e">
        <f t="shared" si="14"/>
        <v>#N/A</v>
      </c>
      <c r="X30" s="1816"/>
      <c r="Y30" s="3222"/>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8"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2569</v>
      </c>
      <c r="Q32" s="1813">
        <f t="shared" si="11"/>
        <v>111</v>
      </c>
      <c r="R32" s="774" t="s">
        <v>17</v>
      </c>
      <c r="S32" s="775">
        <f t="shared" si="12"/>
        <v>100</v>
      </c>
      <c r="T32" s="774" t="s">
        <v>17</v>
      </c>
      <c r="U32" s="775">
        <f t="shared" si="13"/>
        <v>100</v>
      </c>
      <c r="V32" s="774" t="s">
        <v>17</v>
      </c>
      <c r="W32" s="775">
        <f t="shared" si="14"/>
        <v>100</v>
      </c>
      <c r="X32" s="1816"/>
      <c r="Y32" s="3222" t="s">
        <v>2569</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3">
        <f t="shared" si="11"/>
        <v>111</v>
      </c>
      <c r="R33" s="774" t="s">
        <v>17</v>
      </c>
      <c r="S33" s="775">
        <f t="shared" si="12"/>
        <v>100</v>
      </c>
      <c r="T33" s="774" t="s">
        <v>17</v>
      </c>
      <c r="U33" s="775">
        <f t="shared" si="13"/>
        <v>100</v>
      </c>
      <c r="V33" s="774" t="s">
        <v>17</v>
      </c>
      <c r="W33" s="775">
        <f t="shared" si="14"/>
        <v>100</v>
      </c>
      <c r="X33" s="1816"/>
      <c r="Y33" s="3222"/>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64" t="str">
        <f>A37</f>
        <v>估价对象XX用房的比较价值（楼面单价，元/平方米）</v>
      </c>
      <c r="Q37" s="3265"/>
      <c r="R37" s="3266" t="e">
        <f>IF(F1="售价",ROUND(AVERAGE(R36:V36),0),ROUND(AVERAGE(R36:V36),1))</f>
        <v>#DIV/0!</v>
      </c>
      <c r="S37" s="3266"/>
      <c r="T37" s="3266"/>
      <c r="U37" s="3266"/>
      <c r="V37" s="3266"/>
      <c r="W37" s="326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30"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30"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30" s="117" customFormat="1" ht="15.75" thickBot="1">
      <c r="A7" s="408" t="s">
        <v>2552</v>
      </c>
      <c r="B7" s="409"/>
      <c r="C7" s="410">
        <f>'数据-取费表'!B2</f>
        <v>43140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5" si="3">D8/F8</f>
        <v>#DIV/0!</v>
      </c>
      <c r="AB8" s="773" t="e">
        <f t="shared" ref="AB8:AB45" si="4">D8/H8</f>
        <v>#DIV/0!</v>
      </c>
      <c r="AC8" s="773" t="e">
        <f t="shared" ref="AC8:AC45" si="5">D8/J8</f>
        <v>#DIV/0!</v>
      </c>
    </row>
    <row r="9" spans="1:30" s="117" customFormat="1">
      <c r="A9" s="415" t="s">
        <v>2557</v>
      </c>
      <c r="B9" s="71" t="s">
        <v>2558</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4"/>
      <c r="Q10" s="1798"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8"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99.75">
      <c r="A15" s="440" t="s">
        <v>2563</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2564</v>
      </c>
      <c r="Q15" s="1813" t="str">
        <f t="shared" si="6"/>
        <v>居住社区成熟度</v>
      </c>
      <c r="R15" s="774" t="s">
        <v>17</v>
      </c>
      <c r="S15" s="775">
        <f t="shared" si="0"/>
        <v>100</v>
      </c>
      <c r="T15" s="774" t="s">
        <v>17</v>
      </c>
      <c r="U15" s="775">
        <f t="shared" si="1"/>
        <v>100</v>
      </c>
      <c r="V15" s="774" t="s">
        <v>17</v>
      </c>
      <c r="W15" s="775">
        <f t="shared" si="2"/>
        <v>100</v>
      </c>
      <c r="X15" s="1816"/>
      <c r="Y15" s="3217" t="s">
        <v>2564</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2657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71.25">
      <c r="A19" s="428"/>
      <c r="B19" s="451" t="s">
        <v>2691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85.5">
      <c r="A21" s="428"/>
      <c r="B21" s="451" t="s">
        <v>2713</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8"/>
      <c r="Q24" s="1813"/>
      <c r="R24" s="774"/>
      <c r="S24" s="775"/>
      <c r="T24" s="774"/>
      <c r="U24" s="775"/>
      <c r="V24" s="774"/>
      <c r="W24" s="775"/>
      <c r="X24" s="1816"/>
      <c r="Y24" s="3218"/>
      <c r="Z24" s="1817"/>
      <c r="AA24" s="1814"/>
      <c r="AB24" s="1814"/>
      <c r="AC24" s="1814"/>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2658</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28.5">
      <c r="A29" s="649"/>
      <c r="B29" s="1387" t="s">
        <v>2659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7" t="s">
        <v>2569</v>
      </c>
      <c r="Q36" s="1813">
        <f t="shared" si="8"/>
        <v>111</v>
      </c>
      <c r="R36" s="774" t="s">
        <v>17</v>
      </c>
      <c r="S36" s="775">
        <f t="shared" si="10"/>
        <v>100</v>
      </c>
      <c r="T36" s="774" t="s">
        <v>17</v>
      </c>
      <c r="U36" s="775">
        <f t="shared" si="11"/>
        <v>100</v>
      </c>
      <c r="V36" s="774" t="s">
        <v>17</v>
      </c>
      <c r="W36" s="775">
        <f t="shared" si="12"/>
        <v>100</v>
      </c>
      <c r="X36" s="1816"/>
      <c r="Y36" s="3222"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3">
        <f t="shared" si="8"/>
        <v>111</v>
      </c>
      <c r="R37" s="777" t="s">
        <v>17</v>
      </c>
      <c r="S37" s="778">
        <f t="shared" si="10"/>
        <v>100</v>
      </c>
      <c r="T37" s="777" t="s">
        <v>17</v>
      </c>
      <c r="U37" s="778">
        <f t="shared" si="11"/>
        <v>100</v>
      </c>
      <c r="V37" s="777" t="s">
        <v>17</v>
      </c>
      <c r="W37" s="778">
        <f t="shared" si="12"/>
        <v>100</v>
      </c>
      <c r="X37" s="779"/>
      <c r="Y37" s="3222"/>
      <c r="Z37" s="780">
        <f t="shared" si="13"/>
        <v>111</v>
      </c>
      <c r="AA37" s="1814">
        <f t="shared" si="3"/>
        <v>1</v>
      </c>
      <c r="AB37" s="1814">
        <f t="shared" si="4"/>
        <v>1</v>
      </c>
      <c r="AC37" s="1814">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2"/>
      <c r="Q38" s="1813" t="str">
        <f>B38</f>
        <v>宗地面积</v>
      </c>
      <c r="R38" s="774" t="s">
        <v>17</v>
      </c>
      <c r="S38" s="775" t="e">
        <f t="shared" si="10"/>
        <v>#N/A</v>
      </c>
      <c r="T38" s="774" t="s">
        <v>17</v>
      </c>
      <c r="U38" s="775" t="e">
        <f t="shared" si="11"/>
        <v>#N/A</v>
      </c>
      <c r="V38" s="774" t="s">
        <v>17</v>
      </c>
      <c r="W38" s="775" t="e">
        <f t="shared" si="12"/>
        <v>#N/A</v>
      </c>
      <c r="X38" s="1816"/>
      <c r="Y38" s="3222"/>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22"/>
      <c r="Q39" s="1813" t="str">
        <f t="shared" ref="Q39:Q45" si="14">B39</f>
        <v>宗地形状</v>
      </c>
      <c r="R39" s="774" t="s">
        <v>17</v>
      </c>
      <c r="S39" s="775">
        <f t="shared" si="10"/>
        <v>100</v>
      </c>
      <c r="T39" s="774" t="s">
        <v>17</v>
      </c>
      <c r="U39" s="775">
        <f t="shared" si="11"/>
        <v>100</v>
      </c>
      <c r="V39" s="774" t="s">
        <v>17</v>
      </c>
      <c r="W39" s="775">
        <f t="shared" si="12"/>
        <v>100</v>
      </c>
      <c r="X39" s="1816"/>
      <c r="Y39" s="3222"/>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22"/>
      <c r="Q40" s="1813" t="str">
        <f t="shared" si="14"/>
        <v>临街宽度及深度</v>
      </c>
      <c r="R40" s="774" t="s">
        <v>17</v>
      </c>
      <c r="S40" s="775">
        <f t="shared" si="10"/>
        <v>100</v>
      </c>
      <c r="T40" s="774" t="s">
        <v>17</v>
      </c>
      <c r="U40" s="775">
        <f t="shared" si="11"/>
        <v>100</v>
      </c>
      <c r="V40" s="774" t="s">
        <v>17</v>
      </c>
      <c r="W40" s="775">
        <f t="shared" si="12"/>
        <v>100</v>
      </c>
      <c r="X40" s="1816"/>
      <c r="Y40" s="3222"/>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22"/>
      <c r="Q41" s="1813"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22" t="s">
        <v>2569</v>
      </c>
      <c r="Q42" s="1813" t="str">
        <f t="shared" si="14"/>
        <v>工程地质条件</v>
      </c>
      <c r="R42" s="774" t="s">
        <v>17</v>
      </c>
      <c r="S42" s="775">
        <f t="shared" si="10"/>
        <v>100</v>
      </c>
      <c r="T42" s="774" t="s">
        <v>17</v>
      </c>
      <c r="U42" s="775">
        <f t="shared" si="11"/>
        <v>100</v>
      </c>
      <c r="V42" s="774" t="s">
        <v>17</v>
      </c>
      <c r="W42" s="775">
        <f t="shared" si="12"/>
        <v>100</v>
      </c>
      <c r="X42" s="1816"/>
      <c r="Y42" s="3222"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3">
        <f t="shared" si="14"/>
        <v>111</v>
      </c>
      <c r="R43" s="774" t="s">
        <v>17</v>
      </c>
      <c r="S43" s="775">
        <f t="shared" si="10"/>
        <v>100</v>
      </c>
      <c r="T43" s="774" t="s">
        <v>17</v>
      </c>
      <c r="U43" s="775">
        <f t="shared" si="11"/>
        <v>100</v>
      </c>
      <c r="V43" s="774" t="s">
        <v>17</v>
      </c>
      <c r="W43" s="775">
        <f t="shared" si="12"/>
        <v>100</v>
      </c>
      <c r="X43" s="1816"/>
      <c r="Y43" s="322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3">
        <f t="shared" si="14"/>
        <v>111</v>
      </c>
      <c r="R44" s="774" t="s">
        <v>17</v>
      </c>
      <c r="S44" s="775">
        <f t="shared" si="10"/>
        <v>100</v>
      </c>
      <c r="T44" s="774" t="s">
        <v>17</v>
      </c>
      <c r="U44" s="775">
        <f t="shared" si="11"/>
        <v>100</v>
      </c>
      <c r="V44" s="774" t="s">
        <v>17</v>
      </c>
      <c r="W44" s="775">
        <f t="shared" si="12"/>
        <v>100</v>
      </c>
      <c r="X44" s="1816"/>
      <c r="Y44" s="3222"/>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3">
        <f t="shared" si="14"/>
        <v>111</v>
      </c>
      <c r="R45" s="777" t="s">
        <v>17</v>
      </c>
      <c r="S45" s="778">
        <f t="shared" si="10"/>
        <v>100</v>
      </c>
      <c r="T45" s="777" t="s">
        <v>17</v>
      </c>
      <c r="U45" s="778">
        <f t="shared" si="11"/>
        <v>100</v>
      </c>
      <c r="V45" s="777" t="s">
        <v>17</v>
      </c>
      <c r="W45" s="778">
        <f t="shared" si="12"/>
        <v>100</v>
      </c>
      <c r="X45" s="779"/>
      <c r="Y45" s="3222"/>
      <c r="Z45" s="780">
        <f t="shared" si="13"/>
        <v>111</v>
      </c>
      <c r="AA45" s="1814">
        <f t="shared" si="3"/>
        <v>1</v>
      </c>
      <c r="AB45" s="1814">
        <f t="shared" si="4"/>
        <v>1</v>
      </c>
      <c r="AC45" s="1814">
        <f t="shared" si="5"/>
        <v>1</v>
      </c>
    </row>
    <row r="46" spans="1:29" ht="15">
      <c r="A46" s="479" t="s">
        <v>2724</v>
      </c>
      <c r="B46" s="2708" t="s">
        <v>2759</v>
      </c>
      <c r="C46" s="682" t="s">
        <v>1</v>
      </c>
      <c r="D46" s="481"/>
      <c r="E46" s="482"/>
      <c r="F46" s="483"/>
      <c r="G46" s="484"/>
      <c r="H46" s="485"/>
      <c r="I46" s="482"/>
      <c r="J46" s="485"/>
      <c r="K46" s="783"/>
      <c r="L46" s="1146"/>
      <c r="M46" s="1147"/>
      <c r="N46" s="1134"/>
      <c r="O46" s="1147"/>
      <c r="P46" s="3224" t="str">
        <f>A46</f>
        <v>成交单价</v>
      </c>
      <c r="Q46" s="3224"/>
      <c r="R46" s="3212">
        <f>E46</f>
        <v>0</v>
      </c>
      <c r="S46" s="3212"/>
      <c r="T46" s="3212">
        <f>G46</f>
        <v>0</v>
      </c>
      <c r="U46" s="3212"/>
      <c r="V46" s="3212">
        <f>I46</f>
        <v>0</v>
      </c>
      <c r="W46" s="3212"/>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64" t="str">
        <f>A48</f>
        <v>估价对象XX用房的比较价值（楼面单价，元/平方米）</v>
      </c>
      <c r="Q48" s="3265"/>
      <c r="R48" s="3269" t="e">
        <f>ROUND(AVERAGE(R47:V47),0)</f>
        <v>#DIV/0!</v>
      </c>
      <c r="S48" s="3269"/>
      <c r="T48" s="3269"/>
      <c r="U48" s="3269"/>
      <c r="V48" s="3269"/>
      <c r="W48" s="32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99" t="s">
        <v>2767</v>
      </c>
      <c r="H55" s="3270"/>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35659.39</v>
      </c>
      <c r="F56" s="1106" t="e">
        <f t="shared" ref="F56:F65" si="15">ROUND(B56*E56/10000,0)</f>
        <v>#DIV/0!</v>
      </c>
      <c r="G56" s="3195"/>
      <c r="H56" s="3224"/>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71"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71"/>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71"/>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71"/>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五级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3"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5219.6000000000004</v>
      </c>
      <c r="F65" s="1106" t="e">
        <f t="shared" si="15"/>
        <v>#DIV/0!</v>
      </c>
      <c r="G65" s="2714" t="s">
        <v>2777</v>
      </c>
      <c r="H65" s="1117" t="str">
        <f>项目基本情况!C37</f>
        <v>五级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40878.99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272" t="s">
        <v>2800</v>
      </c>
      <c r="D6" s="3273"/>
      <c r="E6" s="3274" t="s">
        <v>2800</v>
      </c>
      <c r="F6" s="3275"/>
      <c r="G6" s="3272" t="s">
        <v>2800</v>
      </c>
      <c r="H6" s="3273"/>
      <c r="I6" s="3272" t="s">
        <v>2800</v>
      </c>
      <c r="J6" s="3273"/>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4"/>
      <c r="Q10" s="1798"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2563</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7" t="s">
        <v>2564</v>
      </c>
      <c r="Q15" s="1813" t="str">
        <f t="shared" si="6"/>
        <v>产业集聚程度</v>
      </c>
      <c r="R15" s="774" t="s">
        <v>17</v>
      </c>
      <c r="S15" s="775">
        <f t="shared" si="0"/>
        <v>100</v>
      </c>
      <c r="T15" s="774" t="s">
        <v>17</v>
      </c>
      <c r="U15" s="775">
        <f t="shared" si="1"/>
        <v>100</v>
      </c>
      <c r="V15" s="774" t="s">
        <v>17</v>
      </c>
      <c r="W15" s="775">
        <f t="shared" si="2"/>
        <v>100</v>
      </c>
      <c r="X15" s="1816"/>
      <c r="Y15" s="3217" t="s">
        <v>2564</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631" t="s">
        <v>2713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2658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28.5">
      <c r="A25" s="649"/>
      <c r="B25" s="633" t="s">
        <v>2659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7">
      <c r="A28" s="428"/>
      <c r="B28" s="633" t="s">
        <v>2695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7" t="s">
        <v>2569</v>
      </c>
      <c r="Q32" s="1813">
        <f t="shared" si="8"/>
        <v>111</v>
      </c>
      <c r="R32" s="774" t="s">
        <v>17</v>
      </c>
      <c r="S32" s="775">
        <f t="shared" si="10"/>
        <v>100</v>
      </c>
      <c r="T32" s="774" t="s">
        <v>17</v>
      </c>
      <c r="U32" s="775">
        <f t="shared" si="11"/>
        <v>100</v>
      </c>
      <c r="V32" s="774" t="s">
        <v>17</v>
      </c>
      <c r="W32" s="775">
        <f t="shared" si="12"/>
        <v>100</v>
      </c>
      <c r="X32" s="1816"/>
      <c r="Y32" s="3222" t="s">
        <v>2569</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3">
        <f t="shared" si="8"/>
        <v>111</v>
      </c>
      <c r="R33" s="777" t="s">
        <v>17</v>
      </c>
      <c r="S33" s="778">
        <f t="shared" si="10"/>
        <v>100</v>
      </c>
      <c r="T33" s="777" t="s">
        <v>17</v>
      </c>
      <c r="U33" s="778">
        <f t="shared" si="11"/>
        <v>100</v>
      </c>
      <c r="V33" s="777" t="s">
        <v>17</v>
      </c>
      <c r="W33" s="778">
        <f t="shared" si="12"/>
        <v>100</v>
      </c>
      <c r="X33" s="779"/>
      <c r="Y33" s="3222"/>
      <c r="Z33" s="780">
        <f t="shared" si="13"/>
        <v>111</v>
      </c>
      <c r="AA33" s="1814">
        <f t="shared" si="3"/>
        <v>1</v>
      </c>
      <c r="AB33" s="1814">
        <f t="shared" si="4"/>
        <v>1</v>
      </c>
      <c r="AC33" s="1814">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3" t="str">
        <f>B34</f>
        <v>宗地面积</v>
      </c>
      <c r="R34" s="774" t="s">
        <v>17</v>
      </c>
      <c r="S34" s="775" t="e">
        <f t="shared" si="10"/>
        <v>#N/A</v>
      </c>
      <c r="T34" s="774" t="s">
        <v>17</v>
      </c>
      <c r="U34" s="775" t="e">
        <f t="shared" si="11"/>
        <v>#N/A</v>
      </c>
      <c r="V34" s="774" t="s">
        <v>17</v>
      </c>
      <c r="W34" s="775" t="e">
        <f t="shared" si="12"/>
        <v>#N/A</v>
      </c>
      <c r="X34" s="1816"/>
      <c r="Y34" s="3222"/>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22"/>
      <c r="Q35" s="1813" t="str">
        <f t="shared" ref="Q35:Q40" si="14">B35</f>
        <v>宗地形状</v>
      </c>
      <c r="R35" s="774" t="s">
        <v>17</v>
      </c>
      <c r="S35" s="775">
        <f t="shared" si="10"/>
        <v>100</v>
      </c>
      <c r="T35" s="774" t="s">
        <v>17</v>
      </c>
      <c r="U35" s="775">
        <f t="shared" si="11"/>
        <v>100</v>
      </c>
      <c r="V35" s="774" t="s">
        <v>17</v>
      </c>
      <c r="W35" s="775">
        <f t="shared" si="12"/>
        <v>100</v>
      </c>
      <c r="X35" s="1816"/>
      <c r="Y35" s="3222"/>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22"/>
      <c r="Q36" s="1813"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22" t="s">
        <v>2569</v>
      </c>
      <c r="Q37" s="1813" t="str">
        <f t="shared" si="14"/>
        <v>工程地质条件</v>
      </c>
      <c r="R37" s="774" t="s">
        <v>17</v>
      </c>
      <c r="S37" s="775">
        <f t="shared" si="10"/>
        <v>100</v>
      </c>
      <c r="T37" s="774" t="s">
        <v>17</v>
      </c>
      <c r="U37" s="775">
        <f t="shared" si="11"/>
        <v>100</v>
      </c>
      <c r="V37" s="774" t="s">
        <v>17</v>
      </c>
      <c r="W37" s="775">
        <f t="shared" si="12"/>
        <v>100</v>
      </c>
      <c r="X37" s="1816"/>
      <c r="Y37" s="3222"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3">
        <f t="shared" si="14"/>
        <v>111</v>
      </c>
      <c r="R38" s="774" t="s">
        <v>17</v>
      </c>
      <c r="S38" s="775">
        <f t="shared" si="10"/>
        <v>100</v>
      </c>
      <c r="T38" s="774" t="s">
        <v>17</v>
      </c>
      <c r="U38" s="775">
        <f t="shared" si="11"/>
        <v>100</v>
      </c>
      <c r="V38" s="774" t="s">
        <v>17</v>
      </c>
      <c r="W38" s="775">
        <f t="shared" si="12"/>
        <v>100</v>
      </c>
      <c r="X38" s="1816"/>
      <c r="Y38" s="322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3">
        <f t="shared" si="14"/>
        <v>111</v>
      </c>
      <c r="R39" s="774" t="s">
        <v>17</v>
      </c>
      <c r="S39" s="775">
        <f t="shared" si="10"/>
        <v>100</v>
      </c>
      <c r="T39" s="774" t="s">
        <v>17</v>
      </c>
      <c r="U39" s="775">
        <f t="shared" si="11"/>
        <v>100</v>
      </c>
      <c r="V39" s="774" t="s">
        <v>17</v>
      </c>
      <c r="W39" s="775">
        <f t="shared" si="12"/>
        <v>100</v>
      </c>
      <c r="X39" s="1816"/>
      <c r="Y39" s="3222"/>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3">
        <f t="shared" si="14"/>
        <v>111</v>
      </c>
      <c r="R40" s="777" t="s">
        <v>17</v>
      </c>
      <c r="S40" s="778">
        <f t="shared" si="10"/>
        <v>100</v>
      </c>
      <c r="T40" s="777" t="s">
        <v>17</v>
      </c>
      <c r="U40" s="778">
        <f t="shared" si="11"/>
        <v>100</v>
      </c>
      <c r="V40" s="777" t="s">
        <v>17</v>
      </c>
      <c r="W40" s="778">
        <f t="shared" si="12"/>
        <v>100</v>
      </c>
      <c r="X40" s="779"/>
      <c r="Y40" s="3222"/>
      <c r="Z40" s="780">
        <f t="shared" si="13"/>
        <v>111</v>
      </c>
      <c r="AA40" s="1814">
        <f t="shared" si="3"/>
        <v>1</v>
      </c>
      <c r="AB40" s="1814">
        <f t="shared" si="4"/>
        <v>1</v>
      </c>
      <c r="AC40" s="1814">
        <f t="shared" si="5"/>
        <v>1</v>
      </c>
    </row>
    <row r="41" spans="1:29" ht="15">
      <c r="A41" s="479" t="s">
        <v>2724</v>
      </c>
      <c r="B41" s="2708" t="s">
        <v>2803</v>
      </c>
      <c r="C41" s="682" t="s">
        <v>1</v>
      </c>
      <c r="D41" s="481"/>
      <c r="E41" s="482"/>
      <c r="F41" s="483"/>
      <c r="G41" s="484"/>
      <c r="H41" s="485"/>
      <c r="I41" s="482"/>
      <c r="J41" s="485"/>
      <c r="K41" s="783"/>
      <c r="L41" s="1146"/>
      <c r="M41" s="1134"/>
      <c r="N41" s="1134"/>
      <c r="O41" s="1147"/>
      <c r="P41" s="3224" t="str">
        <f>A41</f>
        <v>成交单价</v>
      </c>
      <c r="Q41" s="3224"/>
      <c r="R41" s="3212">
        <f>E41</f>
        <v>0</v>
      </c>
      <c r="S41" s="3212"/>
      <c r="T41" s="3212">
        <f>G41</f>
        <v>0</v>
      </c>
      <c r="U41" s="3212"/>
      <c r="V41" s="3212">
        <f>I41</f>
        <v>0</v>
      </c>
      <c r="W41" s="3212"/>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64" t="str">
        <f>A43</f>
        <v>估价对象XX用房的比较价值（楼面单价，元/平方米）</v>
      </c>
      <c r="Q43" s="3265"/>
      <c r="R43" s="3269" t="e">
        <f>ROUND(AVERAGE(R42:V42),0)</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99" t="s">
        <v>2767</v>
      </c>
      <c r="H50" s="3270"/>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35659.39</v>
      </c>
      <c r="F51" s="691" t="e">
        <f t="shared" ref="F51:F60" si="15">ROUND(B51*E51/10000,0)</f>
        <v>#DIV/0!</v>
      </c>
      <c r="G51" s="3195"/>
      <c r="H51" s="3224"/>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71"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71"/>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71"/>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71"/>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五级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3"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5219.6000000000004</v>
      </c>
      <c r="F60" s="691" t="e">
        <f t="shared" si="15"/>
        <v>#DIV/0!</v>
      </c>
      <c r="G60" s="2714" t="s">
        <v>2777</v>
      </c>
      <c r="H60" s="1117" t="str">
        <f>项目基本情况!C37</f>
        <v>五级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2805</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1.4208000000000001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3006</v>
      </c>
    </row>
    <row r="2" spans="1:5" ht="15.75">
      <c r="A2" s="2914" t="s">
        <v>2998</v>
      </c>
      <c r="B2" s="2915">
        <f ca="1">SUMIF(B6:B13,"&lt;&gt;#ref!",B6:B13)</f>
        <v>62475</v>
      </c>
      <c r="C2" s="2914" t="s">
        <v>2999</v>
      </c>
      <c r="D2" s="2914" t="s">
        <v>3000</v>
      </c>
      <c r="E2" s="2915" t="e">
        <f ca="1">SUM(E6:E13)</f>
        <v>#REF!</v>
      </c>
    </row>
    <row r="3" spans="1:5" ht="15.75">
      <c r="A3" s="2914" t="s">
        <v>3001</v>
      </c>
      <c r="B3" s="2915" t="e">
        <f ca="1">ROUND(B2*10000/E2,0)</f>
        <v>#REF!</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f ca="1">SUMIF(INDIRECT("'"&amp;A6&amp;"'"&amp;"!A:A"),"总价",INDIRECT("'"&amp;A6&amp;"'"&amp;"!B:B"))</f>
        <v>62475</v>
      </c>
      <c r="C6" s="2914" t="s">
        <v>2999</v>
      </c>
      <c r="D6" s="2916"/>
      <c r="E6" s="2579">
        <f ca="1">SUMIF(INDIRECT("'"&amp;A6&amp;"'"&amp;"!C:C"),"建筑面积",INDIRECT("'"&amp;A6&amp;"'"&amp;"!D:D"))</f>
        <v>40878.99</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1149</v>
      </c>
      <c r="C1" s="3282"/>
      <c r="D1" s="3282"/>
      <c r="E1" s="3282"/>
      <c r="F1" s="3282"/>
      <c r="G1" s="3278" t="s">
        <v>1150</v>
      </c>
      <c r="H1" s="3278"/>
      <c r="I1" s="3278"/>
      <c r="J1" s="3278"/>
      <c r="K1" s="3278"/>
      <c r="L1" s="3278"/>
      <c r="N1" s="3278" t="s">
        <v>1151</v>
      </c>
      <c r="O1" s="3278"/>
      <c r="P1" s="3278"/>
      <c r="Q1" s="3278"/>
      <c r="R1" s="1449"/>
      <c r="S1" s="3278" t="s">
        <v>1152</v>
      </c>
      <c r="T1" s="3278"/>
      <c r="U1" s="3278"/>
      <c r="V1" s="3278"/>
      <c r="X1" s="3277" t="s">
        <v>1153</v>
      </c>
      <c r="Y1" s="3278"/>
      <c r="Z1" s="3278"/>
      <c r="AA1" s="3278"/>
      <c r="AB1" s="3278"/>
      <c r="AD1" s="3277" t="s">
        <v>1154</v>
      </c>
      <c r="AE1" s="3278"/>
      <c r="AF1" s="3278"/>
      <c r="AG1" s="3278"/>
      <c r="AH1" s="3278"/>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25">
      <c r="A3" s="2942" t="s">
        <v>3045</v>
      </c>
      <c r="B3" s="2934"/>
      <c r="C3" s="2934"/>
      <c r="D3" s="2935"/>
      <c r="E3" s="2935"/>
      <c r="F3" s="2934"/>
      <c r="G3" s="2936"/>
      <c r="H3" s="2937"/>
      <c r="I3" s="2938">
        <f>ROUND(AVERAGE($I6:$I21),2)</f>
        <v>2.4500000000000002</v>
      </c>
      <c r="J3" s="2938">
        <f>ROUND(AVERAGE($J6:$J21),2)</f>
        <v>1.65</v>
      </c>
      <c r="K3" s="2938">
        <f>ROUND(AVERAGE($K6:$K21),2)</f>
        <v>2.71</v>
      </c>
      <c r="L3" s="2938">
        <f>ROUND(AVERAGE($L6:$L21),2)</f>
        <v>1.39</v>
      </c>
      <c r="N3" s="2936"/>
      <c r="O3" s="2939"/>
      <c r="P3" s="2939"/>
      <c r="Q3" s="2939"/>
      <c r="R3" s="2939"/>
      <c r="S3" s="2936"/>
      <c r="T3" s="2939"/>
      <c r="U3" s="2939"/>
      <c r="V3" s="2939"/>
      <c r="W3" s="2931"/>
      <c r="X3" s="2940">
        <f>ROUND(SUMPRODUCT(PRODUCT(1+N3:N$20)),4)</f>
        <v>1.4274</v>
      </c>
      <c r="Y3" s="2940">
        <f>ROUND(SUMPRODUCT(PRODUCT(1+O3:O$20)),4)</f>
        <v>1.2685</v>
      </c>
      <c r="Z3" s="2940">
        <f t="shared" ref="Z3:Z18" si="0">Y3</f>
        <v>1.2685</v>
      </c>
      <c r="AA3" s="2940">
        <f>ROUND(SUMPRODUCT(PRODUCT(1+P3:P$20)),4)</f>
        <v>1.4825999999999999</v>
      </c>
      <c r="AB3" s="2940">
        <f>ROUND(SUMPRODUCT(PRODUCT(1+Q3:Q$20)),4)</f>
        <v>1.2309000000000001</v>
      </c>
      <c r="AD3" s="2941">
        <f>ROUND(AVERAGE(I3:I$21)/100,4)</f>
        <v>2.3099999999999999E-2</v>
      </c>
      <c r="AE3" s="2941">
        <f>ROUND(AVERAGE(J3:J$21)/100,4)</f>
        <v>1.5599999999999999E-2</v>
      </c>
      <c r="AF3" s="2941">
        <f t="shared" ref="AF3:AF19" si="1">AE3</f>
        <v>1.5599999999999999E-2</v>
      </c>
      <c r="AG3" s="2941">
        <f>ROUND(AVERAGE(K3:K$21)/100,4)</f>
        <v>2.5600000000000001E-2</v>
      </c>
      <c r="AH3" s="2941">
        <f>ROUND(AVERAGE(L3:L$21)/100,4)</f>
        <v>1.32E-2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3044</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0">
        <v>2018</v>
      </c>
      <c r="H5" s="1733">
        <v>1</v>
      </c>
      <c r="I5" s="2928">
        <v>0</v>
      </c>
      <c r="J5" s="2928">
        <v>0</v>
      </c>
      <c r="K5" s="2928">
        <v>0</v>
      </c>
      <c r="L5" s="2928">
        <v>0</v>
      </c>
      <c r="N5" s="1470">
        <f t="shared" ref="N5:N10" si="7">I5/100</f>
        <v>0</v>
      </c>
      <c r="O5" s="1470">
        <f t="shared" ref="O5" si="8">J5/100</f>
        <v>0</v>
      </c>
      <c r="P5" s="1470">
        <f t="shared" ref="P5" si="9">K5/100</f>
        <v>0</v>
      </c>
      <c r="Q5" s="1470">
        <f t="shared" ref="Q5" si="10">L5/100</f>
        <v>0</v>
      </c>
      <c r="R5" s="1735"/>
      <c r="S5" s="1736"/>
      <c r="T5" s="1735"/>
      <c r="U5" s="1735"/>
      <c r="V5" s="1735"/>
      <c r="W5" s="2932" t="s">
        <v>3046</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3041</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0">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3042</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6"/>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5"/>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6"/>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28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28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28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7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8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8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8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7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8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8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7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8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8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7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8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8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7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8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8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7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8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8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7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8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8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7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8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8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7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8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8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79">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80">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80">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81">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79">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80">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80">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8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1630</v>
      </c>
      <c r="C4" s="2992"/>
      <c r="D4" s="2992"/>
      <c r="E4" s="1964"/>
    </row>
    <row r="5" spans="1:5" ht="16.5" thickTop="1">
      <c r="A5" s="1962"/>
      <c r="B5" s="2990" t="s">
        <v>1622</v>
      </c>
      <c r="C5" s="1965" t="s">
        <v>1623</v>
      </c>
      <c r="D5" s="1043">
        <f ca="1">结果表办公!H101</f>
        <v>141753</v>
      </c>
      <c r="E5" s="1962"/>
    </row>
    <row r="6" spans="1:5" ht="15.75">
      <c r="A6" s="1962"/>
      <c r="B6" s="2990"/>
      <c r="C6" s="1965" t="s">
        <v>1624</v>
      </c>
      <c r="D6" s="1043" t="str">
        <f ca="1">NUMBERSTRING(INT(D5*10000),2)&amp;"元整"</f>
        <v>壹拾肆亿壹仟柒佰伍拾叁万元整</v>
      </c>
      <c r="E6" s="1962"/>
    </row>
    <row r="7" spans="1:5" ht="15.75">
      <c r="A7" s="1962"/>
      <c r="B7" s="2995"/>
      <c r="C7" s="1966" t="s">
        <v>1625</v>
      </c>
      <c r="D7" s="1044">
        <f ca="1">结果表办公!H102</f>
        <v>39752</v>
      </c>
      <c r="E7" s="1962"/>
    </row>
    <row r="8" spans="1:5" ht="15.75">
      <c r="A8" s="1962"/>
      <c r="B8" s="2996" t="str">
        <f>结果表办公!E103</f>
        <v>2.估价师知悉的法定优先受偿款</v>
      </c>
      <c r="C8" s="1967" t="s">
        <v>1626</v>
      </c>
      <c r="D8" s="1044">
        <f>结果表办公!H103</f>
        <v>0</v>
      </c>
      <c r="E8" s="1962"/>
    </row>
    <row r="9" spans="1:5" ht="15.75">
      <c r="A9" s="1962"/>
      <c r="B9" s="2998"/>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2989" t="str">
        <f>结果表办公!E107</f>
        <v>3.房地产抵押价值</v>
      </c>
      <c r="C13" s="1970" t="s">
        <v>1623</v>
      </c>
      <c r="D13" s="1046">
        <f ca="1">结果表办公!H107</f>
        <v>141753</v>
      </c>
      <c r="E13" s="1962"/>
    </row>
    <row r="14" spans="1:5" ht="15.75">
      <c r="A14" s="1962"/>
      <c r="B14" s="2990"/>
      <c r="C14" s="1965" t="s">
        <v>1624</v>
      </c>
      <c r="D14" s="1043" t="str">
        <f ca="1">NUMBERSTRING(INT(D13*10000),2)&amp;"元整"</f>
        <v>壹拾肆亿壹仟柒佰伍拾叁万元整</v>
      </c>
      <c r="E14" s="1962"/>
    </row>
    <row r="15" spans="1:5" ht="15">
      <c r="A15" s="1962"/>
      <c r="B15" s="2995"/>
      <c r="C15" s="1966" t="s">
        <v>1634</v>
      </c>
      <c r="D15" s="1055">
        <f ca="1">结果表办公!H108</f>
        <v>34676</v>
      </c>
      <c r="E15" s="1962"/>
    </row>
    <row r="16" spans="1:5" ht="15">
      <c r="A16" s="1962"/>
      <c r="B16" s="2996" t="str">
        <f>结果表办公!E109</f>
        <v>——</v>
      </c>
      <c r="C16" s="1970" t="s">
        <v>1635</v>
      </c>
      <c r="D16" s="1971" t="str">
        <f>结果表办公!H109</f>
        <v>——</v>
      </c>
      <c r="E16" s="1962"/>
    </row>
    <row r="17" spans="1:5" ht="15.75">
      <c r="A17" s="1962"/>
      <c r="B17" s="2997"/>
      <c r="C17" s="1965" t="s">
        <v>1636</v>
      </c>
      <c r="D17" s="1043" t="e">
        <f>NUMBERSTRING(INT(D16*10000),2)&amp;"元整"</f>
        <v>#VALUE!</v>
      </c>
      <c r="E17" s="1962"/>
    </row>
    <row r="18" spans="1:5" ht="15">
      <c r="A18" s="1962"/>
      <c r="B18" s="2998"/>
      <c r="C18" s="1966" t="s">
        <v>1625</v>
      </c>
      <c r="D18" s="1055" t="str">
        <f>结果表办公!H110</f>
        <v>——</v>
      </c>
      <c r="E18" s="1962"/>
    </row>
    <row r="19" spans="1:5" ht="15.75">
      <c r="A19" s="1962"/>
      <c r="B19" s="2989" t="str">
        <f>结果表办公!E111</f>
        <v>——</v>
      </c>
      <c r="C19" s="1970" t="s">
        <v>1623</v>
      </c>
      <c r="D19" s="1044" t="str">
        <f>结果表办公!H111</f>
        <v>——</v>
      </c>
      <c r="E19" s="1962"/>
    </row>
    <row r="20" spans="1:5" ht="15.75">
      <c r="A20" s="1962"/>
      <c r="B20" s="2990"/>
      <c r="C20" s="1965" t="s">
        <v>1636</v>
      </c>
      <c r="D20" s="1043" t="e">
        <f>NUMBERSTRING(INT(D19*10000),2)&amp;"元整"</f>
        <v>#VALUE!</v>
      </c>
      <c r="E20" s="1962"/>
    </row>
    <row r="21" spans="1:5" ht="15.75" thickBot="1">
      <c r="A21" s="1962"/>
      <c r="B21" s="2991"/>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8" t="s">
        <v>3009</v>
      </c>
      <c r="D1" s="3289"/>
      <c r="E1" s="3289"/>
      <c r="F1" s="3289"/>
      <c r="G1" s="3289"/>
      <c r="H1" s="3289"/>
      <c r="I1" s="3289"/>
      <c r="J1" s="3289"/>
      <c r="K1" s="3289"/>
      <c r="L1" s="3289"/>
      <c r="M1" s="3289"/>
      <c r="N1" s="3289"/>
      <c r="O1" s="3289"/>
      <c r="P1" s="3289"/>
      <c r="Q1" s="3289"/>
      <c r="R1" s="3289"/>
      <c r="S1" s="329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3" t="s">
        <v>3022</v>
      </c>
      <c r="E20" s="1796"/>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89" t="s">
        <v>33</v>
      </c>
      <c r="D22" s="3090"/>
      <c r="E22" s="3090"/>
      <c r="F22" s="3090"/>
      <c r="G22" s="3090"/>
      <c r="H22" s="3090"/>
      <c r="I22" s="3090"/>
      <c r="J22" s="3090"/>
      <c r="K22" s="3090"/>
      <c r="L22" s="3090"/>
      <c r="M22" s="3090"/>
      <c r="N22" s="3090"/>
      <c r="O22" s="3090"/>
      <c r="P22" s="3090"/>
      <c r="Q22" s="328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47978</v>
      </c>
      <c r="C2" s="2" t="s">
        <v>133</v>
      </c>
      <c r="D2" s="243"/>
      <c r="E2" s="243"/>
      <c r="F2" s="243"/>
      <c r="G2" s="243"/>
    </row>
    <row r="3" spans="1:7" s="244" customFormat="1" ht="18" customHeight="1" thickBot="1">
      <c r="A3" s="247" t="s">
        <v>85</v>
      </c>
      <c r="B3" s="248">
        <f ca="1">ROUND(B2*10000/'数据-汇总表'!E3,0)</f>
        <v>11737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654</v>
      </c>
      <c r="D10" s="1035">
        <f>'数据-汇总表'!E6</f>
        <v>40878.99</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818</v>
      </c>
      <c r="D19" s="1039">
        <f>'数据-汇总表'!E3</f>
        <v>40878.99</v>
      </c>
      <c r="E19" s="255">
        <f>'数据-取费表'!B31</f>
        <v>200</v>
      </c>
      <c r="F19" s="275"/>
      <c r="G19" s="1" t="s">
        <v>1074</v>
      </c>
    </row>
    <row r="20" spans="1:7" s="258" customFormat="1" ht="13.5" customHeight="1">
      <c r="A20" s="951" t="s">
        <v>1057</v>
      </c>
      <c r="B20" s="254" t="s">
        <v>104</v>
      </c>
      <c r="C20" s="276">
        <f>ROUND((C5+C19)*F20,0)</f>
        <v>643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2115</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80</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4193</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4193</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31201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12343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11029</v>
      </c>
      <c r="D34" s="261"/>
      <c r="E34" s="264"/>
      <c r="F34" s="301">
        <f>IF('数据-取费表'!B24=0,1,'数据-取费表'!N16)</f>
        <v>1</v>
      </c>
      <c r="G34" s="263" t="s">
        <v>116</v>
      </c>
    </row>
    <row r="35" spans="1:7" ht="13.5" customHeight="1">
      <c r="A35" s="954" t="s">
        <v>796</v>
      </c>
      <c r="B35" s="259" t="s">
        <v>60</v>
      </c>
      <c r="C35" s="264">
        <f>ROUND(C34*F35,0)</f>
        <v>331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818</v>
      </c>
      <c r="D37" s="261">
        <f>'数据-汇总表'!E3</f>
        <v>40878.99</v>
      </c>
      <c r="E37" s="293">
        <f>'数据-取费表'!B35</f>
        <v>200</v>
      </c>
      <c r="F37" s="303"/>
      <c r="G37" s="305" t="s">
        <v>119</v>
      </c>
    </row>
    <row r="38" spans="1:7" ht="13.5" customHeight="1">
      <c r="A38" s="954" t="s">
        <v>799</v>
      </c>
      <c r="B38" s="259" t="s">
        <v>63</v>
      </c>
      <c r="C38" s="264">
        <f>ROUND(C34*F38,0)</f>
        <v>165</v>
      </c>
      <c r="D38" s="264"/>
      <c r="E38" s="264"/>
      <c r="F38" s="303">
        <f>'数据-取费表'!B36</f>
        <v>1.4999999999999999E-2</v>
      </c>
      <c r="G38" s="263" t="s">
        <v>117</v>
      </c>
    </row>
    <row r="39" spans="1:7" s="258" customFormat="1" ht="13.5" customHeight="1">
      <c r="A39" s="951" t="s">
        <v>783</v>
      </c>
      <c r="B39" s="254" t="s">
        <v>104</v>
      </c>
      <c r="C39" s="276">
        <f>ROUND(C33*F20,0)</f>
        <v>370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604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586</v>
      </c>
      <c r="D42" s="282"/>
      <c r="E42" s="282"/>
      <c r="F42" s="283"/>
      <c r="G42" s="3174" t="s">
        <v>121</v>
      </c>
    </row>
    <row r="43" spans="1:7" ht="13.5" customHeight="1">
      <c r="A43" s="954" t="s">
        <v>792</v>
      </c>
      <c r="B43" s="259" t="s">
        <v>1064</v>
      </c>
      <c r="C43" s="282">
        <f ca="1">ROUND(IF('数据-取费表'!B22&lt;=1,C39*F22*'数据-取费表'!B21/2,C39*(POWER((1+F22),'数据-取费表'!B21/2)-1)),0)</f>
        <v>18</v>
      </c>
      <c r="D43" s="282"/>
      <c r="E43" s="282"/>
      <c r="F43" s="283"/>
      <c r="G43" s="3175"/>
    </row>
    <row r="44" spans="1:7" ht="13.5" customHeight="1">
      <c r="A44" s="954" t="s">
        <v>793</v>
      </c>
      <c r="B44" s="259" t="s">
        <v>1066</v>
      </c>
      <c r="C44" s="282">
        <f ca="1">ROUND(IF('数据-取费表'!B22&lt;=1,C40*F22*'数据-取费表'!B21/2,C40*(POWER((1+F22),'数据-取费表'!B21/2)-1)),4)</f>
        <v>1.4E-3</v>
      </c>
      <c r="D44" s="282"/>
      <c r="E44" s="282"/>
      <c r="F44" s="283"/>
      <c r="G44" s="3176"/>
    </row>
    <row r="45" spans="1:7" s="258" customFormat="1" ht="13.5" customHeight="1">
      <c r="A45" s="951" t="s">
        <v>786</v>
      </c>
      <c r="B45" s="288" t="s">
        <v>112</v>
      </c>
      <c r="C45" s="289">
        <f>C46</f>
        <v>2415</v>
      </c>
      <c r="D45" s="279">
        <f>C47</f>
        <v>5.7000000000000002E-3</v>
      </c>
      <c r="E45" s="280" t="s">
        <v>129</v>
      </c>
      <c r="F45" s="290"/>
      <c r="G45" s="291" t="s">
        <v>1072</v>
      </c>
    </row>
    <row r="46" spans="1:7" s="258" customFormat="1" ht="13.5" customHeight="1">
      <c r="A46" s="954" t="s">
        <v>794</v>
      </c>
      <c r="B46" s="292" t="s">
        <v>1065</v>
      </c>
      <c r="C46" s="293">
        <f>ROUND((C33+C39)*F27,0)</f>
        <v>2415</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17296</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16777</v>
      </c>
      <c r="D51" s="276"/>
      <c r="E51" s="276"/>
      <c r="F51" s="308"/>
      <c r="G51" s="278" t="s">
        <v>64</v>
      </c>
    </row>
    <row r="52" spans="1:7" s="252" customFormat="1" ht="16.5" thickBot="1">
      <c r="A52" s="309" t="s">
        <v>65</v>
      </c>
      <c r="B52" s="310"/>
      <c r="C52" s="311">
        <f ca="1">C31+C51</f>
        <v>47978</v>
      </c>
      <c r="D52" s="310"/>
      <c r="E52" s="310"/>
      <c r="F52" s="310"/>
      <c r="G52" s="312"/>
    </row>
    <row r="55" spans="1:7" ht="15">
      <c r="B55" s="314" t="s">
        <v>66</v>
      </c>
      <c r="C55" s="315"/>
    </row>
    <row r="56" spans="1:7">
      <c r="B56" s="317" t="s">
        <v>67</v>
      </c>
      <c r="C56" s="318">
        <f ca="1">ROUND(C51/C52,3)</f>
        <v>0.35</v>
      </c>
    </row>
    <row r="57" spans="1:7">
      <c r="B57" s="317" t="s">
        <v>68</v>
      </c>
      <c r="C57" s="319">
        <f ca="1">1-C56</f>
        <v>0.65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9" sqref="A89"/>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111706</v>
      </c>
      <c r="C2" s="243" t="s">
        <v>2332</v>
      </c>
      <c r="D2" s="2551" t="s">
        <v>70</v>
      </c>
      <c r="E2" s="1443" t="e">
        <f ca="1">SUMIF(INDIRECT("'"&amp;G2&amp;"'"&amp;"!A:A"),"承租人权益价值",INDIRECT("'"&amp;G2&amp;"'"&amp;"!c:c"))</f>
        <v>#REF!</v>
      </c>
      <c r="F2" s="2552" t="s">
        <v>2332</v>
      </c>
      <c r="G2" s="2553"/>
    </row>
    <row r="3" spans="1:9" s="244" customFormat="1" ht="18" customHeight="1" thickBot="1">
      <c r="A3" s="247" t="s">
        <v>2333</v>
      </c>
      <c r="B3" s="248">
        <f ca="1">ROUND(B2*10000/(IF(B1="",'数据-汇总表'!E3,INDIRECT("'数据-取费表'!k"&amp;$G$1))),0)</f>
        <v>27326</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64380</v>
      </c>
      <c r="D5" s="255" t="s">
        <v>2338</v>
      </c>
      <c r="E5" s="256" t="s">
        <v>2339</v>
      </c>
      <c r="F5" s="256" t="s">
        <v>2340</v>
      </c>
      <c r="G5" s="257"/>
    </row>
    <row r="6" spans="1:9" s="258" customFormat="1" ht="13.5" customHeight="1">
      <c r="A6" s="952" t="s">
        <v>2341</v>
      </c>
      <c r="B6" s="259" t="s">
        <v>2342</v>
      </c>
      <c r="C6" s="260">
        <f ca="1">基准地价修正!C26</f>
        <v>62475</v>
      </c>
      <c r="D6" s="261"/>
      <c r="E6" s="262"/>
      <c r="F6" s="262"/>
      <c r="G6" s="263"/>
    </row>
    <row r="7" spans="1:9" s="258" customFormat="1" ht="13.5" customHeight="1">
      <c r="A7" s="952" t="s">
        <v>2343</v>
      </c>
      <c r="B7" s="259" t="s">
        <v>2344</v>
      </c>
      <c r="C7" s="264">
        <f ca="1">ROUND(C6*F7,0)</f>
        <v>1905</v>
      </c>
      <c r="D7" s="264"/>
      <c r="E7" s="262"/>
      <c r="F7" s="265">
        <f>'数据-取费表'!B48+'数据-取费表'!B49</f>
        <v>3.0499999999999999E-2</v>
      </c>
      <c r="G7" s="263"/>
    </row>
    <row r="8" spans="1:9" s="267" customFormat="1">
      <c r="A8" s="952" t="s">
        <v>2345</v>
      </c>
      <c r="B8" s="259" t="s">
        <v>2346</v>
      </c>
      <c r="C8" s="264" t="str">
        <f>IF(G8="已包含在土地购买价格中","0",IF(B1="",'数据-取费表'!B29,IF(G9="全部缴纳",C9+C10,H9)))</f>
        <v>0</v>
      </c>
      <c r="D8" s="266"/>
      <c r="E8" s="264"/>
      <c r="F8" s="265"/>
      <c r="G8" s="2554" t="s">
        <v>1147</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200</v>
      </c>
      <c r="F9" s="265"/>
      <c r="G9" s="2555" t="s">
        <v>3088</v>
      </c>
      <c r="H9" s="1393"/>
      <c r="I9" s="2556" t="s">
        <v>2348</v>
      </c>
    </row>
    <row r="10" spans="1:9" s="258" customFormat="1" ht="13.5" customHeight="1">
      <c r="A10" s="953" t="s">
        <v>801</v>
      </c>
      <c r="B10" s="268" t="s">
        <v>2349</v>
      </c>
      <c r="C10" s="269">
        <f ca="1">ROUND(D10*E10/10000,0)</f>
        <v>654</v>
      </c>
      <c r="D10" s="1035">
        <f ca="1">IF(B1="",'数据-汇总表'!E6,IF(INDIRECT("'数据-取费表'!c"&amp;$G$1)="住宅",INDIRECT("'数据-取费表'!s"&amp;$G$1),INDIRECT("'数据-取费表'!k"&amp;$G$1)+INDIRECT("'数据-取费表'!s"&amp;$G$1)))</f>
        <v>40878.99</v>
      </c>
      <c r="E10" s="269">
        <f>'数据-取费表'!B28</f>
        <v>160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818</v>
      </c>
      <c r="D19" s="1039">
        <f ca="1">D9+D10</f>
        <v>40878.99</v>
      </c>
      <c r="E19" s="255">
        <f>'数据-取费表'!B31</f>
        <v>200</v>
      </c>
      <c r="F19" s="275"/>
      <c r="G19" s="2554" t="s">
        <v>1074</v>
      </c>
    </row>
    <row r="20" spans="1:7" s="258" customFormat="1" ht="13.5" customHeight="1">
      <c r="A20" s="299" t="s">
        <v>2362</v>
      </c>
      <c r="B20" s="254" t="s">
        <v>2363</v>
      </c>
      <c r="C20" s="276">
        <f ca="1">ROUND((C5+C19)*F20,0)</f>
        <v>1956</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7">
        <f ca="1">ROUND(SUM(C23:C25),0)</f>
        <v>6434</v>
      </c>
      <c r="D22" s="279">
        <f ca="1">C26</f>
        <v>1.4E-3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6261</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80</v>
      </c>
      <c r="D24" s="282"/>
      <c r="E24" s="282"/>
      <c r="F24" s="283"/>
      <c r="G24" s="284" t="s">
        <v>2376</v>
      </c>
    </row>
    <row r="25" spans="1:7" s="258" customFormat="1" ht="24">
      <c r="A25" s="954" t="s">
        <v>2377</v>
      </c>
      <c r="B25" s="259" t="s">
        <v>2378</v>
      </c>
      <c r="C25" s="1358">
        <f ca="1">ROUND(IF('数据-取费表'!B22&lt;=1,C20*F22*'数据-取费表'!B23/2,C20*(POWER((1+F22),'数据-取费表'!B23/2)-1)),0)</f>
        <v>93</v>
      </c>
      <c r="D25" s="282"/>
      <c r="E25" s="285"/>
      <c r="F25" s="283"/>
      <c r="G25" s="286" t="s">
        <v>2379</v>
      </c>
    </row>
    <row r="26" spans="1:7" s="258" customFormat="1">
      <c r="A26" s="954"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12759</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ROUND((C5+C19+C20)*F27*'数据-取费表'!B21/'数据-取费表'!B20,0)</f>
        <v>12759</v>
      </c>
      <c r="D28" s="279"/>
      <c r="E28" s="280"/>
      <c r="F28" s="290"/>
      <c r="G28" s="291"/>
    </row>
    <row r="29" spans="1:7" s="258" customFormat="1" ht="13.5" customHeight="1">
      <c r="A29" s="954" t="s">
        <v>792</v>
      </c>
      <c r="B29" s="292" t="s">
        <v>2386</v>
      </c>
      <c r="C29" s="282">
        <f ca="1">ROUND(C21*F27*'数据-取费表'!B21/'数据-取费表'!B20,4)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94929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12343</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11029</v>
      </c>
      <c r="D34" s="261"/>
      <c r="E34" s="264"/>
      <c r="F34" s="301">
        <f ca="1">IF('数据-取费表'!B24=0,1,IF(B1="",'数据-取费表'!N16,INDIRECT("'数据-取费表'!n"&amp;$G$1)))</f>
        <v>1</v>
      </c>
      <c r="G34" s="263" t="s">
        <v>2395</v>
      </c>
    </row>
    <row r="35" spans="1:7" ht="13.5" customHeight="1">
      <c r="A35" s="954" t="s">
        <v>796</v>
      </c>
      <c r="B35" s="259" t="s">
        <v>2396</v>
      </c>
      <c r="C35" s="264">
        <f ca="1">ROUND(C34*F35,0)</f>
        <v>331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4" t="s">
        <v>798</v>
      </c>
      <c r="B37" s="259" t="s">
        <v>2400</v>
      </c>
      <c r="C37" s="293">
        <f ca="1">ROUND(E37*D37*F34/10000,0)</f>
        <v>818</v>
      </c>
      <c r="D37" s="261">
        <f ca="1">D19</f>
        <v>40878.99</v>
      </c>
      <c r="E37" s="293">
        <f>'数据-取费表'!B35</f>
        <v>200</v>
      </c>
      <c r="F37" s="303"/>
      <c r="G37" s="305" t="s">
        <v>2401</v>
      </c>
    </row>
    <row r="38" spans="1:7" ht="13.5" customHeight="1">
      <c r="A38" s="954" t="s">
        <v>799</v>
      </c>
      <c r="B38" s="259" t="s">
        <v>2402</v>
      </c>
      <c r="C38" s="264">
        <f ca="1">ROUND(C34*F38,0)</f>
        <v>165</v>
      </c>
      <c r="D38" s="264"/>
      <c r="E38" s="264"/>
      <c r="F38" s="303">
        <f>'数据-取费表'!B36</f>
        <v>1.4999999999999999E-2</v>
      </c>
      <c r="G38" s="263" t="s">
        <v>2397</v>
      </c>
    </row>
    <row r="39" spans="1:7" s="258" customFormat="1" ht="13.5" customHeight="1">
      <c r="A39" s="299" t="s">
        <v>2403</v>
      </c>
      <c r="B39" s="254" t="s">
        <v>2404</v>
      </c>
      <c r="C39" s="276">
        <f ca="1">ROUND(C33*F20,0)</f>
        <v>370</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604</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586</v>
      </c>
      <c r="D42" s="282"/>
      <c r="E42" s="282"/>
      <c r="F42" s="283"/>
      <c r="G42" s="3174" t="s">
        <v>2413</v>
      </c>
    </row>
    <row r="43" spans="1:7" ht="13.5" customHeight="1">
      <c r="A43" s="954" t="s">
        <v>792</v>
      </c>
      <c r="B43" s="259" t="s">
        <v>2414</v>
      </c>
      <c r="C43" s="282">
        <f ca="1">ROUND(IF('数据-取费表'!B22&lt;=1,C39*F22*'数据-取费表'!B21/2,C39*(POWER((1+F22),'数据-取费表'!B21/2)-1)),0)</f>
        <v>18</v>
      </c>
      <c r="D43" s="282"/>
      <c r="E43" s="282"/>
      <c r="F43" s="283"/>
      <c r="G43" s="3175"/>
    </row>
    <row r="44" spans="1:7" ht="13.5" customHeight="1">
      <c r="A44" s="954" t="s">
        <v>793</v>
      </c>
      <c r="B44" s="259" t="s">
        <v>2415</v>
      </c>
      <c r="C44" s="282">
        <f ca="1">ROUND(IF('数据-取费表'!B22&lt;=1,C40*F22*'数据-取费表'!B21/2,C40*(POWER((1+F22),'数据-取费表'!B21/2)-1)),4)</f>
        <v>1.4E-3</v>
      </c>
      <c r="D44" s="282"/>
      <c r="E44" s="282"/>
      <c r="F44" s="283"/>
      <c r="G44" s="3176"/>
    </row>
    <row r="45" spans="1:7" s="258" customFormat="1" ht="13.5" customHeight="1">
      <c r="A45" s="299" t="s">
        <v>2416</v>
      </c>
      <c r="B45" s="288" t="s">
        <v>2382</v>
      </c>
      <c r="C45" s="289">
        <f ca="1">C46</f>
        <v>2415</v>
      </c>
      <c r="D45" s="279">
        <f ca="1">C47</f>
        <v>5.7000000000000002E-3</v>
      </c>
      <c r="E45" s="280" t="s">
        <v>2408</v>
      </c>
      <c r="F45" s="290"/>
      <c r="G45" s="291" t="s">
        <v>2417</v>
      </c>
    </row>
    <row r="46" spans="1:7" s="258" customFormat="1" ht="13.5" customHeight="1">
      <c r="A46" s="954" t="s">
        <v>791</v>
      </c>
      <c r="B46" s="292" t="s">
        <v>2418</v>
      </c>
      <c r="C46" s="293">
        <f ca="1">ROUND((C33+C39)*F27,0)</f>
        <v>2415</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17296</v>
      </c>
      <c r="D49" s="276"/>
      <c r="E49" s="276"/>
      <c r="F49" s="308"/>
      <c r="G49" s="278" t="s">
        <v>2423</v>
      </c>
    </row>
    <row r="50" spans="1:7" s="302" customFormat="1" ht="24">
      <c r="A50" s="299" t="s">
        <v>2424</v>
      </c>
      <c r="B50" s="254" t="s">
        <v>2425</v>
      </c>
      <c r="C50" s="276"/>
      <c r="D50" s="276"/>
      <c r="E50" s="276"/>
      <c r="F50" s="308">
        <f>IF('数据-取费表'!B24=0,'数据-取费表'!N16,1)</f>
        <v>0.97</v>
      </c>
      <c r="G50" s="291" t="s">
        <v>2426</v>
      </c>
    </row>
    <row r="51" spans="1:7" ht="16.5" customHeight="1">
      <c r="A51" s="299" t="s">
        <v>2427</v>
      </c>
      <c r="B51" s="254" t="s">
        <v>2428</v>
      </c>
      <c r="C51" s="276">
        <f ca="1">ROUND(C49*F50,0)</f>
        <v>16777</v>
      </c>
      <c r="D51" s="276"/>
      <c r="E51" s="276"/>
      <c r="F51" s="308"/>
      <c r="G51" s="278" t="s">
        <v>2429</v>
      </c>
    </row>
    <row r="52" spans="1:7" s="252" customFormat="1" ht="16.5" thickBot="1">
      <c r="A52" s="309" t="s">
        <v>2430</v>
      </c>
      <c r="B52" s="310"/>
      <c r="C52" s="311">
        <f ca="1">C31+C51</f>
        <v>111706</v>
      </c>
      <c r="D52" s="310"/>
      <c r="E52" s="310"/>
      <c r="F52" s="310"/>
      <c r="G52" s="312"/>
    </row>
    <row r="55" spans="1:7" ht="15">
      <c r="B55" s="314" t="s">
        <v>2431</v>
      </c>
      <c r="C55" s="315"/>
    </row>
    <row r="56" spans="1:7">
      <c r="B56" s="317" t="s">
        <v>1513</v>
      </c>
      <c r="C56" s="319">
        <f ca="1">1-C57</f>
        <v>0.85</v>
      </c>
    </row>
    <row r="57" spans="1:7">
      <c r="B57" s="317" t="s">
        <v>1514</v>
      </c>
      <c r="C57" s="318">
        <f ca="1">ROUND(C51/C52,3)</f>
        <v>0.15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40878.99</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62475</v>
      </c>
      <c r="C2" s="2725" t="s">
        <v>2816</v>
      </c>
      <c r="D2" s="2726" t="s">
        <v>2817</v>
      </c>
      <c r="E2" s="2727" t="s">
        <v>27</v>
      </c>
      <c r="F2" s="2726" t="s">
        <v>2818</v>
      </c>
      <c r="G2" s="2728" t="str">
        <f>IF(E2="商业",项目基本情况!B37,IF(E2="办公",项目基本情况!C37,IF(E2="住宅",项目基本情况!D37,项目基本情况!E37)))</f>
        <v>五级</v>
      </c>
      <c r="H2" s="2726" t="s">
        <v>2819</v>
      </c>
      <c r="I2" s="2728" t="str">
        <f>IF(E2="商业",项目基本情况!B38,IF(E2="办公",项目基本情况!C38,IF(E2="住宅",项目基本情况!D38,项目基本情况!E38)))</f>
        <v>Ⅴ-05</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1.8816999999999999</v>
      </c>
      <c r="T2" s="1605">
        <f ca="1">ROUND($C$5*$C$18*$C$19*$C$20*S2*$C$24,0)</f>
        <v>24873</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15283</v>
      </c>
      <c r="C3" s="2725" t="s">
        <v>2822</v>
      </c>
      <c r="D3" s="2726" t="s">
        <v>2823</v>
      </c>
      <c r="E3" s="2731" t="s">
        <v>3082</v>
      </c>
      <c r="F3" s="2732" t="s">
        <v>2824</v>
      </c>
      <c r="G3" s="916">
        <f>IF(F3="宗地容积率",'数据-汇总表'!I4,IF(F3="估价对象容积率",'数据-汇总表'!I6,'数据-汇总表'!I7))</f>
        <v>0.99</v>
      </c>
      <c r="H3" s="198" t="s">
        <v>2825</v>
      </c>
      <c r="I3" s="947">
        <v>5</v>
      </c>
      <c r="J3" s="2729" t="s">
        <v>2826</v>
      </c>
      <c r="K3" s="1373"/>
      <c r="L3" s="2730"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1.3507</v>
      </c>
      <c r="T3" s="1605">
        <f t="shared" ref="T3:T16" ca="1" si="0">ROUND($C$5*$C$18*$C$19*$C$20*S3*$C$24,0)</f>
        <v>17854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09"/>
      <c r="B4" s="3310"/>
      <c r="C4" s="3310"/>
      <c r="D4" s="3311"/>
      <c r="E4" s="3311"/>
      <c r="F4" s="3311"/>
      <c r="G4" s="3311"/>
      <c r="H4" s="3311"/>
      <c r="I4" s="3311"/>
      <c r="J4" s="3312"/>
      <c r="K4" s="1373"/>
      <c r="L4" s="2730"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1.0896999999999999</v>
      </c>
      <c r="T4" s="1605">
        <f t="shared" ca="1" si="0"/>
        <v>14404</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2829</v>
      </c>
      <c r="C5" s="917">
        <f>ROUND(IF(E2="商业",IF(F16="增加",C6*C7+C16,C6*C7-C16),IF(E2="住宅",IF(F16="增加",C6*C12+C16,C6*C12-C16),IF(F16="增加",C6+C16,C6-C16))),0)</f>
        <v>12350</v>
      </c>
      <c r="D5" s="1790">
        <f>ROUND(IF(E2="商业",IF(F16="增加",C6+C16,C6-C16)),0)</f>
        <v>0</v>
      </c>
      <c r="E5" s="2735"/>
      <c r="F5" s="2735"/>
      <c r="G5" s="2736"/>
      <c r="H5" s="2736"/>
      <c r="I5" s="2736"/>
      <c r="J5" s="2737"/>
      <c r="K5" s="2738"/>
      <c r="L5" s="2730" t="s">
        <v>2830</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0.87429999999999997</v>
      </c>
      <c r="T5" s="1605">
        <f t="shared" ca="1" si="0"/>
        <v>11557</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2831</v>
      </c>
      <c r="B6" s="2744" t="s">
        <v>2832</v>
      </c>
      <c r="C6" s="918">
        <f>SUMIF(L1:L12,G2,M1:M12)</f>
        <v>12370</v>
      </c>
      <c r="D6" s="2745" t="s">
        <v>2833</v>
      </c>
      <c r="E6" s="2746"/>
      <c r="F6" s="2746"/>
      <c r="G6" s="2747"/>
      <c r="H6" s="2747"/>
      <c r="I6" s="2747"/>
      <c r="J6" s="2748"/>
      <c r="K6" s="1845"/>
      <c r="L6" s="2730"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0.74450000000000005</v>
      </c>
      <c r="T6" s="1605">
        <f t="shared" ca="1" si="0"/>
        <v>9841</v>
      </c>
      <c r="U6" s="1606"/>
      <c r="V6" s="1605">
        <f t="shared" ca="1" si="1"/>
        <v>0</v>
      </c>
      <c r="W6" s="1609"/>
      <c r="X6" s="1609"/>
      <c r="Y6" s="1609"/>
      <c r="Z6" s="1609"/>
      <c r="AA6" s="1609"/>
      <c r="AB6" s="1609"/>
      <c r="AC6" s="2739"/>
      <c r="AD6" s="2740"/>
      <c r="AE6" s="2740"/>
      <c r="AF6" s="2740"/>
      <c r="AG6" s="2740"/>
      <c r="AH6" s="2740"/>
      <c r="AI6" s="2740"/>
      <c r="AJ6" s="2741"/>
    </row>
    <row r="7" spans="1:36" ht="24">
      <c r="A7" s="3295" t="str">
        <f>IF(E2="商业",IF(C8="不临58条商业街","",2),"")</f>
        <v/>
      </c>
      <c r="B7" s="2749" t="s">
        <v>2835</v>
      </c>
      <c r="C7" s="919" t="e">
        <f>IF(C8="不临58条商业街",1,ROUND(1+(1.6*E8+1.2*E9+0.8*E10+0.4*E11)*C9,4))</f>
        <v>#DIV/0!</v>
      </c>
      <c r="D7" s="2750" t="s">
        <v>2836</v>
      </c>
      <c r="E7" s="948"/>
      <c r="F7" s="2751"/>
      <c r="G7" s="2752"/>
      <c r="H7" s="2752"/>
      <c r="I7" s="2752"/>
      <c r="J7" s="2753"/>
      <c r="K7" s="1845"/>
      <c r="L7" s="2730"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0.65469999999999995</v>
      </c>
      <c r="T7" s="1605">
        <f t="shared" ca="1" si="0"/>
        <v>8654</v>
      </c>
      <c r="U7" s="1606"/>
      <c r="V7" s="1605">
        <f t="shared" ca="1" si="1"/>
        <v>0</v>
      </c>
      <c r="W7" s="1819" t="s">
        <v>2838</v>
      </c>
      <c r="X7" s="1607" t="str">
        <f>G2</f>
        <v>五级</v>
      </c>
      <c r="Y7" s="1607" t="s">
        <v>2839</v>
      </c>
      <c r="Z7" s="1608">
        <f>G3</f>
        <v>0.99</v>
      </c>
      <c r="AA7" s="1609"/>
      <c r="AB7" s="1609"/>
      <c r="AC7" s="1610"/>
      <c r="AD7" s="1611"/>
      <c r="AE7" s="1611"/>
      <c r="AF7" s="1611"/>
      <c r="AG7" s="1611"/>
      <c r="AH7" s="1611"/>
      <c r="AI7" s="1611"/>
      <c r="AJ7" s="1612"/>
    </row>
    <row r="8" spans="1:36" ht="15">
      <c r="A8" s="3296"/>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6" t="s">
        <v>2843</v>
      </c>
      <c r="X8" s="3307"/>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6"/>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8"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6"/>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6"/>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8" t="s">
        <v>2867</v>
      </c>
      <c r="X11" s="1617" t="s">
        <v>2868</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295"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8"/>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3"/>
      <c r="B13" s="2768" t="s">
        <v>2874</v>
      </c>
      <c r="C13" s="2769" t="s">
        <v>2875</v>
      </c>
      <c r="D13" s="1811" t="s">
        <v>2876</v>
      </c>
      <c r="E13" s="1811" t="s">
        <v>2877</v>
      </c>
      <c r="F13" s="30" t="s">
        <v>2878</v>
      </c>
      <c r="G13" s="2770" t="s">
        <v>2879</v>
      </c>
      <c r="H13" s="2770" t="s">
        <v>2879</v>
      </c>
      <c r="I13" s="2770" t="s">
        <v>2879</v>
      </c>
      <c r="J13" s="2771" t="s">
        <v>2879</v>
      </c>
      <c r="K13" s="1373"/>
      <c r="L13" s="1373"/>
      <c r="M13" s="1373"/>
      <c r="N13" s="1373"/>
      <c r="O13" s="1373"/>
      <c r="P13" s="1373"/>
      <c r="Q13" s="1373"/>
      <c r="R13" s="1605">
        <v>12</v>
      </c>
      <c r="S13" s="1606"/>
      <c r="T13" s="1605">
        <f t="shared" ca="1" si="0"/>
        <v>0</v>
      </c>
      <c r="U13" s="1606"/>
      <c r="V13" s="1605">
        <f t="shared" ca="1" si="1"/>
        <v>0</v>
      </c>
      <c r="W13" s="3308"/>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313"/>
      <c r="B14" s="2772"/>
      <c r="C14" s="2773"/>
      <c r="D14" s="2774"/>
      <c r="E14" s="2774"/>
      <c r="F14" s="2775"/>
      <c r="G14" s="2776" t="s">
        <v>2880</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14"/>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5" t="s">
        <v>2886</v>
      </c>
      <c r="B16" s="2749" t="s">
        <v>2887</v>
      </c>
      <c r="C16" s="1804">
        <f>ROUND(SUM(G17:J17)/C17,0)</f>
        <v>20</v>
      </c>
      <c r="D16" s="2783" t="s">
        <v>2888</v>
      </c>
      <c r="E16" s="2784" t="s">
        <v>3083</v>
      </c>
      <c r="F16" s="2785" t="s">
        <v>3084</v>
      </c>
      <c r="G16" s="2786" t="s">
        <v>3085</v>
      </c>
      <c r="H16" s="2786"/>
      <c r="I16" s="2786"/>
      <c r="J16" s="2787"/>
      <c r="K16" s="1373"/>
      <c r="L16" s="2788"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6"/>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2895</v>
      </c>
      <c r="C19" s="927">
        <f>ROUND(IF(H19="按公示增长率计算",SUMPRODUCT((地价!A3:A21=YEAR(G19)&amp;"-"&amp;ROUNDUP(MONTH(G19)/3,0))*(地价!X2:AB2=E2)*(地价!X3:AB21)),IF(H19="地价指数",M20/M19,(1+I19)^O19)),4)</f>
        <v>1.2685</v>
      </c>
      <c r="D19" s="2801" t="s">
        <v>2896</v>
      </c>
      <c r="E19" s="928">
        <v>41640</v>
      </c>
      <c r="F19" s="2801" t="s">
        <v>2897</v>
      </c>
      <c r="G19" s="929">
        <f>'数据-取费表'!B2</f>
        <v>43140</v>
      </c>
      <c r="H19" s="2802" t="s">
        <v>3087</v>
      </c>
      <c r="I19" s="930" t="str">
        <f>IF(H19="季度增幅（自定义）",SUMIF(N21:N24,E2,O21:O24),"")</f>
        <v/>
      </c>
      <c r="J19" s="2799"/>
      <c r="K19" s="1380"/>
      <c r="L19" s="2803" t="s">
        <v>2898</v>
      </c>
      <c r="M19" s="1737">
        <f>ROUND(SUMIF(地价!B2:F2,E2,地价!B21:F21),0)</f>
        <v>258</v>
      </c>
      <c r="N19" s="2804" t="s">
        <v>2899</v>
      </c>
      <c r="O19" s="931">
        <f>ROUNDDOWN(DATEDIF(E19,G19,"M")/3,0)</f>
        <v>16</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f ca="1">ROUND(POWER(1+G20,J20-I20)*(POWER(1+G20,I20)-1)/(POWER(1+G20,J20)-1),4)</f>
        <v>0.9375</v>
      </c>
      <c r="D20" s="2810" t="s">
        <v>2901</v>
      </c>
      <c r="E20" s="1771">
        <f ca="1">存贷款利率!D4/100</f>
        <v>4.3499999999999997E-2</v>
      </c>
      <c r="F20" s="2810" t="s">
        <v>2893</v>
      </c>
      <c r="G20" s="937">
        <f ca="1">SUMIF(M15:P15,E2,M17:P17)</f>
        <v>5.1999999999999998E-2</v>
      </c>
      <c r="H20" s="2810" t="s">
        <v>2902</v>
      </c>
      <c r="I20" s="938">
        <f>SUMIF('数据-取费表'!C6:C15,E2,'数据-取费表'!F6:F15)/COUNTIF('数据-取费表'!C6:C15,E2)</f>
        <v>39.229999999999997</v>
      </c>
      <c r="J20" s="939">
        <f>IF(E2="住宅",70,IF(E2="商业",40,50))</f>
        <v>50</v>
      </c>
      <c r="K20" s="1380"/>
      <c r="L20" s="2811" t="s">
        <v>2903</v>
      </c>
      <c r="M20" s="1738">
        <f>ROUND(SUMPRODUCT((地价!A4:A21=YEAR(G19)&amp;"-"&amp;ROUNDUP(MONTH(G19)/3,0))*(地价!B2:F2=E2)*(地价!B4:F21)),0)</f>
        <v>326</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3086</v>
      </c>
      <c r="C21" s="940">
        <f>IF(B21="容积率修正",IF(G3&lt;=10,D22,J22),C23)</f>
        <v>1.2928999999999999</v>
      </c>
      <c r="D21" s="2817"/>
      <c r="E21" s="2817"/>
      <c r="F21" s="2817"/>
      <c r="G21" s="2817"/>
      <c r="H21" s="2817"/>
      <c r="I21" s="2817"/>
      <c r="J21" s="2818"/>
      <c r="K21" s="1380"/>
      <c r="N21" s="2819" t="s">
        <v>2907</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20" t="s">
        <v>2909</v>
      </c>
      <c r="C22" s="1813" t="s">
        <v>2910</v>
      </c>
      <c r="D22" s="1813">
        <f>IF(E22=G22,F22,IF(G3&lt;=10,ROUND(F22+(H22-F22)*(G3-E22)/(G22-E22),4),"——"))</f>
        <v>1.2928999999999999</v>
      </c>
      <c r="E22" s="916">
        <f>ROUNDDOWN(G3,1)</f>
        <v>0.9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1.4208000000000001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813" t="s">
        <v>155</v>
      </c>
      <c r="J22" s="941" t="str">
        <f>IF(G3&gt;10,D113,"——")</f>
        <v>——</v>
      </c>
      <c r="K22" s="1380"/>
      <c r="N22" s="2819" t="s">
        <v>2911</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1" t="s">
        <v>2913</v>
      </c>
      <c r="C23" s="1016">
        <f>ROUND(IF(G3&gt;1,IF(I3&lt;7,SUMPRODUCT((B93:B98=I3)*(C92:N92=G2)*(C93:N98)),SUMIF(C92:N92,G2,C100:N100)),IF(I3&lt;7,SUMPRODUCT((B102:B107=I3)*(C92:N92=G2)*(C102:N107)),SUMIF(C92:N92,G2,C109:N109))),4)</f>
        <v>0.74450000000000005</v>
      </c>
      <c r="D23" s="2777"/>
      <c r="E23" s="2777"/>
      <c r="F23" s="2822"/>
      <c r="G23" s="2823"/>
      <c r="H23" s="2824"/>
      <c r="I23" s="2825"/>
      <c r="J23" s="2826"/>
      <c r="K23" s="1373"/>
      <c r="N23" s="2819" t="s">
        <v>2914</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2915</v>
      </c>
      <c r="C24" s="927">
        <f>SUMIF(A45:A88,E2,B45:B88)</f>
        <v>1</v>
      </c>
      <c r="D24" s="2797"/>
      <c r="E24" s="2827"/>
      <c r="F24" s="2827"/>
      <c r="G24" s="2827"/>
      <c r="H24" s="2827"/>
      <c r="I24" s="2827"/>
      <c r="J24" s="2828"/>
      <c r="K24" s="1380"/>
      <c r="N24" s="2829" t="s">
        <v>2916</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2917</v>
      </c>
      <c r="C25" s="933"/>
      <c r="D25" s="2752"/>
      <c r="E25" s="2752"/>
      <c r="F25" s="2831"/>
      <c r="G25" s="2752"/>
      <c r="H25" s="2752"/>
      <c r="I25" s="2752"/>
      <c r="J25" s="2753"/>
      <c r="K25" s="1373"/>
      <c r="N25" s="2832" t="s">
        <v>2918</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3"/>
      <c r="B26" s="2820" t="s">
        <v>2919</v>
      </c>
      <c r="C26" s="206">
        <f ca="1">E29+SUM(E33:E39)</f>
        <v>62475</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2920</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17090</v>
      </c>
      <c r="D29" s="2849">
        <f>'数据-汇总表'!F19</f>
        <v>35659.39</v>
      </c>
      <c r="E29" s="945">
        <f ca="1">ROUND(C29*D29/10000,0)</f>
        <v>60942</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2927</v>
      </c>
      <c r="C30" s="229">
        <f ca="1">ROUND(IF(E2="工业",C29*M39,C29*M38),0)</f>
        <v>4273</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03" t="s">
        <v>2933</v>
      </c>
      <c r="B33" s="2865" t="s">
        <v>2934</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4"/>
      <c r="B34" s="2769" t="s">
        <v>2935</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4"/>
      <c r="B35" s="2769" t="s">
        <v>2936</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305"/>
      <c r="B36" s="2769" t="s">
        <v>2937</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3672</v>
      </c>
      <c r="D37" s="2849"/>
      <c r="E37" s="200">
        <f t="shared" ca="1" si="7"/>
        <v>0</v>
      </c>
      <c r="F37" s="206">
        <f>SUMIF(修正!A45:A56,G2,修正!F45:F56)</f>
        <v>0.25</v>
      </c>
      <c r="G37" s="200">
        <f t="shared" ca="1" si="6"/>
        <v>918</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3672</v>
      </c>
      <c r="D38" s="2849"/>
      <c r="E38" s="200">
        <f t="shared" ca="1" si="7"/>
        <v>0</v>
      </c>
      <c r="F38" s="206">
        <f>SUMIF(修正!A45:A56,G2,修正!G45:G56)</f>
        <v>0.25</v>
      </c>
      <c r="G38" s="200">
        <f t="shared" ca="1" si="6"/>
        <v>918</v>
      </c>
      <c r="H38" s="200">
        <f t="shared" si="8"/>
        <v>0</v>
      </c>
      <c r="I38" s="200">
        <f t="shared" ca="1" si="9"/>
        <v>0</v>
      </c>
      <c r="J38" s="2866"/>
      <c r="K38" s="1373"/>
      <c r="L38" s="1890" t="s">
        <v>2941</v>
      </c>
      <c r="M38" s="2870">
        <v>0.25</v>
      </c>
      <c r="N38" s="1373"/>
      <c r="O38" s="1373"/>
      <c r="P38" s="1373"/>
      <c r="Q38" s="1373"/>
      <c r="R38" s="1373"/>
      <c r="S38" s="1373"/>
      <c r="T38" s="1373"/>
      <c r="U38" s="1373"/>
      <c r="V38" s="1373"/>
      <c r="W38" s="1373"/>
      <c r="X38" s="1373"/>
      <c r="Y38" s="1373"/>
      <c r="Z38" s="1374"/>
    </row>
    <row r="39" spans="1:37" ht="13.5" thickBot="1">
      <c r="A39" s="2853"/>
      <c r="B39" s="2871" t="s">
        <v>2942</v>
      </c>
      <c r="C39" s="229">
        <f ca="1">ROUND(C5*C19*C20*C24*F39,0)</f>
        <v>2937</v>
      </c>
      <c r="D39" s="2855">
        <f>'数据-汇总表'!G20</f>
        <v>5219.6000000000004</v>
      </c>
      <c r="E39" s="229">
        <f t="shared" ca="1" si="7"/>
        <v>1533</v>
      </c>
      <c r="F39" s="935">
        <f>SUMIF(修正!A45:A56,G2,修正!H45:H56)</f>
        <v>0.2</v>
      </c>
      <c r="G39" s="229" t="e">
        <f t="shared" si="6"/>
        <v>#DIV/0!</v>
      </c>
      <c r="H39" s="229">
        <f t="shared" si="8"/>
        <v>5219.6000000000004</v>
      </c>
      <c r="I39" s="229" t="e">
        <f t="shared" si="9"/>
        <v>#DIV/0!</v>
      </c>
      <c r="J39" s="2872"/>
      <c r="K39" s="1373"/>
      <c r="L39" s="2873" t="s">
        <v>2885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2944</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2945</v>
      </c>
      <c r="B47" s="1812" t="s">
        <v>2946</v>
      </c>
      <c r="C47" s="1812" t="s">
        <v>2947</v>
      </c>
      <c r="D47" s="1812" t="s">
        <v>2948</v>
      </c>
      <c r="E47" s="819" t="s">
        <v>2949</v>
      </c>
      <c r="F47" s="2883" t="s">
        <v>2950</v>
      </c>
      <c r="G47" s="1812" t="s">
        <v>754</v>
      </c>
      <c r="H47" s="2884" t="s">
        <v>2951</v>
      </c>
      <c r="I47" s="1812" t="s">
        <v>2952</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2" t="s">
        <v>2953</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2954</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2956</v>
      </c>
      <c r="B51" s="2887"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2959</v>
      </c>
      <c r="B53" s="2888"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2961</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2962</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2963</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2964</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2945</v>
      </c>
      <c r="B58" s="1812"/>
      <c r="C58" s="1812" t="s">
        <v>2947</v>
      </c>
      <c r="D58" s="1812" t="s">
        <v>2948</v>
      </c>
      <c r="E58" s="819" t="s">
        <v>2949</v>
      </c>
      <c r="F58" s="2883" t="s">
        <v>2965</v>
      </c>
      <c r="G58" s="1812" t="s">
        <v>754</v>
      </c>
      <c r="H58" s="2884" t="s">
        <v>2951</v>
      </c>
      <c r="I58" s="1812" t="s">
        <v>2952</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2" t="s">
        <v>2966</v>
      </c>
      <c r="B59" s="2885" t="str">
        <f>估价对象房地状况!C17</f>
        <v>估价对象位于XX商圈，周边办公楼项目较多，入驻率高，办公集聚程度较好</v>
      </c>
      <c r="C59" s="2774"/>
      <c r="D59" s="1289">
        <f t="shared" ref="D59:D67" si="15">SUMIF($J$58:$N$58,C59,J59:N59)</f>
        <v>0</v>
      </c>
      <c r="E59" s="821">
        <f>ROUND(SUM(D59:D67),4)</f>
        <v>0</v>
      </c>
      <c r="F59" s="2505">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2954</v>
      </c>
      <c r="B60" s="2886" t="str">
        <f>估价对象房地状况!C18</f>
        <v>估价对象周边道路状况、公共交通通达情况、停车便捷程度，综合评价交通便捷度较好</v>
      </c>
      <c r="C60" s="2774"/>
      <c r="D60" s="1289">
        <f t="shared" si="15"/>
        <v>0</v>
      </c>
      <c r="E60" s="822"/>
      <c r="F60" s="2505"/>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c r="D61" s="1289">
        <f t="shared" si="15"/>
        <v>0</v>
      </c>
      <c r="E61" s="822"/>
      <c r="F61" s="2505"/>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2956</v>
      </c>
      <c r="B62" s="2887" t="s">
        <v>2957</v>
      </c>
      <c r="C62" s="2774"/>
      <c r="D62" s="1289">
        <f t="shared" si="15"/>
        <v>0</v>
      </c>
      <c r="E62" s="822"/>
      <c r="F62" s="2505"/>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c r="D63" s="1289">
        <f t="shared" si="15"/>
        <v>0</v>
      </c>
      <c r="E63" s="822"/>
      <c r="F63" s="2505"/>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2959</v>
      </c>
      <c r="B64" s="2888" t="s">
        <v>2960</v>
      </c>
      <c r="C64" s="2774"/>
      <c r="D64" s="1289">
        <f t="shared" si="15"/>
        <v>0</v>
      </c>
      <c r="E64" s="822"/>
      <c r="F64" s="2505"/>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2961</v>
      </c>
      <c r="B65" s="1728" t="str">
        <f>估价对象房地状况!C21</f>
        <v>估价对象所在区域公共配套设施齐备情况</v>
      </c>
      <c r="C65" s="2774"/>
      <c r="D65" s="1289">
        <f t="shared" si="15"/>
        <v>0</v>
      </c>
      <c r="E65" s="822"/>
      <c r="F65" s="2505"/>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2962</v>
      </c>
      <c r="B66" s="1728" t="str">
        <f>估价对象房地状况!C22</f>
        <v>估价对象所在区域基础设施水平</v>
      </c>
      <c r="C66" s="2774"/>
      <c r="D66" s="1289">
        <f t="shared" si="15"/>
        <v>0</v>
      </c>
      <c r="E66" s="822"/>
      <c r="F66" s="2505"/>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2963</v>
      </c>
      <c r="B67" s="2892" t="str">
        <f>估价对象房地状况!C20</f>
        <v>区域自然环境：；人文环境；综合评价环境状况一般</v>
      </c>
      <c r="C67" s="2774"/>
      <c r="D67" s="1289">
        <f t="shared" si="15"/>
        <v>0</v>
      </c>
      <c r="E67" s="825"/>
      <c r="F67" s="2505"/>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2945</v>
      </c>
      <c r="B69" s="1812"/>
      <c r="C69" s="1812" t="s">
        <v>2947</v>
      </c>
      <c r="D69" s="1812" t="s">
        <v>2948</v>
      </c>
      <c r="E69" s="819" t="s">
        <v>2949</v>
      </c>
      <c r="F69" s="2883" t="s">
        <v>2965</v>
      </c>
      <c r="G69" s="1812" t="s">
        <v>754</v>
      </c>
      <c r="H69" s="2884" t="s">
        <v>2951</v>
      </c>
      <c r="I69" s="1812" t="s">
        <v>2952</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2961</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2962</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2971</v>
      </c>
      <c r="B79" s="2879">
        <f>1+E81</f>
        <v>1</v>
      </c>
      <c r="C79" s="814"/>
      <c r="D79" s="814"/>
      <c r="E79" s="815"/>
      <c r="F79" s="2881"/>
      <c r="G79" s="6"/>
      <c r="H79" s="6"/>
      <c r="I79" s="6"/>
      <c r="J79" s="7"/>
      <c r="K79" s="7"/>
      <c r="L79" s="7"/>
      <c r="M79" s="7"/>
      <c r="N79" s="7"/>
      <c r="Z79" s="2724"/>
      <c r="AA79" s="2800"/>
      <c r="AG79" s="1375"/>
      <c r="AK79" s="2800"/>
    </row>
    <row r="80" spans="1:37" ht="24.75">
      <c r="A80" s="2882" t="s">
        <v>2945</v>
      </c>
      <c r="B80" s="1812"/>
      <c r="C80" s="1812" t="s">
        <v>2947</v>
      </c>
      <c r="D80" s="1812" t="s">
        <v>2948</v>
      </c>
      <c r="E80" s="819" t="s">
        <v>2949</v>
      </c>
      <c r="F80" s="2883" t="s">
        <v>2965</v>
      </c>
      <c r="G80" s="1812" t="s">
        <v>754</v>
      </c>
      <c r="H80" s="2884" t="s">
        <v>2951</v>
      </c>
      <c r="I80" s="1812" t="s">
        <v>2952</v>
      </c>
      <c r="J80" s="603" t="s">
        <v>2601</v>
      </c>
      <c r="K80" s="603" t="s">
        <v>2602</v>
      </c>
      <c r="L80" s="603" t="s">
        <v>2603</v>
      </c>
      <c r="M80" s="603" t="s">
        <v>2604</v>
      </c>
      <c r="N80" s="603" t="s">
        <v>2605</v>
      </c>
      <c r="Z80" s="2724"/>
      <c r="AA80" s="2800"/>
      <c r="AG80" s="1375"/>
      <c r="AK80" s="2800"/>
    </row>
    <row r="81" spans="1:37" ht="38.25">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2961</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2962</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97" t="s">
        <v>2975</v>
      </c>
      <c r="B90" s="3297"/>
      <c r="C90" s="3297"/>
      <c r="D90" s="3297"/>
      <c r="E90" s="3297"/>
      <c r="F90" s="3297"/>
      <c r="G90" s="3297"/>
      <c r="H90" s="3297"/>
      <c r="I90" s="3297"/>
      <c r="J90" s="3297"/>
      <c r="K90" s="2896"/>
      <c r="L90" s="2896"/>
      <c r="M90" s="2896"/>
      <c r="N90" s="2896"/>
    </row>
    <row r="91" spans="1:37">
      <c r="A91" s="3299" t="s">
        <v>2976</v>
      </c>
      <c r="B91" s="3299" t="s">
        <v>2977</v>
      </c>
      <c r="C91" s="2850" t="s">
        <v>2978</v>
      </c>
      <c r="D91" s="2851"/>
      <c r="E91" s="2851"/>
      <c r="F91" s="2851"/>
      <c r="G91" s="2851"/>
      <c r="H91" s="2851"/>
      <c r="I91" s="2851"/>
      <c r="J91" s="2897"/>
      <c r="K91" s="2898"/>
      <c r="L91" s="2898"/>
      <c r="M91" s="2898"/>
      <c r="N91" s="2898"/>
    </row>
    <row r="92" spans="1:37">
      <c r="A92" s="3299"/>
      <c r="B92" s="329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00"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1"/>
      <c r="B99" s="2899" t="s">
        <v>2860</v>
      </c>
      <c r="C99" s="2901">
        <f>$I$3</f>
        <v>5</v>
      </c>
      <c r="D99" s="2901">
        <f t="shared" ref="D99:M99" si="30">$I$3</f>
        <v>5</v>
      </c>
      <c r="E99" s="2901">
        <f t="shared" si="30"/>
        <v>5</v>
      </c>
      <c r="F99" s="2901">
        <f t="shared" si="30"/>
        <v>5</v>
      </c>
      <c r="G99" s="2901">
        <f t="shared" si="30"/>
        <v>5</v>
      </c>
      <c r="H99" s="2901">
        <f t="shared" si="30"/>
        <v>5</v>
      </c>
      <c r="I99" s="2901">
        <f t="shared" si="30"/>
        <v>5</v>
      </c>
      <c r="J99" s="2901">
        <f t="shared" si="30"/>
        <v>5</v>
      </c>
      <c r="K99" s="2901">
        <f t="shared" si="30"/>
        <v>5</v>
      </c>
      <c r="L99" s="2901">
        <f t="shared" si="30"/>
        <v>5</v>
      </c>
      <c r="M99" s="2901">
        <f t="shared" si="30"/>
        <v>5</v>
      </c>
      <c r="N99" s="2901">
        <f>$I$3</f>
        <v>5</v>
      </c>
    </row>
    <row r="100" spans="1:14">
      <c r="A100" s="3302"/>
      <c r="B100" s="2899">
        <v>7</v>
      </c>
      <c r="C100" s="2902">
        <f>(-0.163*(C99^2)-0.59*C99+7617)*(10^(-4))</f>
        <v>0.7609975000000001</v>
      </c>
      <c r="D100" s="2902">
        <f>(-0.163*(D99^2)-0.59*D99+7617)*(10^(-4))</f>
        <v>0.7609975000000001</v>
      </c>
      <c r="E100" s="2902">
        <f>(-0.161*(E99^2)-7.509*E99+6533)*(10^(-4))</f>
        <v>0.64914300000000003</v>
      </c>
      <c r="F100" s="2902">
        <f>(-0.161*(F99^2)-7.509*F99+6533)*(10^(-4))</f>
        <v>0.64914300000000003</v>
      </c>
      <c r="G100" s="2902">
        <f>(-0.161*(G99^2)-7.509*G99+6533)*(10^(-4))</f>
        <v>0.64914300000000003</v>
      </c>
      <c r="H100" s="2902">
        <f>(-0.161*(H99^2)-7.509*H99+6533)*(10^(-4))</f>
        <v>0.64914300000000003</v>
      </c>
      <c r="I100" s="2902">
        <f>(-0.161*(I99^2)-7.509*I99+6533)*(10^(-4))</f>
        <v>0.64914300000000003</v>
      </c>
      <c r="J100" s="2902">
        <f>(-0.214*(J99^2)-21.991*J99+4665)*(10^(-4))</f>
        <v>0.45496949999999997</v>
      </c>
      <c r="K100" s="2902">
        <f>(-0.214*(K99^2)-21.991*K99+4665)*(10^(-4))</f>
        <v>0.45496949999999997</v>
      </c>
      <c r="L100" s="2902">
        <f>(-0.214*(L99^2)-21.991*L99+4665)*(10^(-4))</f>
        <v>0.45496949999999997</v>
      </c>
      <c r="M100" s="2902">
        <f>(-0.214*(M99^2)-21.991*M99+4665)*(10^(-4))</f>
        <v>0.45496949999999997</v>
      </c>
      <c r="N100" s="2902">
        <f>(-0.214*(N99^2)-21.991*N99+4665)*(10^(-4))</f>
        <v>0.45496949999999997</v>
      </c>
    </row>
    <row r="101" spans="1:14">
      <c r="A101" s="3300" t="s">
        <v>2980</v>
      </c>
      <c r="B101" s="2903" t="s">
        <v>2981</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301"/>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301"/>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301"/>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301"/>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301"/>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301"/>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301"/>
      <c r="B108" s="3108" t="s">
        <v>2982</v>
      </c>
      <c r="C108" s="2901">
        <f>C99</f>
        <v>5</v>
      </c>
      <c r="D108" s="2901">
        <f t="shared" ref="D108:N108" si="32">D99</f>
        <v>5</v>
      </c>
      <c r="E108" s="2901">
        <f t="shared" si="32"/>
        <v>5</v>
      </c>
      <c r="F108" s="2901">
        <f t="shared" si="32"/>
        <v>5</v>
      </c>
      <c r="G108" s="2901">
        <f t="shared" si="32"/>
        <v>5</v>
      </c>
      <c r="H108" s="2901">
        <f t="shared" si="32"/>
        <v>5</v>
      </c>
      <c r="I108" s="2901">
        <f t="shared" si="32"/>
        <v>5</v>
      </c>
      <c r="J108" s="2901">
        <f t="shared" si="32"/>
        <v>5</v>
      </c>
      <c r="K108" s="2901">
        <f t="shared" si="32"/>
        <v>5</v>
      </c>
      <c r="L108" s="2901">
        <f t="shared" si="32"/>
        <v>5</v>
      </c>
      <c r="M108" s="2901">
        <f t="shared" si="32"/>
        <v>5</v>
      </c>
      <c r="N108" s="2901">
        <f t="shared" si="32"/>
        <v>5</v>
      </c>
    </row>
    <row r="109" spans="1:14">
      <c r="A109" s="3302"/>
      <c r="B109" s="3109"/>
      <c r="C109" s="2902">
        <f>(-0.163*(C108^2)-0.59*C108+7617)*(10^(-4))/C101</f>
        <v>0.76868434343434355</v>
      </c>
      <c r="D109" s="2902">
        <f>(-0.163*(D108^2)-0.59*D108+7617)*(10^(-4))/D101</f>
        <v>0.76868434343434355</v>
      </c>
      <c r="E109" s="2902">
        <f>(-0.161*(E108^2)-7.509*E108+6533)*(10^(-4))/E101</f>
        <v>0.65570000000000006</v>
      </c>
      <c r="F109" s="2902">
        <f>(-0.161*(F108^2)-7.509*F108+6533)*(10^(-4))/F101</f>
        <v>0.65570000000000006</v>
      </c>
      <c r="G109" s="2902">
        <f>(-0.161*(G108^2)-7.509*G108+6533)*(10^(-4))/G101</f>
        <v>0.65570000000000006</v>
      </c>
      <c r="H109" s="2902">
        <f>(-0.161*(H108^2)-7.509*H108+6533)*(10^(-4))/H101</f>
        <v>0.65570000000000006</v>
      </c>
      <c r="I109" s="2902">
        <f>(-0.161*(I108^2)-7.509*I108+6533)*(10^(-4))/I101</f>
        <v>0.65570000000000006</v>
      </c>
      <c r="J109" s="2902">
        <f>(-0.214*(J108^2)-21.991*J108+4665)*(10^(-4))/J101</f>
        <v>0.45956515151515148</v>
      </c>
      <c r="K109" s="2902">
        <f>(-0.214*(K108^2)-21.991*K108+4665)*(10^(-4))/K101</f>
        <v>0.45956515151515148</v>
      </c>
      <c r="L109" s="2902">
        <f>(-0.214*(L108^2)-21.991*L108+4665)*(10^(-4))/L101</f>
        <v>0.45956515151515148</v>
      </c>
      <c r="M109" s="2902">
        <f>(-0.214*(M108^2)-21.991*M108+4665)*(10^(-4))/M101</f>
        <v>0.45956515151515148</v>
      </c>
      <c r="N109" s="2902">
        <f>(-0.214*(N108^2)-21.991*N108+4665)*(10^(-4))/N101</f>
        <v>0.45956515151515148</v>
      </c>
    </row>
    <row r="110" spans="1:14">
      <c r="A110" s="3298" t="s">
        <v>2983</v>
      </c>
      <c r="B110" s="3298"/>
      <c r="C110" s="3298"/>
      <c r="D110" s="3298"/>
      <c r="E110" s="3298"/>
      <c r="F110" s="3298"/>
      <c r="G110" s="3298"/>
      <c r="H110" s="3298"/>
      <c r="I110" s="3298"/>
      <c r="J110" s="3298"/>
      <c r="K110" s="2905"/>
      <c r="L110" s="2905"/>
      <c r="M110" s="2905"/>
      <c r="N110" s="2905"/>
    </row>
    <row r="112" spans="1:14" ht="13.5" thickBot="1"/>
    <row r="113" spans="1:13" ht="25.5" thickBot="1">
      <c r="A113" s="903" t="s">
        <v>2984</v>
      </c>
      <c r="B113" s="1290">
        <f>G3</f>
        <v>0.99</v>
      </c>
      <c r="C113" s="904" t="s">
        <v>2985</v>
      </c>
      <c r="D113" s="905">
        <f>SUMPRODUCT((A115:A118=F113)*(B114:M114=H113)*B115:M118)</f>
        <v>0.84379999999999999</v>
      </c>
      <c r="E113" s="2728" t="s">
        <v>2817</v>
      </c>
      <c r="F113" s="2907" t="str">
        <f>E2</f>
        <v>办公</v>
      </c>
      <c r="G113" s="2728" t="s">
        <v>2818</v>
      </c>
      <c r="H113" s="2907" t="str">
        <f>G2</f>
        <v>五级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2882</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2883</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2884</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2885</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1641</v>
      </c>
      <c r="B2" s="3000" t="s">
        <v>1642</v>
      </c>
      <c r="C2" s="3000" t="s">
        <v>1643</v>
      </c>
      <c r="D2" s="3000" t="str">
        <f>结果表办公!D116</f>
        <v>出让国有建设用地使用权价值</v>
      </c>
      <c r="E2" s="3000"/>
      <c r="F2" s="3000" t="str">
        <f>结果表办公!F116</f>
        <v>在建建筑物价值</v>
      </c>
      <c r="G2" s="3000"/>
      <c r="H2" s="3000" t="str">
        <f>IF(项目基本情况!B9="房地产市场价值","房地产市场价值","房地产价值")</f>
        <v>房地产价值</v>
      </c>
      <c r="I2" s="3000"/>
    </row>
    <row r="3" spans="1:9" ht="15">
      <c r="A3" s="3001"/>
      <c r="B3" s="3001"/>
      <c r="C3" s="3001"/>
      <c r="D3" s="1047" t="s">
        <v>1638</v>
      </c>
      <c r="E3" s="1047" t="s">
        <v>1644</v>
      </c>
      <c r="F3" s="1047" t="s">
        <v>1638</v>
      </c>
      <c r="G3" s="1047" t="s">
        <v>1639</v>
      </c>
      <c r="H3" s="1047" t="s">
        <v>1638</v>
      </c>
      <c r="I3" s="1047" t="s">
        <v>1639</v>
      </c>
    </row>
    <row r="4" spans="1:9" ht="15">
      <c r="A4" s="1976" t="str">
        <f>项目基本情况!S2</f>
        <v>北京市房地产</v>
      </c>
      <c r="B4" s="1047">
        <f>项目基本情况!C17</f>
        <v>40878.99</v>
      </c>
      <c r="C4" s="1047">
        <f>项目基本情况!C18</f>
        <v>35925.1</v>
      </c>
      <c r="D4" s="1047" t="e">
        <f ca="1">结果表办公!D118</f>
        <v>#REF!</v>
      </c>
      <c r="E4" s="1047" t="e">
        <f ca="1">结果表办公!E118</f>
        <v>#REF!</v>
      </c>
      <c r="F4" s="1047" t="e">
        <f ca="1">结果表办公!F118</f>
        <v>#REF!</v>
      </c>
      <c r="G4" s="1047" t="e">
        <f ca="1">结果表办公!G118</f>
        <v>#REF!</v>
      </c>
      <c r="H4" s="1047">
        <f ca="1">结果表办公!H118</f>
        <v>141753</v>
      </c>
      <c r="I4" s="1047">
        <f ca="1">结果表办公!I118</f>
        <v>39752</v>
      </c>
    </row>
    <row r="5" spans="1:9" ht="30" customHeight="1">
      <c r="A5" s="3001" t="s">
        <v>1640</v>
      </c>
      <c r="B5" s="3001"/>
      <c r="C5" s="3001"/>
      <c r="D5" s="3002" t="e">
        <f ca="1">结果表办公!D119</f>
        <v>#REF!</v>
      </c>
      <c r="E5" s="3002"/>
      <c r="F5" s="3002" t="e">
        <f ca="1">结果表办公!F119</f>
        <v>#REF!</v>
      </c>
      <c r="G5" s="3002"/>
      <c r="H5" s="3002" t="str">
        <f ca="1">结果表办公!H119</f>
        <v>壹拾肆亿壹仟柒佰伍拾叁万元整</v>
      </c>
      <c r="I5" s="3002"/>
    </row>
    <row r="6" spans="1:9" ht="15.75">
      <c r="A6" s="3003" t="str">
        <f>结果表办公!A120</f>
        <v>估价师知悉的法定优先受偿款</v>
      </c>
      <c r="B6" s="3003"/>
      <c r="C6" s="3003"/>
      <c r="D6" s="3003">
        <f>结果表办公!D120</f>
        <v>0</v>
      </c>
      <c r="E6" s="3003"/>
      <c r="F6" s="3003"/>
      <c r="G6" s="3003"/>
      <c r="H6" s="3003"/>
      <c r="I6" s="3003"/>
    </row>
    <row r="7" spans="1:9" ht="15">
      <c r="A7" s="3001" t="s">
        <v>1640</v>
      </c>
      <c r="B7" s="3001"/>
      <c r="C7" s="3001"/>
      <c r="D7" s="3004" t="str">
        <f>结果表办公!D121</f>
        <v>零元整</v>
      </c>
      <c r="E7" s="3005"/>
      <c r="F7" s="3005"/>
      <c r="G7" s="3005"/>
      <c r="H7" s="3005"/>
      <c r="I7" s="3006"/>
    </row>
    <row r="8" spans="1:9" ht="15.75">
      <c r="A8" s="3003" t="str">
        <f>结果表办公!A122</f>
        <v>房地产抵押价值</v>
      </c>
      <c r="B8" s="3003"/>
      <c r="C8" s="3003"/>
      <c r="D8" s="3003">
        <f ca="1">结果表办公!D122</f>
        <v>141753</v>
      </c>
      <c r="E8" s="3003"/>
      <c r="F8" s="3003"/>
      <c r="G8" s="3003"/>
      <c r="H8" s="3003"/>
      <c r="I8" s="3003"/>
    </row>
    <row r="9" spans="1:9" ht="15">
      <c r="A9" s="3001" t="s">
        <v>1640</v>
      </c>
      <c r="B9" s="3001"/>
      <c r="C9" s="3001"/>
      <c r="D9" s="3002" t="str">
        <f ca="1">结果表办公!D123</f>
        <v>壹拾肆亿壹仟柒佰伍拾叁万元整</v>
      </c>
      <c r="E9" s="3002"/>
      <c r="F9" s="3002"/>
      <c r="G9" s="3002"/>
      <c r="H9" s="3002"/>
      <c r="I9" s="3002"/>
    </row>
    <row r="10" spans="1:9" ht="15.75">
      <c r="A10" s="3003" t="str">
        <f>结果表办公!A124</f>
        <v/>
      </c>
      <c r="B10" s="3003"/>
      <c r="C10" s="3003"/>
      <c r="D10" s="3003" t="str">
        <f>结果表办公!D124</f>
        <v>——</v>
      </c>
      <c r="E10" s="3003"/>
      <c r="F10" s="3003"/>
      <c r="G10" s="3003"/>
      <c r="H10" s="3003"/>
      <c r="I10" s="3003"/>
    </row>
    <row r="11" spans="1:9" ht="15">
      <c r="A11" s="3001" t="s">
        <v>1640</v>
      </c>
      <c r="B11" s="3001"/>
      <c r="C11" s="3001"/>
      <c r="D11" s="3002" t="e">
        <f>结果表办公!D125</f>
        <v>#VALUE!</v>
      </c>
      <c r="E11" s="3002"/>
      <c r="F11" s="3002"/>
      <c r="G11" s="3002"/>
      <c r="H11" s="3002"/>
      <c r="I11" s="3002"/>
    </row>
    <row r="12" spans="1:9" ht="15.75">
      <c r="A12" s="3003" t="str">
        <f>结果表办公!A126</f>
        <v/>
      </c>
      <c r="B12" s="3003"/>
      <c r="C12" s="3003"/>
      <c r="D12" s="3003" t="str">
        <f>结果表办公!D126</f>
        <v>——</v>
      </c>
      <c r="E12" s="3003"/>
      <c r="F12" s="3003"/>
      <c r="G12" s="3003"/>
      <c r="H12" s="3003"/>
      <c r="I12" s="3003"/>
    </row>
    <row r="13" spans="1:9" ht="15.75" thickBot="1">
      <c r="A13" s="3007" t="s">
        <v>1640</v>
      </c>
      <c r="B13" s="3007"/>
      <c r="C13" s="3007"/>
      <c r="D13" s="3008" t="e">
        <f>结果表办公!D127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0" t="s">
        <v>1662</v>
      </c>
      <c r="B1" s="3010"/>
      <c r="C1" s="3010"/>
      <c r="D1" s="3010"/>
    </row>
    <row r="2" spans="1:4" ht="18">
      <c r="A2" s="3011" t="s">
        <v>1646</v>
      </c>
      <c r="B2" s="3011"/>
      <c r="C2" s="3011"/>
      <c r="D2" s="301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11" t="s">
        <v>1652</v>
      </c>
      <c r="B6" s="3011"/>
      <c r="C6" s="3011"/>
      <c r="D6" s="301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2" t="s">
        <v>1655</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1656</v>
      </c>
      <c r="B16" s="3016"/>
      <c r="C16" s="3016"/>
      <c r="D16" s="3016"/>
    </row>
    <row r="17" spans="1:4" ht="144" customHeight="1">
      <c r="A17" s="3016" t="s">
        <v>1657</v>
      </c>
      <c r="B17" s="3016"/>
      <c r="C17" s="3016"/>
      <c r="D17" s="3016"/>
    </row>
    <row r="18" spans="1:4" ht="15.75" customHeight="1">
      <c r="A18" s="3013" t="str">
        <f>IF(项目基本情况!B8="抵押",结果表办公!K120,"——")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1658</v>
      </c>
      <c r="B22" s="3018"/>
      <c r="C22" s="3018"/>
      <c r="D22" s="301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4" t="s">
        <v>1669</v>
      </c>
      <c r="B15" s="3019" t="s">
        <v>136</v>
      </c>
      <c r="C15" s="3020"/>
    </row>
    <row r="16" spans="1:7" ht="13.5">
      <c r="A16" s="3025"/>
      <c r="B16" s="3019" t="s">
        <v>69</v>
      </c>
      <c r="C16" s="3020"/>
    </row>
    <row r="17" spans="1:3" ht="13.5">
      <c r="A17" s="3025"/>
      <c r="B17" s="3022" t="s">
        <v>1670</v>
      </c>
      <c r="C17" s="2003" t="s">
        <v>1669</v>
      </c>
    </row>
    <row r="18" spans="1:3" ht="13.5">
      <c r="A18" s="3025"/>
      <c r="B18" s="3022"/>
      <c r="C18" s="2003" t="s">
        <v>1671</v>
      </c>
    </row>
    <row r="19" spans="1:3" ht="13.5">
      <c r="A19" s="3025"/>
      <c r="B19" s="3022"/>
      <c r="C19" s="2003" t="s">
        <v>1672</v>
      </c>
    </row>
    <row r="20" spans="1:3" ht="13.5">
      <c r="A20" s="3026"/>
      <c r="B20" s="3021" t="s">
        <v>1673</v>
      </c>
      <c r="C20" s="3020"/>
    </row>
    <row r="21" spans="1:3" ht="13.5">
      <c r="A21" s="2004" t="s">
        <v>1674</v>
      </c>
      <c r="B21" s="2005"/>
      <c r="C21" s="2006"/>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2003" t="s">
        <v>1680</v>
      </c>
    </row>
    <row r="26" spans="1:3" ht="13.5">
      <c r="A26" s="3023"/>
      <c r="B26" s="3022"/>
      <c r="C26" s="2003" t="s">
        <v>1681</v>
      </c>
    </row>
    <row r="27" spans="1:3" ht="13.5">
      <c r="A27" s="3023"/>
      <c r="B27" s="3022"/>
      <c r="C27" s="2003" t="s">
        <v>1682</v>
      </c>
    </row>
    <row r="28" spans="1:3" ht="13.5">
      <c r="A28" s="3023"/>
      <c r="B28" s="3022"/>
      <c r="C28" s="2003" t="s">
        <v>1683</v>
      </c>
    </row>
    <row r="29" spans="1:3" ht="13.5">
      <c r="A29" s="3023"/>
      <c r="B29" s="3022"/>
      <c r="C29" s="2003" t="s">
        <v>1684</v>
      </c>
    </row>
    <row r="30" spans="1:3" ht="13.5">
      <c r="A30" s="3023"/>
      <c r="B30" s="3022"/>
      <c r="C30" s="2003" t="s">
        <v>1685</v>
      </c>
    </row>
    <row r="31" spans="1:3" ht="13.5">
      <c r="A31" s="3023"/>
      <c r="B31" s="3022"/>
      <c r="C31" s="2003" t="s">
        <v>1686</v>
      </c>
    </row>
    <row r="32" spans="1:3" ht="13.5">
      <c r="A32" s="3023"/>
      <c r="B32" s="3022"/>
      <c r="C32" s="2003" t="s">
        <v>1687</v>
      </c>
    </row>
    <row r="33" spans="1:3" ht="13.5">
      <c r="A33" s="3023"/>
      <c r="B33" s="302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收益法 (车库)</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2018-03-06T06:39:42Z</dcterms:modified>
</cp:coreProperties>
</file>