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报告们\咨询报告\2024-1-0032北京市房山区良乡宜春里甲5号楼1-2-121\"/>
    </mc:Choice>
  </mc:AlternateContent>
  <bookViews>
    <workbookView xWindow="0" yWindow="0" windowWidth="21600" windowHeight="97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宜春里" sheetId="8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D90" i="21"/>
  <c r="C90" i="21"/>
  <c r="AK20" i="84"/>
  <c r="I7" i="21" l="1"/>
  <c r="G7" i="21"/>
  <c r="E7" i="21"/>
  <c r="I5" i="21" l="1"/>
  <c r="G5" i="21"/>
  <c r="E5" i="21"/>
  <c r="C6" i="69" l="1"/>
  <c r="AK18" i="84"/>
  <c r="AK17" i="84"/>
  <c r="G17" i="73" l="1"/>
  <c r="F17" i="73"/>
  <c r="E17" i="73"/>
  <c r="G16" i="73"/>
  <c r="F16" i="73"/>
  <c r="E16" i="73"/>
  <c r="G15" i="73"/>
  <c r="F15" i="73"/>
  <c r="E15" i="73"/>
  <c r="G13" i="73"/>
  <c r="F13" i="73"/>
  <c r="E13" i="73"/>
  <c r="L1"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P35" i="79"/>
  <c r="N35" i="79"/>
  <c r="U35" i="79" s="1"/>
  <c r="M35" i="79"/>
  <c r="T35" i="79" s="1"/>
  <c r="W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P30" i="79"/>
  <c r="N30" i="79"/>
  <c r="U30" i="79" s="1"/>
  <c r="M30" i="79"/>
  <c r="T30" i="79" s="1"/>
  <c r="W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3" i="36" s="1"/>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B126" i="21"/>
  <c r="F125" i="21"/>
  <c r="G125" i="21" s="1"/>
  <c r="E125" i="21"/>
  <c r="D125" i="21"/>
  <c r="D123" i="21"/>
  <c r="E123" i="21" s="1"/>
  <c r="K119" i="21"/>
  <c r="L119" i="21" s="1"/>
  <c r="M119" i="21" s="1"/>
  <c r="F119" i="21"/>
  <c r="G119" i="21" s="1"/>
  <c r="H119" i="21" s="1"/>
  <c r="I119" i="21" s="1"/>
  <c r="J119" i="21" s="1"/>
  <c r="E119" i="21"/>
  <c r="D119" i="21"/>
  <c r="D117" i="21"/>
  <c r="E117" i="21" s="1"/>
  <c r="F117" i="21" s="1"/>
  <c r="G117" i="21" s="1"/>
  <c r="D115" i="21"/>
  <c r="E113" i="2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D89" i="21"/>
  <c r="E89" i="21" s="1"/>
  <c r="F89" i="21" s="1"/>
  <c r="G89" i="21" s="1"/>
  <c r="H89" i="21" s="1"/>
  <c r="I89" i="21" s="1"/>
  <c r="J89" i="21" s="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AC45" i="21"/>
  <c r="AB45" i="21"/>
  <c r="U45" i="21"/>
  <c r="Q45" i="21"/>
  <c r="Z45" i="21" s="1"/>
  <c r="J45" i="21"/>
  <c r="W45" i="21" s="1"/>
  <c r="H45" i="21"/>
  <c r="F45" i="21"/>
  <c r="AA45" i="21" s="1"/>
  <c r="Q44" i="21"/>
  <c r="Z44" i="21" s="1"/>
  <c r="J44" i="21"/>
  <c r="AC44" i="21" s="1"/>
  <c r="H44" i="21"/>
  <c r="U44" i="21" s="1"/>
  <c r="F44" i="21"/>
  <c r="AA44" i="21" s="1"/>
  <c r="AA43" i="21"/>
  <c r="Q43" i="21"/>
  <c r="Z43" i="21" s="1"/>
  <c r="J43" i="21"/>
  <c r="AC43" i="21" s="1"/>
  <c r="H43" i="21"/>
  <c r="AB43" i="21" s="1"/>
  <c r="F43" i="21"/>
  <c r="S43" i="21" s="1"/>
  <c r="Z42" i="21"/>
  <c r="Q42" i="21"/>
  <c r="U41" i="21"/>
  <c r="Q41" i="21"/>
  <c r="Z41" i="21" s="1"/>
  <c r="J41" i="21"/>
  <c r="W41" i="21" s="1"/>
  <c r="H41" i="21"/>
  <c r="AB41" i="21" s="1"/>
  <c r="F41" i="21"/>
  <c r="AA41" i="21" s="1"/>
  <c r="AB40" i="21"/>
  <c r="Q40" i="21"/>
  <c r="Z40" i="21" s="1"/>
  <c r="J40" i="21"/>
  <c r="AC40" i="21" s="1"/>
  <c r="H40" i="21"/>
  <c r="U40" i="21" s="1"/>
  <c r="F40" i="21"/>
  <c r="AA40" i="21" s="1"/>
  <c r="Q39" i="21"/>
  <c r="Z39" i="21" s="1"/>
  <c r="H39" i="21"/>
  <c r="AB39" i="21" s="1"/>
  <c r="F39" i="21"/>
  <c r="S39" i="21" s="1"/>
  <c r="Z38" i="21"/>
  <c r="Q38" i="21"/>
  <c r="J38" i="21"/>
  <c r="W38" i="21" s="1"/>
  <c r="Q37" i="21"/>
  <c r="Z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W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N29" i="1"/>
  <c r="N30" i="1" s="1"/>
  <c r="P27" i="1"/>
  <c r="P29" i="1" s="1"/>
  <c r="P30" i="1" s="1"/>
  <c r="N27" i="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M47" i="9"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AO7" i="1"/>
  <c r="D2" i="37"/>
  <c r="D2" i="33"/>
  <c r="B10" i="76"/>
  <c r="AO9" i="1"/>
  <c r="AO11" i="1"/>
  <c r="F13" i="15"/>
  <c r="E7" i="76"/>
  <c r="AO10" i="1"/>
  <c r="AO6" i="1"/>
  <c r="F7" i="15"/>
  <c r="AO12" i="1"/>
  <c r="B9" i="76"/>
  <c r="B7" i="76"/>
  <c r="F41" i="15"/>
  <c r="AO13" i="1"/>
  <c r="AO8" i="1"/>
  <c r="E8" i="76"/>
  <c r="D2" i="35"/>
  <c r="B11" i="76"/>
  <c r="E2" i="68"/>
  <c r="E2" i="69"/>
  <c r="D35" i="9"/>
  <c r="B8" i="76"/>
  <c r="F20" i="31"/>
  <c r="E12" i="76"/>
  <c r="B13" i="76"/>
  <c r="D2" i="21"/>
  <c r="B12" i="76"/>
  <c r="D2" i="34"/>
  <c r="E11" i="76"/>
  <c r="L48" i="15"/>
  <c r="D34" i="9"/>
  <c r="E9" i="76"/>
  <c r="E10" i="76"/>
  <c r="E13" i="76"/>
  <c r="D2" i="36"/>
  <c r="M29" i="15"/>
  <c r="AC41" i="21" l="1"/>
  <c r="F113" i="21"/>
  <c r="G113" i="21" s="1"/>
  <c r="J39" i="21"/>
  <c r="AC39" i="21" s="1"/>
  <c r="AA39" i="21"/>
  <c r="BA13" i="3"/>
  <c r="AQ12" i="1"/>
  <c r="C7" i="34"/>
  <c r="C59" i="34" s="1"/>
  <c r="C7" i="21"/>
  <c r="C58" i="21" s="1"/>
  <c r="D58" i="21" s="1"/>
  <c r="E58" i="21" s="1"/>
  <c r="F58" i="21" s="1"/>
  <c r="G58" i="21" s="1"/>
  <c r="H58" i="21" s="1"/>
  <c r="I58" i="21" s="1"/>
  <c r="J58" i="21" s="1"/>
  <c r="K58" i="21" s="1"/>
  <c r="L58" i="21" s="1"/>
  <c r="M58" i="21" s="1"/>
  <c r="N58" i="21" s="1"/>
  <c r="O58" i="21" s="1"/>
  <c r="C7" i="33"/>
  <c r="C58" i="33" s="1"/>
  <c r="D58" i="33" s="1"/>
  <c r="B3" i="35"/>
  <c r="C42" i="1"/>
  <c r="C24" i="12" s="1"/>
  <c r="C6" i="78"/>
  <c r="D6" i="78" s="1"/>
  <c r="G7" i="1"/>
  <c r="G12" i="1"/>
  <c r="E106" i="21"/>
  <c r="F106" i="21" s="1"/>
  <c r="G106" i="21" s="1"/>
  <c r="H106" i="21" s="1"/>
  <c r="I106" i="21" s="1"/>
  <c r="J106" i="21" s="1"/>
  <c r="K106" i="21" s="1"/>
  <c r="L106" i="21" s="1"/>
  <c r="M106" i="21" s="1"/>
  <c r="F34" i="21"/>
  <c r="AA34" i="21" s="1"/>
  <c r="AB44"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8" i="6"/>
  <c r="E13" i="6"/>
  <c r="E15"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H7" i="34"/>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W8" i="33"/>
  <c r="J12" i="33"/>
  <c r="H12" i="33"/>
  <c r="J46" i="33"/>
  <c r="H46" i="33"/>
  <c r="J7" i="34"/>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G16" i="1" s="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45"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F6" i="15"/>
  <c r="M21" i="15"/>
  <c r="C76" i="15"/>
  <c r="F9" i="15"/>
  <c r="F36" i="15"/>
  <c r="M8" i="15"/>
  <c r="M23" i="15"/>
  <c r="M27" i="15"/>
  <c r="F4" i="73"/>
  <c r="J15" i="15"/>
  <c r="F35" i="15"/>
  <c r="M22" i="15"/>
  <c r="F16" i="15"/>
  <c r="L47" i="15"/>
  <c r="M6" i="15"/>
  <c r="M28" i="15"/>
  <c r="M24" i="15"/>
  <c r="F6" i="73"/>
  <c r="D4" i="73"/>
  <c r="C14" i="15"/>
  <c r="F40" i="15"/>
  <c r="D6" i="73"/>
  <c r="D5" i="73"/>
  <c r="F37" i="15"/>
  <c r="F38" i="15"/>
  <c r="F42" i="15"/>
  <c r="M9" i="15"/>
  <c r="F8" i="15"/>
  <c r="F43" i="15"/>
  <c r="D7" i="73"/>
  <c r="F7" i="73"/>
  <c r="D3" i="73"/>
  <c r="F26" i="15"/>
  <c r="F5" i="73"/>
  <c r="F3" i="73"/>
  <c r="M26" i="15"/>
  <c r="H113" i="21" l="1"/>
  <c r="J37" i="21"/>
  <c r="F37" i="21"/>
  <c r="E12" i="6"/>
  <c r="D26" i="43"/>
  <c r="C25" i="43" s="1"/>
  <c r="E5" i="6"/>
  <c r="E14" i="6"/>
  <c r="E16" i="6" s="1"/>
  <c r="E11" i="6"/>
  <c r="F7" i="34"/>
  <c r="AA7" i="34" s="1"/>
  <c r="R49" i="34"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H10" i="40"/>
  <c r="J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C36" i="11"/>
  <c r="F48" i="69"/>
  <c r="C48" i="69"/>
  <c r="C30" i="69"/>
  <c r="E402" i="3"/>
  <c r="E60" i="40"/>
  <c r="E64" i="39"/>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B46" i="21"/>
  <c r="U46" i="21"/>
  <c r="AB7" i="21"/>
  <c r="U7" i="21"/>
  <c r="AB32" i="21"/>
  <c r="U32" i="21"/>
  <c r="F48" i="68"/>
  <c r="C48" i="68"/>
  <c r="C30" i="68"/>
  <c r="C30" i="11"/>
  <c r="C48" i="11"/>
  <c r="C44" i="69"/>
  <c r="D41" i="69" s="1"/>
  <c r="AB42" i="21"/>
  <c r="U42" i="21"/>
  <c r="AZ531" i="3"/>
  <c r="E162"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Q16" i="1"/>
  <c r="AB28" i="37"/>
  <c r="U28" i="37"/>
  <c r="AB46" i="33"/>
  <c r="U46" i="3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D46" i="36"/>
  <c r="E46" i="36" s="1"/>
  <c r="F46" i="36" s="1"/>
  <c r="G46" i="36" s="1"/>
  <c r="H46" i="36" s="1"/>
  <c r="I46" i="36" s="1"/>
  <c r="J46" i="36" s="1"/>
  <c r="K46" i="36" s="1"/>
  <c r="L46" i="36" s="1"/>
  <c r="M46" i="36" s="1"/>
  <c r="N46" i="36" s="1"/>
  <c r="O46" i="36" s="1"/>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42" i="21"/>
  <c r="AC42" i="21"/>
  <c r="E10" i="1"/>
  <c r="M17" i="15"/>
  <c r="D123" i="9"/>
  <c r="D9" i="52" s="1"/>
  <c r="D8" i="52"/>
  <c r="E158" i="3"/>
  <c r="E98" i="3"/>
  <c r="E394" i="3"/>
  <c r="BL5" i="3"/>
  <c r="E28" i="6"/>
  <c r="F30" i="6"/>
  <c r="AZ5" i="3"/>
  <c r="G5" i="3"/>
  <c r="B3" i="3" s="1"/>
  <c r="E534" i="3" s="1"/>
  <c r="D23" i="71"/>
  <c r="C22" i="71"/>
  <c r="T56" i="71"/>
  <c r="D56" i="71"/>
  <c r="AA27" i="40"/>
  <c r="S27" i="40"/>
  <c r="AA15" i="21"/>
  <c r="S15" i="21"/>
  <c r="J20" i="15"/>
  <c r="E578" i="3"/>
  <c r="E182" i="3"/>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51" i="3"/>
  <c r="E543" i="3"/>
  <c r="E535" i="3"/>
  <c r="M89" i="21"/>
  <c r="H26" i="21" s="1"/>
  <c r="F26" i="21"/>
  <c r="E514" i="3"/>
  <c r="AA42" i="21"/>
  <c r="S42" i="21"/>
  <c r="AZ535" i="3"/>
  <c r="AZ527" i="3"/>
  <c r="E475" i="3"/>
  <c r="E459" i="3"/>
  <c r="E450" i="3"/>
  <c r="E362" i="3"/>
  <c r="E354" i="3"/>
  <c r="E346" i="3"/>
  <c r="E338" i="3"/>
  <c r="E330" i="3"/>
  <c r="E322" i="3"/>
  <c r="E314" i="3"/>
  <c r="E306" i="3"/>
  <c r="E298" i="3"/>
  <c r="E290" i="3"/>
  <c r="E282" i="3"/>
  <c r="E274" i="3"/>
  <c r="E266" i="3"/>
  <c r="E258" i="3"/>
  <c r="E250" i="3"/>
  <c r="E242" i="3"/>
  <c r="E234" i="3"/>
  <c r="E226" i="3"/>
  <c r="E218" i="3"/>
  <c r="E210" i="3"/>
  <c r="E202" i="3"/>
  <c r="E186" i="3"/>
  <c r="E170" i="3"/>
  <c r="E154" i="3"/>
  <c r="E138" i="3"/>
  <c r="E122" i="3"/>
  <c r="E410" i="3"/>
  <c r="E59" i="40"/>
  <c r="E58" i="40"/>
  <c r="E62" i="39"/>
  <c r="L56" i="15"/>
  <c r="F6" i="67"/>
  <c r="F42" i="67"/>
  <c r="C76" i="67"/>
  <c r="M23" i="67"/>
  <c r="M24" i="67"/>
  <c r="F40" i="67"/>
  <c r="F9" i="67"/>
  <c r="J15" i="67"/>
  <c r="M29" i="67"/>
  <c r="F43" i="67"/>
  <c r="G1" i="73"/>
  <c r="F7" i="67"/>
  <c r="F41" i="67"/>
  <c r="F26" i="67"/>
  <c r="M28" i="67"/>
  <c r="F13" i="67"/>
  <c r="F36" i="67"/>
  <c r="L47" i="67"/>
  <c r="F16" i="67"/>
  <c r="F35" i="67"/>
  <c r="M27" i="67"/>
  <c r="M22" i="67"/>
  <c r="M26" i="67"/>
  <c r="C17" i="15"/>
  <c r="M6" i="67"/>
  <c r="L48" i="67"/>
  <c r="F38" i="67"/>
  <c r="F8" i="67"/>
  <c r="C16" i="15"/>
  <c r="M8" i="67"/>
  <c r="F37" i="67"/>
  <c r="M21" i="67"/>
  <c r="M9" i="67"/>
  <c r="J26" i="21" l="1"/>
  <c r="AC26" i="21" s="1"/>
  <c r="AB26" i="21"/>
  <c r="U26" i="21"/>
  <c r="S37" i="21"/>
  <c r="AA37" i="21"/>
  <c r="W37" i="21"/>
  <c r="AC37" i="21"/>
  <c r="V48" i="21" s="1"/>
  <c r="I48" i="21" s="1"/>
  <c r="W26" i="21"/>
  <c r="E467" i="3"/>
  <c r="E63" i="39"/>
  <c r="E386" i="3"/>
  <c r="E426" i="3"/>
  <c r="E583" i="3"/>
  <c r="E471" i="3"/>
  <c r="E90" i="3"/>
  <c r="E370" i="3"/>
  <c r="F7" i="36"/>
  <c r="F7" i="37"/>
  <c r="H7" i="36"/>
  <c r="H7" i="37"/>
  <c r="U7" i="37" s="1"/>
  <c r="F59" i="15"/>
  <c r="C59" i="15" s="1"/>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7" i="67"/>
  <c r="C16" i="67"/>
  <c r="C14" i="67"/>
  <c r="AB7" i="37" l="1"/>
  <c r="T42" i="37" s="1"/>
  <c r="G42" i="37" s="1"/>
  <c r="R48" i="21"/>
  <c r="E48" i="21" s="1"/>
  <c r="I53" i="21" s="1"/>
  <c r="J53" i="21" s="1"/>
  <c r="C18" i="67"/>
  <c r="C15" i="67"/>
  <c r="G52" i="21"/>
  <c r="H52" i="21" s="1"/>
  <c r="G53" i="21"/>
  <c r="H53" i="21" s="1"/>
  <c r="J24" i="15"/>
  <c r="J26" i="15"/>
  <c r="J29" i="15" s="1"/>
  <c r="J19" i="67"/>
  <c r="J18" i="67"/>
  <c r="J5" i="67"/>
  <c r="G40" i="36"/>
  <c r="H40"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G41" i="36" s="1"/>
  <c r="H41" i="36" s="1"/>
  <c r="C34" i="43"/>
  <c r="E34" i="43" s="1"/>
  <c r="E33" i="43"/>
  <c r="Q74" i="67"/>
  <c r="Q61" i="67"/>
  <c r="C49" i="67"/>
  <c r="E42" i="37"/>
  <c r="R43" i="37"/>
  <c r="W7" i="35"/>
  <c r="AC7" i="35"/>
  <c r="V38" i="35" s="1"/>
  <c r="I38" i="35" s="1"/>
  <c r="C7" i="69"/>
  <c r="C5" i="69" s="1"/>
  <c r="M14" i="1"/>
  <c r="K16" i="1"/>
  <c r="C34" i="69"/>
  <c r="W7" i="37"/>
  <c r="AC7" i="37"/>
  <c r="V42" i="37" s="1"/>
  <c r="I42"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I52" i="21"/>
  <c r="J52" i="21" s="1"/>
  <c r="G47" i="37"/>
  <c r="H47" i="37"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R49" i="21" l="1"/>
  <c r="C48" i="21" s="1"/>
  <c r="C23" i="15"/>
  <c r="C29" i="15" s="1"/>
  <c r="J14" i="15" s="1"/>
  <c r="C19" i="67"/>
  <c r="C20" i="67" s="1"/>
  <c r="C26" i="67" s="1"/>
  <c r="C38" i="67"/>
  <c r="C23" i="69"/>
  <c r="E41" i="36"/>
  <c r="F41" i="36" s="1"/>
  <c r="E40" i="36"/>
  <c r="F40" i="36" s="1"/>
  <c r="C38" i="15"/>
  <c r="I42" i="35"/>
  <c r="J42" i="35" s="1"/>
  <c r="C48" i="67"/>
  <c r="C59" i="67"/>
  <c r="C30" i="43"/>
  <c r="C49" i="21"/>
  <c r="E61" i="40"/>
  <c r="M19" i="9"/>
  <c r="C118" i="9" s="1"/>
  <c r="D19" i="6"/>
  <c r="D15" i="6"/>
  <c r="D13" i="6"/>
  <c r="D11" i="6"/>
  <c r="D6" i="6"/>
  <c r="D29" i="6"/>
  <c r="D26" i="6"/>
  <c r="H24" i="6"/>
  <c r="D22" i="6"/>
  <c r="H20" i="6"/>
  <c r="D14" i="6"/>
  <c r="D8" i="6"/>
  <c r="D25" i="6"/>
  <c r="H23" i="6"/>
  <c r="D21" i="6"/>
  <c r="D5" i="6"/>
  <c r="L19" i="9"/>
  <c r="H26" i="6"/>
  <c r="D23" i="6"/>
  <c r="R23" i="6" s="1"/>
  <c r="H22" i="6"/>
  <c r="D12" i="6"/>
  <c r="D28" i="6"/>
  <c r="D10" i="6"/>
  <c r="H25" i="6"/>
  <c r="D24" i="6"/>
  <c r="H21" i="6"/>
  <c r="D20" i="6"/>
  <c r="D9" i="6"/>
  <c r="C18" i="4"/>
  <c r="D10" i="11"/>
  <c r="C10" i="11" s="1"/>
  <c r="D20" i="12"/>
  <c r="C20" i="12" s="1"/>
  <c r="C18" i="12" s="1"/>
  <c r="D10" i="68"/>
  <c r="D10" i="69"/>
  <c r="C24" i="11"/>
  <c r="C28" i="11"/>
  <c r="C27" i="11" s="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H27" i="6" s="1"/>
  <c r="M27" i="6"/>
  <c r="E6" i="3"/>
  <c r="J26" i="67"/>
  <c r="J29" i="67" s="1"/>
  <c r="J24" i="67"/>
  <c r="E6" i="76"/>
  <c r="B3" i="21" l="1"/>
  <c r="B2" i="21"/>
  <c r="C22" i="11"/>
  <c r="C31" i="11" s="1"/>
  <c r="C13" i="15"/>
  <c r="C56" i="15" s="1"/>
  <c r="C65" i="15" s="1"/>
  <c r="J59" i="15"/>
  <c r="J60" i="15" s="1"/>
  <c r="Q48" i="15" s="1"/>
  <c r="C36" i="15"/>
  <c r="C57" i="15"/>
  <c r="C64" i="15" s="1"/>
  <c r="Q49" i="15"/>
  <c r="C21" i="12"/>
  <c r="C22" i="12" s="1"/>
  <c r="C30" i="12" s="1"/>
  <c r="C28" i="12" s="1"/>
  <c r="E2" i="76"/>
  <c r="C10" i="68"/>
  <c r="D19" i="68"/>
  <c r="R25" i="6"/>
  <c r="C66" i="67"/>
  <c r="C18" i="71"/>
  <c r="D19" i="71"/>
  <c r="C39" i="35"/>
  <c r="M3" i="35" s="1"/>
  <c r="C38" i="35"/>
  <c r="R20" i="6"/>
  <c r="R22" i="6"/>
  <c r="R19" i="6"/>
  <c r="D27" i="6"/>
  <c r="H67" i="39"/>
  <c r="G69" i="39"/>
  <c r="E43" i="35"/>
  <c r="F43" i="35" s="1"/>
  <c r="E42" i="35"/>
  <c r="F42" i="35" s="1"/>
  <c r="D30" i="6"/>
  <c r="R21" i="6"/>
  <c r="D16" i="6"/>
  <c r="B2" i="43"/>
  <c r="I43" i="35"/>
  <c r="J43" i="35" s="1"/>
  <c r="C23" i="67"/>
  <c r="C29" i="67" s="1"/>
  <c r="J22" i="15"/>
  <c r="J13" i="15"/>
  <c r="J23" i="15" s="1"/>
  <c r="I27" i="6"/>
  <c r="S19" i="6"/>
  <c r="S27" i="6" s="1"/>
  <c r="G65" i="40"/>
  <c r="H63" i="40"/>
  <c r="I58" i="33"/>
  <c r="L16" i="1"/>
  <c r="C34" i="68"/>
  <c r="C34" i="11"/>
  <c r="N16" i="1"/>
  <c r="C10" i="69"/>
  <c r="D19" i="69"/>
  <c r="C4" i="52"/>
  <c r="B45" i="72" s="1"/>
  <c r="A10" i="51"/>
  <c r="B9" i="72" s="1"/>
  <c r="A7" i="51"/>
  <c r="B7" i="72" s="1"/>
  <c r="R24" i="6"/>
  <c r="R26" i="6"/>
  <c r="B6" i="76"/>
  <c r="C19" i="9"/>
  <c r="C20" i="9"/>
  <c r="Q70" i="15" l="1"/>
  <c r="C75" i="15"/>
  <c r="C37" i="15"/>
  <c r="C30" i="15" s="1"/>
  <c r="C39" i="15" s="1"/>
  <c r="Q69" i="15" s="1"/>
  <c r="Q68" i="15" s="1"/>
  <c r="C102" i="9"/>
  <c r="C21" i="9"/>
  <c r="C103" i="9"/>
  <c r="L46" i="15"/>
  <c r="C58" i="15"/>
  <c r="C67" i="15" s="1"/>
  <c r="C68" i="15" s="1"/>
  <c r="C71"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H69" i="39"/>
  <c r="I67" i="39"/>
  <c r="R6" i="1"/>
  <c r="R16" i="1" s="1"/>
  <c r="R27" i="6"/>
  <c r="C19" i="69"/>
  <c r="D37" i="69"/>
  <c r="C37" i="69" s="1"/>
  <c r="C33" i="69" s="1"/>
  <c r="C35" i="68"/>
  <c r="C38" i="68"/>
  <c r="F50" i="69"/>
  <c r="F50" i="68"/>
  <c r="F50" i="11"/>
  <c r="J7" i="33"/>
  <c r="B3" i="43"/>
  <c r="L51" i="15"/>
  <c r="C80" i="15" l="1"/>
  <c r="C79" i="15" s="1"/>
  <c r="C40" i="15"/>
  <c r="Q56" i="15" s="1"/>
  <c r="C46" i="15"/>
  <c r="C33" i="68"/>
  <c r="C39" i="68" s="1"/>
  <c r="C43" i="68" s="1"/>
  <c r="Q67" i="15"/>
  <c r="L57" i="15"/>
  <c r="L60" i="15" s="1"/>
  <c r="C39" i="11"/>
  <c r="C43" i="11" s="1"/>
  <c r="C42" i="11"/>
  <c r="C41" i="11" s="1"/>
  <c r="W7" i="33"/>
  <c r="AC7" i="33"/>
  <c r="V48" i="33" s="1"/>
  <c r="I48" i="33" s="1"/>
  <c r="C24" i="69"/>
  <c r="C20" i="69"/>
  <c r="C25" i="69" s="1"/>
  <c r="U7" i="33"/>
  <c r="AB7" i="33"/>
  <c r="T48" i="33" s="1"/>
  <c r="G48" i="33" s="1"/>
  <c r="I6" i="6"/>
  <c r="I5" i="6"/>
  <c r="C24" i="68"/>
  <c r="C20" i="68"/>
  <c r="C25" i="68" s="1"/>
  <c r="Q48" i="67"/>
  <c r="L46" i="67"/>
  <c r="AA7" i="33"/>
  <c r="R48" i="33" s="1"/>
  <c r="S7" i="33"/>
  <c r="J22" i="67"/>
  <c r="J13" i="67"/>
  <c r="J23" i="67" s="1"/>
  <c r="C43" i="15"/>
  <c r="Q65" i="15"/>
  <c r="Q47" i="15"/>
  <c r="Q53" i="15" s="1"/>
  <c r="B2" i="15"/>
  <c r="B3" i="15" s="1"/>
  <c r="C83" i="15"/>
  <c r="C82" i="15" s="1"/>
  <c r="J67" i="39"/>
  <c r="I69" i="39"/>
  <c r="J63" i="40"/>
  <c r="I65" i="40"/>
  <c r="C39" i="69"/>
  <c r="C43" i="69" s="1"/>
  <c r="C42" i="69"/>
  <c r="C16" i="71"/>
  <c r="D17" i="71"/>
  <c r="C56" i="67"/>
  <c r="C65" i="67" s="1"/>
  <c r="C58" i="67" s="1"/>
  <c r="C67" i="67" s="1"/>
  <c r="C68" i="67" s="1"/>
  <c r="C37" i="67"/>
  <c r="C30" i="67" s="1"/>
  <c r="C39" i="67" s="1"/>
  <c r="Q70" i="67"/>
  <c r="C75" i="67"/>
  <c r="C42" i="68" l="1"/>
  <c r="C46" i="11"/>
  <c r="C45" i="11" s="1"/>
  <c r="C49" i="11"/>
  <c r="C51" i="11" s="1"/>
  <c r="C52" i="11" s="1"/>
  <c r="B2" i="11" s="1"/>
  <c r="B3" i="11" s="1"/>
  <c r="C41" i="68"/>
  <c r="C28" i="69"/>
  <c r="C27" i="69" s="1"/>
  <c r="C71" i="67"/>
  <c r="Q69" i="67"/>
  <c r="Q68" i="67" s="1"/>
  <c r="C40" i="67"/>
  <c r="T16" i="71"/>
  <c r="C15" i="71"/>
  <c r="D16" i="71"/>
  <c r="U16" i="71" s="1"/>
  <c r="K67" i="39"/>
  <c r="J69" i="39"/>
  <c r="C22" i="68"/>
  <c r="G52" i="33"/>
  <c r="H52" i="33" s="1"/>
  <c r="G53" i="33"/>
  <c r="H53" i="33" s="1"/>
  <c r="K63" i="40"/>
  <c r="J65" i="40"/>
  <c r="R49" i="33"/>
  <c r="E48" i="33"/>
  <c r="C28" i="68"/>
  <c r="C27" i="68" s="1"/>
  <c r="C80" i="67"/>
  <c r="C79" i="67" s="1"/>
  <c r="C41" i="69"/>
  <c r="J16" i="67"/>
  <c r="J25" i="67" s="1"/>
  <c r="C46" i="69"/>
  <c r="C45" i="69" s="1"/>
  <c r="C22" i="69"/>
  <c r="C46" i="68"/>
  <c r="C45" i="68" s="1"/>
  <c r="Q66" i="15"/>
  <c r="Q75" i="15" s="1"/>
  <c r="Q57" i="15"/>
  <c r="Q62" i="15" s="1"/>
  <c r="I52" i="33"/>
  <c r="J52" i="33" s="1"/>
  <c r="L51" i="67"/>
  <c r="C49" i="68" l="1"/>
  <c r="C51" i="68" s="1"/>
  <c r="C31" i="69"/>
  <c r="C31" i="68"/>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8" l="1"/>
  <c r="B2" i="68" s="1"/>
  <c r="B3" i="68" s="1"/>
  <c r="C52" i="69"/>
  <c r="B2" i="69" s="1"/>
  <c r="B3" i="69" s="1"/>
  <c r="C57" i="68"/>
  <c r="C56" i="68" s="1"/>
  <c r="C57" i="69"/>
  <c r="C56" i="69" s="1"/>
  <c r="L65" i="40"/>
  <c r="M63" i="40"/>
  <c r="B3" i="67"/>
  <c r="B2" i="67"/>
  <c r="Q57" i="67"/>
  <c r="Q62" i="67" s="1"/>
  <c r="Q66" i="67"/>
  <c r="Q75" i="67" s="1"/>
  <c r="L69" i="39"/>
  <c r="M67" i="39"/>
  <c r="D14" i="71"/>
  <c r="C13" i="71"/>
  <c r="D20" i="9"/>
  <c r="D19" i="9"/>
  <c r="D21" i="9" l="1"/>
  <c r="D22" i="9"/>
  <c r="G19" i="9"/>
  <c r="G21" i="9" s="1"/>
  <c r="D102" i="9"/>
  <c r="D103" i="9"/>
  <c r="G20" i="9"/>
  <c r="C12" i="71"/>
  <c r="D13" i="71"/>
  <c r="N67" i="39"/>
  <c r="M69" i="39"/>
  <c r="M65" i="40"/>
  <c r="N63" i="40"/>
  <c r="O63" i="40" l="1"/>
  <c r="O65" i="40" s="1"/>
  <c r="N65" i="40"/>
  <c r="T12" i="71"/>
  <c r="C11" i="71"/>
  <c r="D12" i="71"/>
  <c r="U12" i="71" s="1"/>
  <c r="C32" i="9"/>
  <c r="E14" i="74"/>
  <c r="D14" i="74" s="1"/>
  <c r="N69" i="39"/>
  <c r="O67" i="39"/>
  <c r="O69" i="39" s="1"/>
  <c r="C10" i="71" l="1"/>
  <c r="D11" i="71"/>
  <c r="F14" i="74"/>
  <c r="B5" i="74"/>
  <c r="C35" i="9"/>
  <c r="C34" i="9" s="1"/>
  <c r="F7" i="39"/>
  <c r="H7" i="39"/>
  <c r="J7" i="39"/>
  <c r="H7" i="40"/>
  <c r="J7" i="40"/>
  <c r="F7" i="40"/>
  <c r="S7" i="40" l="1"/>
  <c r="AA7" i="40"/>
  <c r="R42" i="40" s="1"/>
  <c r="AA7" i="39"/>
  <c r="R47" i="39" s="1"/>
  <c r="S7" i="39"/>
  <c r="AB7" i="39"/>
  <c r="T47" i="39" s="1"/>
  <c r="G47" i="39" s="1"/>
  <c r="U7" i="39"/>
  <c r="D5" i="74"/>
  <c r="U7" i="40"/>
  <c r="AB7" i="40"/>
  <c r="T42" i="40" s="1"/>
  <c r="G42" i="40" s="1"/>
  <c r="AC7" i="40"/>
  <c r="V42" i="40" s="1"/>
  <c r="I42" i="40" s="1"/>
  <c r="W7" i="40"/>
  <c r="W7" i="39"/>
  <c r="AC7" i="39"/>
  <c r="V47" i="39" s="1"/>
  <c r="I47" i="39" s="1"/>
  <c r="D10" i="71"/>
  <c r="C9" i="71"/>
  <c r="R48" i="39" l="1"/>
  <c r="E47" i="39"/>
  <c r="I46" i="40"/>
  <c r="J46" i="40" s="1"/>
  <c r="I51" i="39"/>
  <c r="J51" i="39" s="1"/>
  <c r="I52" i="39"/>
  <c r="J52"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D53" i="9" l="1"/>
  <c r="D52" i="9"/>
  <c r="C105" i="9"/>
  <c r="I4" i="52"/>
  <c r="M48" i="9"/>
  <c r="N61" i="9"/>
  <c r="N60" i="9"/>
  <c r="N59" i="9"/>
  <c r="C5" i="74"/>
  <c r="M54" i="9"/>
  <c r="D10" i="52"/>
  <c r="N69" i="9"/>
  <c r="L65" i="9"/>
  <c r="M65" i="9"/>
  <c r="E97" i="9"/>
  <c r="C6" i="74"/>
  <c r="C104" i="9"/>
  <c r="H4" i="52"/>
  <c r="E81" i="9"/>
  <c r="M69" i="9"/>
  <c r="C96" i="9"/>
  <c r="E96" i="9"/>
  <c r="E80" i="9"/>
  <c r="C7" i="74"/>
  <c r="B49" i="72"/>
  <c r="G4" i="52"/>
  <c r="B52" i="72"/>
  <c r="L64" i="9"/>
  <c r="M64" i="9"/>
  <c r="E4" i="52"/>
  <c r="B48" i="72"/>
  <c r="H102" i="9"/>
  <c r="D7" i="53"/>
  <c r="B21" i="72"/>
  <c r="B20" i="72"/>
  <c r="N58" i="9"/>
  <c r="D55" i="9"/>
  <c r="M53" i="9"/>
  <c r="N57" i="9"/>
  <c r="P57" i="9"/>
  <c r="F4" i="52"/>
  <c r="B51" i="72"/>
  <c r="B34" i="72"/>
  <c r="H108" i="9"/>
  <c r="D15" i="53"/>
  <c r="B31" i="72"/>
  <c r="D119" i="9"/>
  <c r="D5" i="52"/>
  <c r="C68" i="9"/>
  <c r="D54" i="9"/>
  <c r="D56" i="9"/>
  <c r="H119" i="9"/>
  <c r="H5" i="52"/>
  <c r="B53" i="72"/>
  <c r="D16" i="53"/>
  <c r="D17" i="53"/>
  <c r="B36" i="72"/>
  <c r="E118" i="9"/>
  <c r="D118" i="9"/>
  <c r="D4" i="52"/>
  <c r="B47" i="72"/>
  <c r="L68" i="9"/>
  <c r="M68" i="9"/>
  <c r="D5" i="53"/>
  <c r="D6" i="53"/>
  <c r="B22" i="72"/>
  <c r="C85" i="9"/>
  <c r="C95" i="9"/>
  <c r="C97" i="9"/>
  <c r="D58" i="9"/>
  <c r="H110" i="9"/>
  <c r="D18" i="53"/>
  <c r="B35" i="72"/>
  <c r="L63" i="9"/>
  <c r="M63" i="9"/>
  <c r="G118" i="9"/>
  <c r="F118" i="9"/>
  <c r="F119" i="9"/>
  <c r="F5" i="52"/>
  <c r="C64" i="9"/>
  <c r="C63" i="9"/>
  <c r="C67" i="9"/>
  <c r="D59" i="9"/>
  <c r="M55" i="9"/>
  <c r="C78" i="9"/>
  <c r="C73" i="9"/>
  <c r="C80" i="9"/>
  <c r="C72" i="9"/>
  <c r="C79" i="9"/>
  <c r="C81" i="9"/>
  <c r="D124" i="9"/>
  <c r="D125" i="9"/>
  <c r="D11" i="52"/>
  <c r="L66" i="9"/>
  <c r="M66" i="9"/>
  <c r="D45" i="9"/>
  <c r="C93" i="9"/>
  <c r="C86" i="9"/>
  <c r="I118" i="9"/>
  <c r="H118" i="9"/>
  <c r="H101" i="9"/>
  <c r="H109" i="9"/>
  <c r="M49" i="9"/>
  <c r="L67" i="9"/>
  <c r="M67"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<sst xmlns="http://schemas.openxmlformats.org/spreadsheetml/2006/main" count="9885" uniqueCount="3430">
  <si>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</si>
  <si>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</si>
  <si>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</si>
  <si>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</si>
  <si>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</si>
  <si>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</si>
  <si>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</si>
  <si>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</si>
  <si>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</si>
  <si>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</si>
  <si>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</si>
  <si>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</si>
  <si>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</si>
  <si>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</si>
  <si>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</si>
  <si>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</si>
  <si>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</si>
  <si>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</si>
  <si>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</si>
  <si>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</si>
  <si>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</si>
  <si>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</si>
  <si>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</si>
  <si>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</si>
  <si>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</si>
  <si>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</si>
  <si>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</si>
  <si>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</si>
  <si>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</si>
  <si>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</si>
  <si>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</si>
  <si>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</si>
  <si>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</si>
  <si>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</si>
  <si>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</si>
  <si>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</si>
  <si>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</si>
  <si>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</si>
  <si>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</si>
  <si>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</si>
  <si>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</si>
  <si>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</si>
  <si>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</si>
  <si>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</si>
  <si>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</si>
  <si>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</si>
  <si>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</si>
  <si>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</si>
  <si>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</si>
  <si>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</si>
  <si>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</si>
  <si>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</si>
  <si>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</si>
  <si>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</si>
  <si>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</si>
  <si>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</si>
  <si>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</si>
  <si>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</si>
  <si>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</si>
  <si>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</si>
  <si>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</si>
  <si>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</si>
  <si>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</si>
  <si>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</si>
  <si>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</si>
  <si>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</si>
  <si>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</si>
  <si>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</si>
  <si>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</si>
  <si>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</si>
  <si>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</si>
  <si>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</si>
  <si>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</si>
  <si>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</si>
  <si>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</si>
  <si>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</si>
  <si>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</si>
  <si>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</si>
  <si>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</si>
  <si>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</si>
  <si>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</si>
  <si>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</si>
  <si>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</si>
  <si>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</si>
  <si>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</si>
  <si>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</si>
  <si>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</si>
  <si>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</si>
  <si>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</si>
  <si>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</si>
  <si>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</si>
  <si>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</si>
  <si>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</si>
  <si>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</si>
  <si>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</si>
  <si>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</si>
  <si>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</si>
  <si>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</si>
  <si>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</si>
  <si>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</si>
  <si>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</si>
  <si>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</si>
  <si>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</si>
  <si>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</si>
  <si>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</si>
  <si>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</si>
  <si>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</si>
  <si>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</si>
  <si>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</si>
  <si>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</si>
  <si>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</si>
  <si>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</si>
  <si>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</si>
  <si>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</si>
  <si>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</si>
  <si>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</si>
  <si>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</si>
  <si>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</si>
  <si>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</si>
  <si>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</si>
  <si>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</si>
  <si>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</si>
  <si>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</si>
  <si>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</si>
  <si>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</si>
  <si>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</si>
  <si>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</si>
  <si>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</si>
  <si>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</si>
  <si>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</si>
  <si>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</si>
  <si>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</si>
  <si>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</si>
  <si>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</si>
  <si>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</si>
  <si>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</si>
  <si>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</si>
  <si>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</si>
  <si>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</si>
  <si>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</si>
  <si>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</si>
  <si>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</si>
  <si>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</si>
  <si>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</si>
  <si>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</si>
  <si>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</si>
  <si>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</si>
  <si>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</si>
  <si>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</si>
  <si>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</si>
  <si>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</si>
  <si>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</si>
  <si>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</si>
  <si>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</si>
  <si>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</si>
  <si>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</si>
  <si>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</si>
  <si>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</si>
  <si>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</si>
  <si>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</si>
  <si>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</si>
  <si>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</si>
  <si>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</si>
  <si>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</si>
  <si>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</si>
  <si>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</si>
  <si>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</si>
  <si>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</si>
  <si>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</si>
  <si>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</si>
  <si>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</si>
  <si>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</si>
  <si>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</si>
  <si>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</si>
  <si>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</si>
  <si>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</si>
  <si>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</si>
  <si>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</si>
  <si>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</si>
  <si>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</si>
  <si>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</si>
  <si>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</si>
  <si>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</si>
  <si>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</si>
  <si>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</si>
  <si>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</si>
  <si>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</si>
  <si>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</si>
  <si>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</si>
  <si>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</si>
  <si>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</si>
  <si>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</si>
  <si>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</si>
  <si>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</si>
  <si>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</si>
  <si>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</si>
  <si>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</si>
  <si>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</si>
  <si>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</si>
  <si>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</si>
  <si>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</si>
  <si>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</si>
  <si>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</si>
  <si>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</si>
  <si>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</si>
  <si>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</si>
  <si>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</si>
  <si>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</si>
  <si>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</si>
  <si>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</si>
  <si>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</si>
  <si>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</si>
  <si>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</si>
  <si>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</si>
  <si>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</si>
  <si>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</si>
  <si>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</si>
  <si>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</si>
  <si>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</si>
  <si>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</si>
  <si>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</si>
  <si>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</si>
  <si>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</si>
  <si>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</si>
  <si>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</si>
  <si>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</si>
  <si>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</si>
  <si>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</si>
  <si>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</si>
  <si>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</si>
  <si>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</si>
  <si>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</si>
  <si>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</si>
  <si>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</si>
  <si>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</si>
  <si>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</si>
  <si>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</si>
  <si>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</si>
  <si>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</si>
  <si>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</si>
  <si>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</si>
  <si>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</si>
  <si>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</si>
  <si>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</si>
  <si>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</si>
  <si>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</si>
  <si>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</si>
  <si>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</si>
  <si>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</si>
  <si>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</si>
  <si>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</si>
  <si>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</si>
  <si>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</si>
  <si>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</si>
  <si>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</si>
  <si>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</si>
  <si>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</si>
  <si>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</si>
  <si>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</si>
  <si>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</si>
  <si>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</si>
  <si>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</si>
  <si>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</si>
  <si>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</si>
  <si>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</si>
  <si>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</si>
  <si>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</si>
  <si>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</si>
  <si>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</si>
  <si>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</si>
  <si>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</si>
  <si>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</si>
  <si>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</si>
  <si>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</si>
  <si>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</si>
  <si>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</si>
  <si>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</si>
  <si>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</si>
  <si>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</si>
  <si>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</si>
  <si>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</si>
  <si>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</si>
  <si>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</si>
  <si>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</si>
  <si>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</si>
  <si>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</si>
  <si>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</si>
  <si>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</si>
  <si>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</si>
  <si>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</si>
  <si>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</si>
  <si>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</si>
  <si>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</si>
  <si>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</si>
  <si>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</si>
  <si>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</si>
  <si>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</si>
  <si>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</si>
  <si>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</si>
  <si>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</si>
  <si>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</si>
  <si>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</si>
  <si>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</si>
  <si>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</si>
  <si>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</si>
  <si>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</si>
  <si>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</si>
  <si>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</si>
  <si>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</si>
  <si>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</si>
  <si>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</si>
  <si>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</si>
  <si>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</si>
  <si>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</si>
  <si>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</si>
  <si>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</si>
  <si>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</si>
  <si>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</si>
  <si>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</si>
  <si>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</si>
  <si>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</si>
  <si>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</si>
  <si>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</si>
  <si>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</si>
  <si>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</si>
  <si>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</si>
  <si>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</si>
  <si>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</si>
  <si>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</si>
  <si>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</si>
  <si>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</si>
  <si>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</si>
  <si>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</si>
  <si>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</si>
  <si>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</si>
  <si>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</si>
  <si>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</si>
  <si>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</si>
  <si>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</si>
  <si>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</si>
  <si>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</si>
  <si>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</si>
  <si>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</si>
  <si>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</si>
  <si>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</si>
  <si>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</si>
  <si>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</si>
  <si>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</si>
  <si>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</si>
  <si>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</si>
  <si>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</si>
  <si>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</si>
  <si>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</si>
  <si>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</si>
  <si>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</si>
  <si>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</si>
  <si>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</si>
  <si>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</si>
  <si>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</si>
  <si>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</si>
  <si>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</si>
  <si>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</si>
  <si>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</si>
  <si>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</si>
  <si>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</si>
  <si>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</si>
  <si>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</si>
  <si>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</si>
  <si>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</si>
  <si>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</si>
  <si>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</si>
  <si>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</si>
  <si>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</si>
  <si>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</si>
  <si>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</si>
  <si>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</si>
  <si>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</si>
  <si>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</si>
  <si>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</si>
  <si>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</si>
  <si>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</si>
  <si>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</si>
  <si>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</si>
  <si>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</si>
  <si>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</si>
  <si>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</si>
  <si>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</si>
  <si>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</si>
  <si>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</si>
  <si>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</si>
  <si>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</si>
  <si>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</si>
  <si>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</si>
  <si>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</si>
  <si>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</si>
  <si>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</si>
  <si>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</si>
  <si>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</si>
  <si>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</si>
  <si>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</si>
  <si>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</si>
  <si>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</si>
  <si>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</si>
  <si>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</si>
  <si>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</si>
  <si>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</si>
  <si>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</si>
  <si>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</si>
  <si>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</si>
  <si>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</si>
  <si>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</si>
  <si>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</si>
  <si>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</si>
  <si>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</si>
  <si>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</si>
  <si>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</si>
  <si>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</si>
  <si>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</si>
  <si>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</si>
  <si>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</si>
  <si>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</si>
  <si>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</si>
  <si>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</si>
  <si>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</si>
  <si>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</si>
  <si>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</si>
  <si>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</si>
  <si>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</si>
  <si>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</si>
  <si>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</si>
  <si>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</si>
  <si>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</si>
  <si>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</si>
  <si>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</si>
  <si>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</si>
  <si>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</si>
  <si>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</si>
  <si>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</si>
  <si>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</si>
  <si>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</si>
  <si>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</si>
  <si>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</si>
  <si>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</si>
  <si>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</si>
  <si>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</si>
  <si>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</si>
  <si>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</si>
  <si>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</si>
  <si>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</si>
  <si>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</si>
  <si>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</si>
  <si>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</si>
  <si>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</si>
  <si>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</si>
  <si>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</si>
  <si>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</si>
  <si>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</si>
  <si>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</si>
  <si>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</si>
  <si>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</si>
  <si>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</si>
  <si>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</si>
  <si>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</si>
  <si>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</si>
  <si>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</si>
  <si>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</si>
  <si>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</si>
  <si>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</si>
  <si>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</si>
  <si>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</si>
  <si>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</si>
  <si>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</si>
  <si>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</si>
  <si>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</si>
  <si>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</si>
  <si>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</si>
  <si>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</si>
  <si>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</si>
  <si>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</si>
  <si>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</si>
  <si>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</si>
  <si>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</si>
  <si>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</si>
  <si>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</si>
  <si>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</si>
  <si>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</si>
  <si>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</si>
  <si>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</si>
  <si>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</si>
  <si>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</si>
  <si>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</si>
  <si>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</si>
  <si>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</si>
  <si>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</si>
  <si>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</si>
  <si>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</si>
  <si>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</si>
  <si>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</si>
  <si>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</si>
  <si>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</si>
  <si>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</si>
  <si>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</si>
  <si>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</si>
  <si>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</si>
  <si>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</si>
  <si>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</si>
  <si>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</si>
  <si>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</si>
  <si>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</si>
  <si>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</si>
  <si>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</si>
  <si>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</si>
  <si>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</si>
  <si>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</si>
  <si>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</si>
  <si>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</si>
  <si>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</si>
  <si>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</si>
  <si>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</si>
  <si>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</si>
  <si>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</si>
  <si>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</si>
  <si>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</si>
  <si>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</si>
  <si>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</si>
  <si>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</si>
  <si>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</si>
  <si>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</si>
  <si>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</si>
  <si>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</si>
  <si>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</si>
  <si>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</si>
  <si>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</si>
  <si>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</si>
  <si>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</si>
  <si>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</si>
  <si>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</si>
  <si>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</si>
  <si>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</si>
  <si>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</si>
  <si>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</si>
  <si>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</si>
  <si>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</si>
  <si>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</si>
  <si>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</si>
  <si>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</si>
  <si>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</si>
  <si>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</si>
  <si>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</si>
  <si>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</si>
  <si>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</si>
  <si>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</si>
  <si>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</si>
  <si>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</si>
  <si>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</si>
  <si>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</si>
  <si>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</si>
  <si>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</si>
  <si>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</si>
  <si>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</si>
  <si>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</si>
  <si>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</si>
  <si>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</si>
  <si>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</si>
  <si>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</si>
  <si>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</si>
  <si>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</si>
  <si>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</si>
  <si>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</si>
  <si>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</si>
  <si>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</si>
  <si>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</si>
  <si>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</si>
  <si>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</si>
  <si>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</si>
  <si>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</si>
  <si>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</si>
  <si>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</si>
  <si>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</si>
  <si>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</si>
  <si>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</si>
  <si>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</si>
  <si>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</si>
  <si>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</si>
  <si>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</si>
  <si>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</si>
  <si>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</si>
  <si>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</si>
  <si>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</si>
  <si>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</si>
  <si>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</si>
  <si>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</si>
  <si>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</si>
  <si>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</si>
  <si>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</si>
  <si>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</si>
  <si>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</si>
  <si>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</si>
  <si>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</si>
  <si>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</si>
  <si>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</si>
  <si>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</si>
  <si>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</si>
  <si>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</si>
  <si>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</si>
  <si>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</si>
  <si>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</si>
  <si>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</si>
  <si>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</si>
  <si>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</si>
  <si>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</si>
  <si>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</si>
  <si>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</si>
  <si>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</si>
  <si>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</si>
  <si>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</si>
  <si>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</si>
  <si>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</si>
  <si>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</si>
  <si>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</si>
  <si>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</si>
  <si>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</si>
  <si>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</si>
  <si>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</si>
  <si>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</si>
  <si>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</si>
  <si>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</si>
  <si>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</si>
  <si>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</si>
  <si>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</si>
  <si>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</si>
  <si>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</si>
  <si>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</si>
  <si>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</si>
  <si>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</si>
  <si>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</si>
  <si>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</si>
  <si>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</si>
  <si>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</si>
  <si>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</si>
  <si>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</si>
  <si>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</si>
  <si>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</si>
  <si>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</si>
  <si>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</si>
  <si>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</si>
  <si>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</si>
  <si>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</si>
  <si>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</si>
  <si>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</si>
  <si>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</si>
  <si>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</si>
  <si>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</si>
  <si>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</si>
  <si>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</si>
  <si>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</si>
  <si>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</si>
  <si>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</si>
  <si>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</si>
  <si>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</si>
  <si>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</si>
  <si>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</si>
  <si>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</si>
  <si>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</si>
  <si>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</si>
  <si>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</si>
  <si>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</si>
  <si>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</si>
  <si>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</si>
  <si>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</si>
  <si>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</si>
  <si>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</si>
  <si>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</si>
  <si>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</si>
  <si>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</si>
  <si>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</si>
  <si>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</si>
  <si>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</si>
  <si>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</si>
  <si>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</si>
  <si>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</si>
  <si>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</si>
  <si>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</si>
  <si>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</si>
  <si>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</si>
  <si>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</si>
  <si>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</si>
  <si>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</si>
  <si>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</si>
  <si>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</si>
  <si>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</si>
  <si>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</si>
  <si>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</si>
  <si>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</si>
  <si>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</si>
  <si>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</si>
  <si>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</si>
  <si>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</si>
  <si>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</si>
  <si>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</si>
  <si>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</si>
  <si>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</si>
  <si>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</si>
  <si>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</si>
  <si>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</si>
  <si>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</si>
  <si>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</si>
  <si>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</si>
  <si>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</si>
  <si>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</si>
  <si>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</si>
  <si>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</si>
  <si>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</si>
  <si>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</si>
  <si>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</si>
  <si>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</si>
  <si>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</si>
  <si>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</si>
  <si>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</si>
  <si>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</si>
  <si>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</si>
  <si>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</si>
  <si>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</si>
  <si>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</si>
  <si>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</si>
  <si>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</si>
  <si>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</si>
  <si>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</si>
  <si>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</si>
  <si>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</si>
  <si>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</si>
  <si>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</si>
  <si>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</si>
  <si>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</si>
  <si>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</si>
  <si>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</si>
  <si>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</si>
  <si>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</si>
  <si>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</si>
  <si>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</si>
  <si>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</si>
  <si>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</si>
  <si>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</si>
  <si>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</si>
  <si>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</si>
  <si>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</si>
  <si>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</si>
  <si>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</si>
  <si>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</si>
  <si>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</si>
  <si>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</si>
  <si>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</si>
  <si>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</si>
  <si>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</si>
  <si>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</si>
  <si>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</si>
  <si>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</si>
  <si>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</si>
  <si>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</si>
  <si>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</si>
  <si>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</si>
  <si>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</si>
  <si>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</si>
  <si>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</si>
  <si>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</si>
  <si>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</si>
  <si>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</si>
  <si>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</si>
  <si>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</si>
  <si>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</si>
  <si>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</si>
  <si>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</si>
  <si>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</si>
  <si>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</si>
  <si>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</si>
  <si>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</si>
  <si>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</si>
  <si>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</si>
  <si>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</si>
  <si>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</si>
  <si>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</si>
  <si>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</si>
  <si>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</si>
  <si>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</si>
  <si>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</si>
  <si>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</si>
  <si>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</si>
  <si>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</si>
  <si>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</si>
  <si>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</si>
  <si>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</si>
  <si>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</si>
  <si>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</si>
  <si>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</si>
  <si>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</si>
  <si>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</si>
  <si>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</si>
  <si>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</si>
  <si>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</si>
  <si>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</si>
  <si>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</si>
  <si>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</si>
  <si>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</si>
  <si>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</si>
  <si>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</si>
  <si>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</si>
  <si>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</si>
  <si>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</si>
  <si>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</si>
  <si>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</si>
  <si>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</si>
  <si>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</si>
  <si>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</si>
  <si>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</si>
  <si>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</si>
  <si>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</si>
  <si>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</si>
  <si>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</si>
  <si>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</si>
  <si>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</si>
  <si>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</si>
  <si>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</si>
  <si>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</si>
  <si>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</si>
  <si>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</si>
  <si>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</si>
  <si>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</si>
  <si>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</si>
  <si>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</si>
  <si>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</si>
  <si>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</si>
  <si>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</si>
  <si>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</si>
  <si>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</si>
  <si>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</si>
  <si>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</si>
  <si>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</si>
  <si>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</si>
  <si>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</si>
  <si>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</si>
  <si>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</si>
  <si>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</si>
  <si>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</si>
  <si>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</si>
  <si>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</si>
  <si>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</si>
  <si>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</si>
  <si>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</si>
  <si>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</si>
  <si>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</si>
  <si>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</si>
  <si>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</si>
  <si>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</si>
  <si>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</si>
  <si>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</si>
  <si>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</si>
  <si>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</si>
  <si>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</si>
  <si>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</si>
  <si>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</si>
  <si>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</si>
  <si>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</si>
  <si>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</si>
  <si>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</si>
  <si>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</si>
  <si>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</si>
  <si>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</si>
  <si>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</si>
  <si>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</si>
  <si>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</si>
  <si>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</si>
  <si>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</si>
  <si>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</si>
  <si>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</si>
  <si>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</si>
  <si>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</si>
  <si>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</si>
  <si>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</si>
  <si>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</si>
  <si>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</si>
  <si>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</si>
  <si>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</si>
  <si>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</si>
  <si>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</si>
  <si>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</si>
  <si>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</si>
  <si>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</si>
  <si>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</si>
  <si>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</si>
  <si>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</si>
  <si>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</si>
  <si>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</si>
  <si>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</si>
  <si>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</si>
  <si>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</si>
  <si>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</si>
  <si>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</si>
  <si>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</si>
  <si>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</si>
  <si>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</si>
  <si>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</si>
  <si>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</si>
  <si>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</si>
  <si>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</si>
  <si>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</si>
  <si>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</si>
  <si>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</si>
  <si>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</si>
  <si>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</si>
  <si>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</si>
  <si>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</si>
  <si>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</si>
  <si>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</si>
  <si>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</si>
  <si>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</si>
  <si>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</si>
  <si>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</si>
  <si>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</si>
  <si>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</si>
  <si>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</si>
  <si>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</si>
  <si>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</si>
  <si>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</si>
  <si>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</si>
  <si>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</si>
  <si>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</si>
  <si>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</si>
  <si>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</si>
  <si>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</si>
  <si>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</si>
  <si>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</si>
  <si>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</si>
  <si>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</si>
  <si>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</si>
  <si>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</si>
  <si>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</si>
  <si>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</si>
  <si>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</si>
  <si>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</si>
  <si>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</si>
  <si>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</si>
  <si>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</si>
  <si>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</si>
  <si>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</si>
  <si>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</si>
  <si>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</si>
  <si>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</si>
  <si>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</si>
  <si>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</si>
  <si>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</si>
  <si>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</si>
  <si>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</si>
  <si>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</si>
  <si>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</si>
  <si>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</si>
  <si>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</si>
  <si>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</si>
  <si>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</si>
  <si>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</si>
  <si>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</si>
  <si>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</si>
  <si>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</si>
  <si>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</si>
  <si>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</si>
  <si>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</si>
  <si>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</si>
  <si>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</si>
  <si>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</si>
  <si>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</si>
  <si>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</si>
  <si>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</si>
  <si>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</si>
  <si>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</si>
  <si>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</si>
  <si>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</si>
  <si>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</si>
  <si>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</si>
  <si>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</si>
  <si>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</si>
  <si>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</si>
  <si>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</si>
  <si>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</si>
  <si>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</si>
  <si>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</si>
  <si>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</si>
  <si>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</si>
  <si>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</si>
  <si>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</si>
  <si>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</si>
  <si>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</si>
  <si>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</si>
  <si>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</si>
  <si>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</si>
  <si>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</si>
  <si>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</si>
  <si>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</si>
  <si>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</si>
  <si>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</si>
  <si>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</si>
  <si>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</si>
  <si>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</si>
  <si>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</si>
  <si>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</si>
  <si>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</si>
  <si>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</si>
  <si>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</si>
  <si>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</si>
  <si>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</si>
  <si>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</si>
  <si>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</si>
  <si>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</si>
  <si>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</si>
  <si>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</si>
  <si>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</si>
  <si>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</si>
  <si>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</si>
  <si>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</si>
  <si>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</si>
  <si>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</si>
  <si>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</si>
  <si>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</si>
  <si>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</si>
  <si>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</si>
  <si>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</si>
  <si>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</si>
  <si>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</si>
  <si>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</si>
  <si>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</si>
  <si>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</si>
  <si>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</si>
  <si>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</si>
  <si>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</si>
  <si>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</si>
  <si>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</si>
  <si>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</si>
  <si>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</si>
  <si>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</si>
  <si>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</si>
  <si>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</si>
  <si>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</si>
  <si>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</si>
  <si>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</si>
  <si>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</si>
  <si>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</si>
  <si>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</si>
  <si>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</si>
  <si>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</si>
  <si>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</si>
  <si>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</si>
  <si>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</si>
  <si>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</si>
  <si>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</si>
  <si>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</si>
  <si>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</si>
  <si>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</si>
  <si>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</si>
  <si>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</si>
  <si>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</si>
  <si>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</si>
  <si>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</si>
  <si>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</si>
  <si>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</si>
  <si>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</si>
  <si>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</si>
  <si>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</si>
  <si>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</si>
  <si>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</si>
  <si>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</si>
  <si>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</si>
  <si>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</si>
  <si>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</si>
  <si>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</si>
  <si>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</si>
  <si>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</si>
  <si>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</si>
  <si>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</si>
  <si>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</si>
  <si>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</si>
  <si>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</si>
  <si>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</si>
  <si>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</si>
  <si>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</si>
  <si>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</si>
  <si>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</si>
  <si>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</si>
  <si>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</si>
  <si>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</si>
  <si>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</si>
  <si>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</si>
  <si>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</si>
  <si>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</si>
  <si>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</si>
  <si>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</si>
  <si>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</si>
  <si>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</si>
  <si>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</si>
  <si>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</si>
  <si>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</si>
  <si>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</si>
  <si>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</si>
  <si>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</si>
  <si>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</si>
  <si>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</si>
  <si>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</si>
  <si>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</si>
  <si>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</si>
  <si>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</si>
  <si>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</si>
  <si>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</si>
  <si>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</si>
  <si>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</si>
  <si>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</si>
  <si>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</si>
  <si>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</si>
  <si>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</si>
  <si>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</si>
  <si>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</si>
  <si>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</si>
  <si>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</si>
  <si>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</si>
  <si>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</si>
  <si>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</si>
  <si>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</si>
  <si>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</si>
  <si>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</si>
  <si>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</si>
  <si>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</si>
  <si>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</si>
  <si>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</si>
  <si>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</si>
  <si>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</si>
  <si>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</si>
  <si>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</si>
  <si>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</si>
  <si>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</si>
  <si>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</si>
  <si>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</si>
  <si>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</si>
  <si>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</si>
  <si>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</si>
  <si>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</si>
  <si>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</si>
  <si>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</si>
  <si>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</si>
  <si>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</si>
  <si>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</si>
  <si>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</si>
  <si>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</si>
  <si>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</si>
  <si>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</si>
  <si>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</si>
  <si>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</si>
  <si>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</si>
  <si>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</si>
  <si>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</si>
  <si>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</si>
  <si>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</si>
  <si>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</si>
  <si>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</si>
  <si>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</si>
  <si>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</si>
  <si>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</si>
  <si>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</si>
  <si>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</si>
  <si>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</si>
  <si>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</si>
  <si>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</si>
  <si>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</si>
  <si>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</si>
  <si>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</si>
  <si>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</si>
  <si>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</si>
  <si>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</si>
  <si>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</si>
  <si>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</si>
  <si>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</si>
  <si>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</si>
  <si>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</si>
  <si>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</si>
  <si>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</si>
  <si>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</si>
  <si>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</si>
  <si>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</si>
  <si>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</si>
  <si>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</si>
  <si>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</si>
  <si>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</si>
  <si>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</si>
  <si>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</si>
  <si>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</si>
  <si>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</si>
  <si>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</si>
  <si>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</si>
  <si>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</si>
  <si>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</si>
  <si>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</si>
  <si>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</si>
  <si>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</si>
  <si>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</si>
  <si>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</si>
  <si>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</si>
  <si>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</si>
  <si>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</si>
  <si>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</si>
  <si>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</si>
  <si>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</si>
  <si>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</si>
  <si>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</si>
  <si>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</si>
  <si>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</si>
  <si>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</si>
  <si>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</si>
  <si>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</si>
  <si>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</si>
  <si>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</si>
  <si>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</si>
  <si>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</si>
  <si>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</si>
  <si>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</si>
  <si>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</si>
  <si>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</si>
  <si>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</si>
  <si>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</si>
  <si>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</si>
  <si>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</si>
  <si>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</si>
  <si>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</si>
  <si>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</si>
  <si>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</si>
  <si>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</si>
  <si>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</si>
  <si>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</si>
  <si>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</si>
  <si>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</si>
  <si>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</si>
  <si>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</si>
  <si>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</si>
  <si>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</si>
  <si>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</si>
  <si>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</si>
  <si>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</si>
  <si>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</si>
  <si>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</si>
  <si>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</si>
  <si>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</si>
  <si>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</si>
  <si>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</si>
  <si>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</si>
  <si>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</si>
  <si>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</si>
  <si>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</si>
  <si>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</si>
  <si>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</si>
  <si>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</si>
  <si>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</si>
  <si>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</si>
  <si>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</si>
  <si>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</si>
  <si>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</si>
  <si>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</si>
  <si>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</si>
  <si>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</si>
  <si>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</si>
  <si>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</si>
  <si>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</si>
  <si>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</si>
  <si>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</si>
  <si>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</si>
  <si>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</si>
  <si>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</si>
  <si>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</si>
  <si>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</si>
  <si>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</si>
  <si>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</si>
  <si>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</si>
  <si>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</si>
  <si>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</si>
  <si>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</si>
  <si>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</si>
  <si>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</si>
  <si>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</si>
  <si>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</si>
  <si>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</si>
  <si>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</si>
  <si>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</si>
  <si>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</si>
  <si>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</si>
  <si>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</si>
  <si>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</si>
  <si>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</si>
  <si>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</si>
  <si>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</si>
  <si>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</si>
  <si>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</si>
  <si>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</si>
  <si>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</si>
  <si>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</si>
  <si>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</si>
  <si>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</si>
  <si>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</si>
  <si>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</si>
  <si>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</si>
  <si>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</si>
  <si>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</si>
  <si>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</si>
  <si>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</si>
  <si>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</si>
  <si>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</si>
  <si>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</si>
  <si>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</si>
  <si>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</si>
  <si>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</si>
  <si>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</si>
  <si>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</si>
  <si>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</si>
  <si>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</si>
  <si>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</si>
  <si>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</si>
  <si>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</si>
  <si>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</si>
  <si>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</si>
  <si>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</si>
  <si>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</si>
  <si>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</si>
  <si>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</si>
  <si>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</si>
  <si>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</si>
  <si>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</si>
  <si>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</si>
  <si>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</si>
  <si>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</si>
  <si>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</si>
  <si>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</si>
  <si>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</si>
  <si>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</si>
  <si>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</si>
  <si>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</si>
  <si>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</si>
  <si>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</si>
  <si>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</si>
  <si>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</si>
  <si>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</si>
  <si>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</si>
  <si>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</si>
  <si>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</si>
  <si>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</si>
  <si>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</si>
  <si>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</si>
  <si>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</si>
  <si>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</si>
  <si>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</si>
  <si>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</si>
  <si>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</si>
  <si>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</si>
  <si>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</si>
  <si>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</si>
  <si>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</si>
  <si>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</si>
  <si>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</si>
  <si>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</si>
  <si>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</si>
  <si>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</si>
  <si>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</si>
  <si>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</si>
  <si>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</si>
  <si>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</si>
  <si>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</si>
  <si>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</si>
  <si>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</si>
  <si>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</si>
  <si>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</si>
  <si>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</si>
  <si>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</si>
  <si>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</si>
  <si>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</si>
  <si>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</si>
  <si>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</si>
  <si>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</si>
  <si>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</si>
  <si>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</si>
  <si>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</si>
  <si>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</si>
  <si>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</si>
  <si>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</si>
  <si>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</si>
  <si>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</si>
  <si>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</si>
  <si>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</si>
  <si>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</si>
  <si>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</si>
  <si>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</si>
  <si>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</si>
  <si>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</si>
  <si>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</si>
  <si>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</si>
  <si>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</si>
  <si>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</si>
  <si>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</si>
  <si>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</si>
  <si>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</si>
  <si>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</si>
  <si>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</si>
  <si>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</si>
  <si>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</si>
  <si>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</si>
  <si>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</si>
  <si>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</si>
  <si>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</si>
  <si>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</si>
  <si>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</si>
  <si>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</si>
  <si>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</si>
  <si>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</si>
  <si>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</si>
  <si>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</si>
  <si>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</si>
  <si>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</si>
  <si>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</si>
  <si>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</si>
  <si>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</si>
  <si>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</si>
  <si>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</si>
  <si>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</si>
  <si>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</si>
  <si>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</si>
  <si>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</si>
  <si>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</si>
  <si>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</si>
  <si>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</si>
  <si>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</si>
  <si>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</si>
  <si>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</si>
  <si>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</si>
  <si>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</si>
  <si>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</si>
  <si>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</si>
  <si>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</si>
  <si>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</si>
  <si>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</si>
  <si>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</si>
  <si>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</si>
  <si>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</si>
  <si>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</si>
  <si>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</si>
  <si>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</si>
  <si>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</si>
  <si>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</si>
  <si>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</si>
  <si>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</si>
  <si>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</si>
  <si>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</si>
  <si>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</si>
  <si>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</si>
  <si>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</si>
  <si>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</si>
  <si>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</si>
  <si>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</si>
  <si>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</si>
  <si>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</si>
  <si>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</si>
  <si>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</si>
  <si>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</si>
  <si>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</si>
  <si>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</si>
  <si>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</si>
  <si>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</si>
  <si>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</si>
  <si>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</si>
  <si>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</si>
  <si>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</si>
  <si>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</si>
  <si>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</si>
  <si>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</si>
  <si>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</si>
  <si>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</si>
  <si>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</si>
  <si>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</si>
  <si>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</si>
  <si>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</si>
  <si>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</si>
  <si>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</si>
  <si>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</si>
  <si>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</si>
  <si>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</si>
  <si>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</si>
  <si>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</si>
  <si>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</si>
  <si>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</si>
  <si>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</si>
  <si>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</si>
  <si>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</si>
  <si>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</si>
  <si>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</si>
  <si>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</si>
  <si>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</si>
  <si>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</si>
  <si>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</si>
  <si>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</si>
  <si>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</si>
  <si>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</si>
  <si>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</si>
  <si>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</si>
  <si>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</si>
  <si>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东北</t>
  </si>
  <si>
    <t>楼层</t>
  </si>
  <si>
    <t>12/20</t>
  </si>
  <si>
    <t>16/20</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</si>
  <si>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</si>
  <si>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</si>
  <si>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</si>
  <si>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</si>
  <si>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</si>
  <si>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</si>
  <si>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</si>
  <si>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</si>
  <si>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</si>
  <si>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</si>
  <si>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</si>
  <si>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</si>
  <si>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</si>
  <si>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</si>
  <si>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</si>
  <si>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</si>
  <si>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</si>
  <si>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</si>
  <si>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</si>
  <si>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</si>
  <si>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</si>
  <si>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</si>
  <si>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</si>
  <si>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</si>
  <si>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</si>
  <si>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</si>
  <si>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</si>
  <si>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</si>
  <si>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</si>
  <si>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</si>
  <si>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</si>
  <si>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</si>
  <si>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</si>
  <si>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</si>
  <si>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</si>
  <si>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</si>
  <si>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</si>
  <si>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</si>
  <si>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</si>
  <si>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</si>
  <si>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</si>
  <si>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</si>
  <si>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</si>
  <si>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</si>
  <si>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</si>
  <si>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</si>
  <si>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</si>
  <si>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</si>
  <si>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</si>
  <si>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</si>
  <si>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</si>
  <si>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</si>
  <si>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</si>
  <si>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</si>
  <si>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</si>
  <si>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</si>
  <si>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</si>
  <si>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</si>
  <si>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</si>
  <si>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</si>
  <si>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</si>
  <si>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</si>
  <si>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</si>
  <si>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</si>
  <si>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</si>
  <si>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</si>
  <si>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</si>
  <si>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</si>
  <si>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</si>
  <si>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</si>
  <si>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</si>
  <si>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</si>
  <si>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</si>
  <si>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</si>
  <si>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</si>
  <si>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</si>
  <si>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</si>
  <si>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</si>
  <si>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</si>
  <si>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</si>
  <si>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</si>
  <si>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</si>
  <si>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</si>
  <si>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</si>
  <si>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</si>
  <si>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</si>
  <si>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</si>
  <si>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</si>
  <si>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</si>
  <si>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</si>
  <si>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</si>
  <si>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</si>
  <si>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</si>
  <si>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</si>
  <si>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</si>
  <si>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</si>
  <si>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</si>
  <si>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</si>
  <si>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</si>
  <si>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</si>
  <si>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</si>
  <si>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</si>
  <si>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</si>
  <si>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</si>
  <si>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</si>
  <si>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</si>
  <si>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</si>
  <si>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</si>
  <si>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</si>
  <si>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</si>
  <si>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</si>
  <si>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</si>
  <si>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</si>
  <si>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</si>
  <si>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</si>
  <si>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</si>
  <si>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</si>
  <si>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</si>
  <si>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</si>
  <si>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</si>
  <si>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</si>
  <si>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</si>
  <si>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</si>
  <si>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</si>
  <si>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</si>
  <si>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</si>
  <si>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</si>
  <si>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</si>
  <si>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</si>
  <si>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</si>
  <si>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</si>
  <si>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</si>
  <si>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</si>
  <si>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</si>
  <si>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</si>
  <si>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</si>
  <si>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</si>
  <si>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</si>
  <si>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</si>
  <si>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</si>
  <si>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</si>
  <si>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</si>
  <si>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</si>
  <si>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</si>
  <si>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</si>
  <si>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</si>
  <si>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</si>
  <si>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</si>
  <si>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</si>
  <si>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</si>
  <si>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</si>
  <si>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</si>
  <si>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</si>
  <si>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</si>
  <si>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</si>
  <si>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</si>
  <si>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</si>
  <si>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</si>
  <si>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</si>
  <si>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</si>
  <si>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</si>
  <si>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</si>
  <si>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</si>
  <si>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</si>
  <si>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</si>
  <si>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</si>
  <si>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</si>
  <si>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</si>
  <si>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</si>
  <si>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</si>
  <si>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</si>
  <si>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</si>
  <si>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</si>
  <si>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</si>
  <si>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</si>
  <si>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</si>
  <si>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</si>
  <si>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</si>
  <si>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</si>
  <si>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</si>
  <si>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</si>
  <si>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</si>
  <si>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</si>
  <si>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</si>
  <si>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</si>
  <si>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</si>
  <si>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</si>
  <si>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</si>
  <si>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</si>
  <si>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</si>
  <si>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</si>
  <si>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</si>
  <si>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</si>
  <si>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</si>
  <si>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</si>
  <si>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</si>
  <si>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</si>
  <si>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</si>
  <si>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</si>
  <si>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</si>
  <si>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</si>
  <si>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</si>
  <si>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</si>
  <si>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</si>
  <si>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</si>
  <si>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</si>
  <si>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</si>
  <si>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</si>
  <si>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</si>
  <si>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</si>
  <si>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</si>
  <si>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</si>
  <si>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</si>
  <si>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</si>
  <si>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</si>
  <si>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</si>
  <si>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</si>
  <si>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</si>
  <si>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</si>
  <si>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</si>
  <si>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</si>
  <si>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</si>
  <si>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</si>
  <si>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</si>
  <si>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</si>
  <si>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</si>
  <si>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</si>
  <si>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</si>
  <si>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</si>
  <si>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</si>
  <si>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</si>
  <si>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</si>
  <si>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</si>
  <si>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</si>
  <si>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</si>
  <si>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</si>
  <si>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</si>
  <si>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</si>
  <si>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</si>
  <si>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</si>
  <si>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</si>
  <si>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</si>
  <si>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</si>
  <si>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</si>
  <si>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</si>
  <si>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</si>
  <si>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</si>
  <si>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</si>
  <si>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</si>
  <si>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</si>
  <si>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</si>
  <si>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</si>
  <si>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</si>
  <si>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</si>
  <si>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</si>
  <si>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</si>
  <si>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</si>
  <si>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</si>
  <si>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</si>
  <si>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</si>
  <si>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</si>
  <si>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</si>
  <si>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</si>
  <si>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</si>
  <si>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</si>
  <si>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</si>
  <si>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</si>
  <si>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</si>
  <si>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</si>
  <si>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</si>
  <si>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</si>
  <si>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</si>
  <si>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</si>
  <si>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</si>
  <si>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</si>
  <si>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</si>
  <si>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</si>
  <si>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</si>
  <si>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</si>
  <si>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</si>
  <si>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</si>
  <si>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</si>
  <si>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</si>
  <si>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</si>
  <si>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</si>
  <si>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</si>
  <si>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</si>
  <si>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</si>
  <si>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</si>
  <si>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</si>
  <si>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</si>
  <si>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</si>
  <si>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</si>
  <si>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</si>
  <si>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</si>
  <si>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</si>
  <si>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</si>
  <si>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</si>
  <si>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</si>
  <si>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</si>
  <si>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</si>
  <si>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</si>
  <si>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</si>
  <si>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</si>
  <si>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</si>
  <si>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</si>
  <si>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</si>
  <si>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</si>
  <si>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</si>
  <si>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</si>
  <si>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</si>
  <si>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</si>
  <si>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</si>
  <si>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</si>
  <si>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</si>
  <si>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</si>
  <si>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</si>
  <si>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</si>
  <si>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</si>
  <si>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</si>
  <si>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</si>
  <si>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</si>
  <si>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</si>
  <si>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</si>
  <si>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</si>
  <si>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</si>
  <si>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</si>
  <si>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</si>
  <si>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</si>
  <si>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</si>
  <si>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</si>
  <si>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</si>
  <si>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</si>
  <si>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</si>
  <si>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</si>
  <si>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</si>
  <si>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</si>
  <si>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</si>
  <si>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</si>
  <si>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</si>
  <si>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</si>
  <si>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</si>
  <si>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</si>
  <si>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</si>
  <si>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</si>
  <si>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</si>
  <si>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</si>
  <si>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</si>
  <si>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</si>
  <si>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</si>
  <si>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</si>
  <si>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</si>
  <si>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</si>
  <si>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</si>
  <si>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</si>
  <si>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</si>
  <si>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</si>
  <si>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</si>
  <si>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</si>
  <si>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</si>
  <si>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</si>
  <si>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</si>
  <si>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</si>
  <si>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</si>
  <si>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</si>
  <si>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</si>
  <si>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</si>
  <si>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</si>
  <si>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</si>
  <si>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</si>
  <si>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</si>
  <si>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</si>
  <si>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</si>
  <si>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</si>
  <si>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</si>
  <si>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</si>
  <si>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</si>
  <si>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</si>
  <si>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</si>
  <si>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</si>
  <si>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</si>
  <si>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</si>
  <si>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</si>
  <si>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</si>
  <si>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</si>
  <si>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</si>
  <si>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</si>
  <si>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</si>
  <si>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</si>
  <si>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</si>
  <si>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</si>
  <si>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</si>
  <si>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</si>
  <si>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</si>
  <si>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</si>
  <si>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</si>
  <si>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</si>
  <si>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</si>
  <si>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</si>
  <si>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</si>
  <si>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</si>
  <si>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</si>
  <si>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</si>
  <si>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</si>
  <si>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</si>
  <si>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</si>
  <si>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</si>
  <si>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</si>
  <si>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</si>
  <si>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</si>
  <si>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</si>
  <si>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</si>
  <si>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</si>
  <si>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</si>
  <si>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</si>
  <si>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</si>
  <si>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</si>
  <si>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</si>
  <si>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</si>
  <si>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</si>
  <si>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</si>
  <si>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</si>
  <si>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</si>
  <si>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</si>
  <si>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</si>
  <si>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</si>
  <si>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</si>
  <si>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</si>
  <si>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</si>
  <si>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</si>
  <si>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</si>
  <si>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</si>
  <si>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</si>
  <si>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</si>
  <si>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</si>
  <si>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</si>
  <si>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</si>
  <si>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</si>
  <si>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</si>
  <si>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</si>
  <si>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</si>
  <si>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</si>
  <si>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</si>
  <si>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</si>
  <si>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</si>
  <si>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</si>
  <si>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</si>
  <si>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</si>
  <si>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</si>
  <si>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</si>
  <si>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</si>
  <si>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</si>
  <si>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</si>
  <si>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</si>
  <si>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</si>
  <si>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</si>
  <si>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</si>
  <si>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</si>
  <si>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</si>
  <si>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</si>
  <si>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</si>
  <si>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</si>
  <si>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</si>
  <si>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</si>
  <si>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</si>
  <si>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</si>
  <si>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</si>
  <si>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</si>
  <si>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</si>
  <si>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</si>
  <si>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</si>
  <si>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</si>
  <si>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</si>
  <si>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</si>
  <si>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</si>
  <si>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</si>
  <si>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</si>
  <si>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</si>
  <si>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</si>
  <si>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</si>
  <si>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</si>
  <si>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</si>
  <si>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</si>
  <si>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</si>
  <si>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</si>
  <si>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</si>
  <si>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</si>
  <si>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</si>
  <si>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</si>
  <si>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</si>
  <si>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</si>
  <si>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</si>
  <si>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</si>
  <si>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</si>
  <si>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</si>
  <si>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</si>
  <si>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</si>
  <si>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</si>
  <si>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</si>
  <si>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</si>
  <si>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</si>
  <si>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</si>
  <si>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</si>
  <si>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</si>
  <si>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</si>
  <si>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</si>
  <si>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</si>
  <si>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</si>
  <si>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</si>
  <si>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</si>
  <si>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</si>
  <si>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</si>
  <si>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</si>
  <si>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</si>
  <si>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</si>
  <si>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</si>
  <si>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</si>
  <si>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</si>
  <si>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</si>
  <si>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</si>
  <si>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</si>
  <si>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</si>
  <si>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</si>
  <si>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</si>
  <si>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</si>
  <si>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</si>
  <si>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</si>
  <si>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</si>
  <si>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</si>
  <si>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</si>
  <si>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</si>
  <si>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</si>
  <si>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</si>
  <si>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</si>
  <si>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</si>
  <si>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</si>
  <si>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</si>
  <si>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</si>
  <si>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</si>
  <si>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</si>
  <si>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</si>
  <si>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</si>
  <si>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</si>
  <si>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</si>
  <si>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</si>
  <si>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</si>
  <si>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</si>
  <si>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</si>
  <si>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</si>
  <si>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</si>
  <si>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</si>
  <si>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</si>
  <si>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</si>
  <si>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</si>
  <si>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</si>
  <si>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</si>
  <si>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</si>
  <si>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</si>
  <si>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</si>
  <si>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</si>
  <si>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</si>
  <si>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</si>
  <si>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</si>
  <si>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</si>
  <si>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</si>
  <si>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</si>
  <si>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</si>
  <si>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</si>
  <si>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</si>
  <si>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</si>
  <si>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</si>
  <si>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</si>
  <si>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</si>
  <si>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</si>
  <si>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</si>
  <si>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</si>
  <si>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</si>
  <si>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</si>
  <si>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</si>
  <si>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</si>
  <si>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</si>
  <si>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</si>
  <si>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</si>
  <si>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</si>
  <si>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</si>
  <si>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</si>
  <si>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</si>
  <si>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</si>
  <si>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</si>
  <si>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</si>
  <si>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</si>
  <si>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</si>
  <si>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</si>
  <si>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</si>
  <si>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</si>
  <si>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</si>
  <si>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</si>
  <si>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</si>
  <si>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</si>
  <si>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</si>
  <si>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</si>
  <si>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</si>
  <si>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</si>
  <si>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</si>
  <si>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</si>
  <si>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</si>
  <si>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</si>
  <si>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</si>
  <si>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</si>
  <si>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</si>
  <si>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</si>
  <si>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</si>
  <si>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</si>
  <si>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</si>
  <si>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</si>
  <si>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</si>
  <si>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</si>
  <si>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</si>
  <si>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</si>
  <si>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</si>
  <si>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</si>
  <si>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</si>
  <si>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</si>
  <si>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</si>
  <si>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</si>
  <si>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</si>
  <si>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</si>
  <si>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</si>
  <si>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</si>
  <si>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</si>
  <si>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</si>
  <si>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</si>
  <si>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</si>
  <si>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</si>
  <si>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</si>
  <si>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</si>
  <si>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</si>
  <si>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</si>
  <si>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</si>
  <si>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</si>
  <si>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</si>
  <si>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</si>
  <si>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</si>
  <si>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</si>
  <si>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</si>
  <si>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</si>
  <si>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</si>
  <si>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</si>
  <si>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</si>
  <si>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</si>
  <si>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</si>
  <si>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</si>
  <si>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</si>
  <si>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</si>
  <si>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</si>
  <si>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</si>
  <si>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</si>
  <si>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</si>
  <si>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</si>
  <si>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</si>
  <si>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</si>
  <si>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</si>
  <si>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</si>
  <si>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</si>
  <si>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</si>
  <si>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</si>
  <si>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</si>
  <si>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</si>
  <si>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</si>
  <si>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</si>
  <si>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</si>
  <si>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</si>
  <si>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</si>
  <si>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</si>
  <si>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</si>
  <si>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</si>
  <si>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</si>
  <si>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</si>
  <si>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</si>
  <si>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</si>
  <si>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</si>
  <si>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</si>
  <si>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</si>
  <si>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</si>
  <si>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</si>
  <si>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</si>
  <si>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</si>
  <si>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</si>
  <si>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</si>
  <si>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</si>
  <si>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</si>
  <si>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</si>
  <si>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</si>
  <si>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</si>
  <si>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</si>
  <si>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</si>
  <si>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</si>
  <si>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</si>
  <si>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</si>
  <si>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</si>
  <si>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</si>
  <si>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</si>
  <si>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</si>
  <si>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</si>
  <si>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</si>
  <si>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</si>
  <si>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</si>
  <si>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</si>
  <si>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</si>
  <si>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</si>
  <si>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</si>
  <si>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</si>
  <si>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</si>
  <si>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</si>
  <si>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</si>
  <si>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</si>
  <si>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</si>
  <si>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</si>
  <si>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</si>
  <si>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</si>
  <si>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</si>
  <si>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</si>
  <si>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</si>
  <si>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</si>
  <si>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</si>
  <si>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</si>
  <si>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</si>
  <si>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</si>
  <si>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</si>
  <si>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</si>
  <si>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</si>
  <si>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</si>
  <si>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</si>
  <si>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</si>
  <si>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</si>
  <si>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</si>
  <si>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</si>
  <si>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</si>
  <si>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</si>
  <si>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</si>
  <si>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</si>
  <si>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</si>
  <si>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</si>
  <si>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</si>
  <si>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</si>
  <si>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</si>
  <si>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</si>
  <si>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</si>
  <si>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</si>
  <si>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</si>
  <si>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</si>
  <si>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</si>
  <si>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</si>
  <si>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</si>
  <si>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</si>
  <si>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</si>
  <si>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</si>
  <si>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</si>
  <si>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</si>
  <si>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</si>
  <si>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</si>
  <si>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</si>
  <si>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</si>
  <si>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</si>
  <si>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</si>
  <si>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</si>
  <si>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</si>
  <si>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</si>
  <si>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</si>
  <si>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</si>
  <si>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</si>
  <si>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</si>
  <si>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</si>
  <si>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</si>
  <si>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</si>
  <si>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</si>
  <si>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</si>
  <si>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</si>
  <si>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</si>
  <si>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</si>
  <si>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</si>
  <si>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</si>
  <si>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</si>
  <si>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</si>
  <si>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</si>
  <si>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</si>
  <si>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</si>
  <si>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</si>
  <si>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</si>
  <si>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</si>
  <si>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</si>
  <si>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</si>
  <si>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</si>
  <si>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</si>
  <si>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</si>
  <si>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</si>
  <si>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</si>
  <si>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</si>
  <si>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</si>
  <si>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</si>
  <si>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</si>
  <si>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</si>
  <si>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</si>
  <si>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</si>
  <si>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</si>
  <si>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</si>
  <si>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</si>
  <si>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</si>
  <si>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</si>
  <si>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</si>
  <si>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</si>
  <si>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</si>
  <si>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</si>
  <si>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</si>
  <si>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</si>
  <si>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</si>
  <si>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</si>
  <si>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</si>
  <si>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</si>
  <si>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</si>
  <si>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</si>
  <si>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</si>
  <si>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</si>
  <si>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</si>
  <si>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</si>
  <si>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</si>
  <si>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</si>
  <si>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</si>
  <si>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</si>
  <si>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</si>
  <si>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</si>
  <si>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</si>
  <si>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</si>
  <si>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</si>
  <si>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</si>
  <si>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</si>
  <si>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</si>
  <si>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</si>
  <si>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</si>
  <si>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</si>
  <si>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</si>
  <si>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</si>
  <si>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</si>
  <si>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</si>
  <si>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</si>
  <si>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</si>
  <si>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</si>
  <si>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</si>
  <si>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</si>
  <si>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</si>
  <si>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</si>
  <si>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</si>
  <si>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</si>
  <si>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</si>
  <si>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</si>
  <si>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</si>
  <si>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</si>
  <si>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</si>
  <si>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</si>
  <si>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</si>
  <si>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</si>
  <si>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</si>
  <si>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</si>
  <si>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</si>
  <si>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</si>
  <si>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</si>
  <si>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</si>
  <si>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</si>
  <si>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</si>
  <si>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</si>
  <si>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</si>
  <si>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</si>
  <si>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</si>
  <si>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</si>
  <si>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</si>
  <si>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</si>
  <si>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</si>
  <si>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</si>
  <si>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</si>
  <si>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</si>
  <si>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</si>
  <si>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</si>
  <si>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</si>
  <si>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</si>
  <si>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</si>
  <si>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</si>
  <si>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</si>
  <si>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</si>
  <si>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</si>
  <si>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</si>
  <si>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</si>
  <si>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</si>
  <si>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</si>
  <si>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</si>
  <si>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</si>
  <si>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</si>
  <si>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</si>
  <si>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</si>
  <si>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</si>
  <si>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</si>
  <si>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</si>
  <si>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</si>
  <si>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</si>
  <si>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</si>
  <si>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</si>
  <si>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</si>
  <si>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</si>
  <si>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</si>
  <si>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</si>
  <si>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</si>
  <si>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</si>
  <si>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</si>
  <si>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</si>
  <si>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</si>
  <si>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</si>
  <si>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</si>
  <si>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</si>
  <si>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</si>
  <si>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</si>
  <si>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</si>
  <si>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</si>
  <si>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</si>
  <si>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</si>
  <si>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</si>
  <si>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</si>
  <si>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</si>
  <si>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</si>
  <si>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</si>
  <si>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</si>
  <si>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</si>
  <si>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</si>
  <si>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</si>
  <si>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</si>
  <si>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</si>
  <si>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</si>
  <si>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</si>
  <si>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</si>
  <si>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</si>
  <si>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</si>
  <si>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</si>
  <si>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</si>
  <si>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</si>
  <si>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</si>
  <si>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</si>
  <si>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</si>
  <si>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</si>
  <si>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</si>
  <si>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</si>
  <si>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</si>
  <si>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</si>
  <si>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</si>
  <si>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</si>
  <si>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</si>
  <si>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</si>
  <si>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</si>
  <si>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</si>
  <si>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</si>
  <si>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</si>
  <si>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</si>
  <si>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</si>
  <si>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</si>
  <si>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</si>
  <si>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</si>
  <si>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</si>
  <si>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</si>
  <si>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</si>
  <si>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</si>
  <si>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</si>
  <si>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</si>
  <si>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</si>
  <si>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</si>
  <si>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</si>
  <si>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</si>
  <si>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</si>
  <si>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</si>
  <si>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</si>
  <si>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</si>
  <si>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</si>
  <si>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</si>
  <si>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</si>
  <si>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</si>
  <si>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</si>
  <si>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</si>
  <si>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</si>
  <si>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</si>
  <si>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</si>
  <si>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</si>
  <si>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</si>
  <si>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</si>
  <si>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</si>
  <si>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</si>
  <si>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</si>
  <si>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</si>
  <si>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</si>
  <si>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</si>
  <si>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</si>
  <si>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</si>
  <si>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</si>
  <si>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</si>
  <si>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</si>
  <si>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</si>
  <si>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</si>
  <si>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</si>
  <si>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</si>
  <si>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</si>
  <si>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</si>
  <si>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</si>
  <si>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</si>
  <si>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</si>
  <si>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</si>
  <si>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</si>
  <si>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</si>
  <si>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</si>
  <si>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</si>
  <si>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</si>
  <si>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</si>
  <si>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</si>
  <si>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</si>
  <si>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</si>
  <si>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</si>
  <si>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</si>
  <si>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</si>
  <si>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</si>
  <si>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</si>
  <si>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</si>
  <si>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</si>
  <si>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</si>
  <si>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</si>
  <si>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</si>
  <si>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</si>
  <si>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</si>
  <si>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</si>
  <si>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</si>
  <si>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</si>
  <si>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</si>
  <si>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</si>
  <si>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</si>
  <si>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</si>
  <si>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</si>
  <si>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</si>
  <si>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</si>
  <si>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</si>
  <si>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</si>
  <si>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</si>
  <si>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</si>
  <si>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</si>
  <si>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</si>
  <si>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</si>
  <si>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</si>
  <si>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</si>
  <si>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</si>
  <si>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</si>
  <si>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</si>
  <si>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</si>
  <si>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</si>
  <si>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</si>
  <si>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</si>
  <si>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</si>
  <si>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</si>
  <si>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</si>
  <si>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</si>
  <si>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</si>
  <si>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</si>
  <si>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</si>
  <si>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</si>
  <si>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</si>
  <si>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</si>
  <si>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</si>
  <si>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</si>
  <si>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</si>
  <si>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</si>
  <si>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</si>
  <si>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</si>
  <si>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</si>
  <si>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</si>
  <si>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</si>
  <si>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</si>
  <si>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</si>
  <si>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</si>
  <si>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</si>
  <si>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</si>
  <si>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</si>
  <si>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</si>
  <si>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</si>
  <si>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</si>
  <si>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</si>
  <si>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</si>
  <si>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</si>
  <si>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</si>
  <si>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</si>
  <si>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</si>
  <si>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</si>
  <si>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</si>
  <si>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</si>
  <si>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</si>
  <si>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</si>
  <si>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</si>
  <si>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</si>
  <si>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</si>
  <si>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</si>
  <si>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</si>
  <si>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</si>
  <si>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</si>
  <si>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</si>
  <si>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</si>
  <si>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</si>
  <si>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</si>
  <si>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</si>
  <si>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</si>
  <si>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</si>
  <si>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</si>
  <si>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</si>
  <si>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</si>
  <si>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</si>
  <si>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</si>
  <si>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</si>
  <si>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</si>
  <si>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</si>
  <si>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</si>
  <si>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</si>
  <si>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</si>
  <si>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</si>
  <si>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</si>
  <si>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</si>
  <si>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</si>
  <si>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</si>
  <si>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</si>
  <si>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</si>
  <si>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</si>
  <si>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</si>
  <si>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</si>
  <si>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</si>
  <si>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</si>
  <si>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</si>
  <si>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</si>
  <si>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</si>
  <si>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</si>
  <si>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</si>
  <si>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</si>
  <si>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</si>
  <si>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</si>
  <si>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</si>
  <si>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</si>
  <si>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</si>
  <si>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</si>
  <si>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</si>
  <si>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</si>
  <si>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</si>
  <si>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</si>
  <si>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</si>
  <si>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</si>
  <si>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</si>
  <si>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</si>
  <si>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</si>
  <si>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</si>
  <si>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</si>
  <si>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</si>
  <si>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</si>
  <si>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</si>
  <si>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</si>
  <si>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</si>
  <si>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</si>
  <si>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</si>
  <si>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</si>
  <si>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</si>
  <si>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</si>
  <si>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</si>
  <si>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</si>
  <si>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</si>
  <si>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</si>
  <si>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</si>
  <si>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</si>
  <si>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</si>
  <si>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</si>
  <si>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</si>
  <si>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</si>
  <si>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</si>
  <si>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</si>
  <si>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</si>
  <si>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</si>
  <si>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</si>
  <si>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</si>
  <si>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</si>
  <si>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</si>
  <si>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</si>
  <si>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</si>
  <si>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</si>
  <si>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</si>
  <si>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</si>
  <si>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</si>
  <si>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</si>
  <si>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</si>
  <si>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</si>
  <si>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</si>
  <si>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</si>
  <si>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</si>
  <si>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</si>
  <si>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</si>
  <si>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</si>
  <si>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</si>
  <si>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</si>
  <si>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</si>
  <si>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</si>
  <si>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</si>
  <si>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</si>
  <si>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</si>
  <si>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</si>
  <si>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</si>
  <si>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</si>
  <si>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</si>
  <si>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</si>
  <si>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</si>
  <si>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</si>
  <si>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</si>
  <si>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</si>
  <si>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</si>
  <si>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</si>
  <si>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</si>
  <si>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</si>
  <si>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</si>
  <si>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</si>
  <si>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</si>
  <si>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</si>
  <si>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</si>
  <si>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</si>
  <si>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</si>
  <si>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</si>
  <si>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</si>
  <si>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</si>
  <si>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</si>
  <si>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</si>
  <si>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</si>
  <si>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</si>
  <si>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</si>
  <si>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</si>
  <si>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</si>
  <si>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</si>
  <si>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</si>
  <si>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</si>
  <si>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</si>
  <si>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</si>
  <si>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</si>
  <si>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</si>
  <si>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</si>
  <si>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</si>
  <si>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</si>
  <si>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</si>
  <si>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</si>
  <si>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</si>
  <si>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</si>
  <si>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</si>
  <si>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</si>
  <si>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</si>
  <si>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</si>
  <si>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</si>
  <si>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</si>
  <si>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</si>
  <si>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</si>
  <si>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</si>
  <si>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</si>
  <si>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</si>
  <si>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</si>
  <si>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</si>
  <si>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</si>
  <si>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</si>
  <si>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</si>
  <si>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</si>
  <si>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</si>
  <si>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</si>
  <si>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</si>
  <si>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</si>
  <si>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</si>
  <si>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</si>
  <si>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</si>
  <si>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</si>
  <si>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</si>
  <si>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</si>
  <si>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</si>
  <si>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</si>
  <si>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</si>
  <si>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</si>
  <si>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</si>
  <si>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</si>
  <si>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</si>
  <si>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</si>
  <si>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</si>
  <si>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</si>
  <si>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</si>
  <si>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</si>
  <si>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</si>
  <si>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</si>
  <si>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</si>
  <si>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</si>
  <si>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</si>
  <si>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</si>
  <si>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</si>
  <si>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</si>
  <si>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</si>
  <si>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</si>
  <si>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</si>
  <si>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</si>
  <si>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</si>
  <si>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</si>
  <si>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</si>
  <si>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</si>
  <si>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</si>
  <si>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</si>
  <si>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</si>
  <si>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</si>
  <si>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</si>
  <si>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</si>
  <si>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</si>
  <si>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</si>
  <si>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</si>
  <si>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</si>
  <si>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</si>
  <si>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</si>
  <si>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</si>
  <si>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</si>
  <si>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</si>
  <si>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</si>
  <si>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</si>
  <si>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</si>
  <si>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</si>
  <si>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</si>
  <si>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</si>
  <si>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</si>
  <si>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</si>
  <si>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</si>
  <si>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</si>
  <si>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</si>
  <si>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</si>
  <si>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</si>
  <si>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</si>
  <si>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</si>
  <si>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</si>
  <si>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</si>
  <si>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</si>
  <si>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</si>
  <si>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</si>
  <si>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</si>
  <si>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</si>
  <si>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</si>
  <si>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</si>
  <si>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</si>
  <si>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</si>
  <si>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</si>
  <si>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</si>
  <si>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</si>
  <si>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</si>
  <si>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</si>
  <si>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</si>
  <si>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</si>
  <si>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</si>
  <si>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</si>
  <si>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</si>
  <si>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</si>
  <si>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</si>
  <si>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</si>
  <si>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</si>
  <si>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</si>
  <si>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</si>
  <si>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</si>
  <si>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</si>
  <si>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</si>
  <si>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</si>
  <si>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</si>
  <si>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</si>
  <si>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</si>
  <si>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</si>
  <si>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</si>
  <si>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</si>
  <si>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</si>
  <si>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</si>
  <si>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</si>
  <si>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</si>
  <si>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</si>
  <si>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</si>
  <si>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</si>
  <si>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</si>
  <si>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</si>
  <si>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</si>
  <si>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</si>
  <si>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</si>
  <si>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</si>
  <si>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</si>
  <si>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</si>
  <si>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</si>
  <si>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</si>
  <si>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</si>
  <si>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</si>
  <si>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</si>
  <si>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</si>
  <si>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</si>
  <si>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</si>
  <si>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</si>
  <si>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</si>
  <si>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</si>
  <si>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</si>
  <si>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</si>
  <si>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</si>
  <si>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</si>
  <si>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</si>
  <si>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</si>
  <si>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</si>
  <si>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</si>
  <si>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</si>
  <si>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</si>
  <si>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</si>
  <si>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</si>
  <si>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</si>
  <si>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</si>
  <si>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</si>
  <si>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</si>
  <si>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</si>
  <si>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</si>
  <si>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</si>
  <si>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</si>
  <si>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</si>
  <si>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</si>
  <si>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</si>
  <si>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</si>
  <si>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</si>
  <si>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</si>
  <si>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</si>
  <si>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</si>
  <si>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</si>
  <si>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</si>
  <si>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</si>
  <si>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</si>
  <si>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</si>
  <si>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</si>
  <si>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</si>
  <si>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</si>
  <si>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</si>
  <si>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</si>
  <si>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</si>
  <si>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</si>
  <si>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</si>
  <si>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</si>
  <si>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</si>
  <si>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</si>
  <si>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</si>
  <si>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</si>
  <si>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</si>
  <si>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</si>
  <si>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</si>
  <si>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</si>
  <si>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</si>
  <si>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</si>
  <si>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</si>
  <si>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</si>
  <si>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</si>
  <si>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</si>
  <si>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</si>
  <si>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</si>
  <si>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</si>
  <si>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</si>
  <si>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</si>
  <si>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</si>
  <si>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</si>
  <si>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</si>
  <si>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</si>
  <si>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</si>
  <si>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</si>
  <si>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</si>
  <si>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</si>
  <si>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</si>
  <si>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</si>
  <si>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</si>
  <si>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</si>
  <si>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</si>
  <si>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</si>
  <si>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</si>
  <si>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</si>
  <si>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</si>
  <si>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</si>
  <si>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</si>
  <si>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</si>
  <si>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</si>
  <si>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</si>
  <si>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</si>
  <si>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</si>
  <si>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</si>
  <si>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</si>
  <si>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</si>
  <si>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</si>
  <si>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</si>
  <si>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</si>
  <si>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</si>
  <si>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</si>
  <si>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</si>
  <si>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</si>
  <si>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</si>
  <si>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</si>
  <si>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</si>
  <si>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</si>
  <si>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</si>
  <si>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</si>
  <si>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</si>
  <si>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</si>
  <si>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</si>
  <si>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</si>
  <si>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</si>
  <si>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</si>
  <si>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</si>
  <si>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</si>
  <si>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</si>
  <si>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</si>
  <si>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</si>
  <si>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</si>
  <si>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</si>
  <si>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</si>
  <si>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</si>
  <si>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</si>
  <si>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</si>
  <si>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</si>
  <si>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</si>
  <si>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</si>
  <si>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</si>
  <si>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</si>
  <si>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</si>
  <si>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</si>
  <si>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</si>
  <si>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</si>
  <si>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</si>
  <si>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</si>
  <si>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</si>
  <si>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</si>
  <si>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</si>
  <si>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</si>
  <si>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</si>
  <si>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</si>
  <si>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</si>
  <si>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</si>
  <si>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</si>
  <si>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</si>
  <si>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</si>
  <si>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</si>
  <si>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</si>
  <si>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</si>
  <si>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</si>
  <si>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</si>
  <si>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</si>
  <si>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</si>
  <si>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</si>
  <si>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</si>
  <si>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</si>
  <si>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</si>
  <si>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</si>
  <si>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</si>
  <si>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</si>
  <si>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</si>
  <si>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</si>
  <si>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</si>
  <si>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</si>
  <si>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</si>
  <si>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</si>
  <si>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</si>
  <si>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</si>
  <si>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</si>
  <si>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</si>
  <si>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</si>
  <si>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</si>
  <si>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</si>
  <si>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</si>
  <si>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</si>
  <si>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</si>
  <si>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</si>
  <si>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</si>
  <si>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</si>
  <si>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</si>
  <si>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</si>
  <si>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</si>
  <si>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</si>
  <si>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</si>
  <si>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</si>
  <si>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</si>
  <si>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</si>
  <si>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</si>
  <si>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</si>
  <si>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</si>
  <si>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</si>
  <si>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</si>
  <si>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</si>
  <si>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</si>
  <si>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</si>
  <si>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</si>
  <si>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</si>
  <si>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</si>
  <si>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</si>
  <si>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</si>
  <si>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</si>
  <si>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</si>
  <si>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</si>
  <si>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</si>
  <si>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</si>
  <si>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</si>
  <si>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</si>
  <si>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</si>
  <si>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</si>
  <si>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</si>
  <si>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</si>
  <si>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</si>
  <si>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</si>
  <si>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</si>
  <si>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</si>
  <si>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</si>
  <si>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</si>
  <si>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</si>
  <si>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</si>
  <si>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</si>
  <si>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</si>
  <si>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</si>
  <si>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</si>
  <si>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</si>
  <si>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</si>
  <si>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</si>
  <si>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</si>
  <si>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</si>
  <si>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</si>
  <si>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</si>
  <si>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</si>
  <si>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</si>
  <si>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</si>
  <si>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</si>
  <si>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</si>
  <si>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</si>
  <si>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</si>
  <si>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</si>
  <si>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</si>
  <si>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</si>
  <si>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</si>
  <si>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</si>
  <si>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</si>
  <si>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</si>
  <si>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</si>
  <si>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</si>
  <si>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</si>
  <si>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</si>
  <si>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</si>
  <si>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</si>
  <si>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</si>
  <si>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</si>
  <si>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</si>
  <si>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</si>
  <si>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</si>
  <si>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</si>
  <si>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</si>
  <si>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</si>
  <si>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</si>
  <si>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建成年代</t>
  </si>
  <si>
    <t>建成年代</t>
    <phoneticPr fontId="225" type="noConversion"/>
  </si>
  <si>
    <t>5/6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</si>
  <si>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</si>
  <si>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</si>
  <si>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</si>
  <si>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</si>
  <si>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</si>
  <si>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</si>
  <si>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</si>
  <si>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</si>
  <si>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</si>
  <si>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</si>
  <si>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</si>
  <si>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</si>
  <si>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</si>
  <si>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</si>
  <si>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</si>
  <si>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</si>
  <si>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</si>
  <si>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</si>
  <si>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</si>
  <si>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</si>
  <si>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</si>
  <si>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</si>
  <si>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</si>
  <si>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</si>
  <si>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</si>
  <si>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</si>
  <si>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</si>
  <si>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</si>
  <si>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</si>
  <si>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</si>
  <si>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</si>
  <si>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</si>
  <si>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</si>
  <si>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</si>
  <si>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</si>
  <si>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</si>
  <si>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</si>
  <si>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</si>
  <si>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</si>
  <si>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</si>
  <si>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</si>
  <si>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</si>
  <si>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</si>
  <si>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</si>
  <si>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</si>
  <si>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</si>
  <si>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phoneticPr fontId="99" type="noConversion"/>
  </si>
  <si>
    <t>涂料</t>
    <phoneticPr fontId="99" type="noConversion"/>
  </si>
  <si>
    <t>涂料</t>
  </si>
  <si>
    <t>市政排水</t>
  </si>
  <si>
    <t>集中供暖</t>
  </si>
  <si>
    <t>消防井</t>
    <phoneticPr fontId="99" type="noConversion"/>
  </si>
  <si>
    <t>电表磁卡计费</t>
  </si>
  <si>
    <t>无</t>
    <phoneticPr fontId="99" type="noConversion"/>
  </si>
  <si>
    <t>楼前后停车</t>
    <phoneticPr fontId="99" type="noConversion"/>
  </si>
  <si>
    <t>利用周围配套设施</t>
  </si>
  <si>
    <t>天然气√、煤气</t>
  </si>
  <si>
    <t>中等</t>
  </si>
  <si>
    <t>七通一平</t>
    <phoneticPr fontId="99" type="noConversion"/>
  </si>
  <si>
    <t>二</t>
    <phoneticPr fontId="99" type="noConversion"/>
  </si>
  <si>
    <t>不上人屋面</t>
  </si>
  <si>
    <t>瓷砖</t>
  </si>
  <si>
    <t>木门</t>
  </si>
  <si>
    <t>水泥地面，涂料墙面</t>
  </si>
  <si>
    <t>市政供水</t>
  </si>
  <si>
    <t>市政供电</t>
  </si>
  <si>
    <t>管道天然气</t>
  </si>
  <si>
    <t>中</t>
  </si>
  <si>
    <t>四</t>
    <phoneticPr fontId="99" type="noConversion"/>
  </si>
  <si>
    <t>南北</t>
    <phoneticPr fontId="99" type="noConversion"/>
  </si>
  <si>
    <t>铝扣板吊顶</t>
    <phoneticPr fontId="99" type="noConversion"/>
  </si>
  <si>
    <t>PVC吊顶</t>
    <phoneticPr fontId="99" type="noConversion"/>
  </si>
  <si>
    <t>一</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</si>
  <si>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</si>
  <si>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</si>
  <si>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</si>
  <si>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</si>
  <si>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</si>
  <si>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</si>
  <si>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</si>
  <si>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</si>
  <si>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</si>
  <si>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</si>
  <si>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</si>
  <si>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</si>
  <si>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</si>
  <si>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</si>
  <si>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</si>
  <si>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</si>
  <si>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</si>
  <si>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</si>
  <si>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</si>
  <si>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</si>
  <si>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</si>
  <si>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</si>
  <si>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</si>
  <si>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</si>
  <si>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</si>
  <si>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</si>
  <si>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</si>
  <si>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</si>
  <si>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</si>
  <si>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</si>
  <si>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混合</t>
    <phoneticPr fontId="2" type="noConversion"/>
  </si>
  <si>
    <t>住宅</t>
    <phoneticPr fontId="2" type="noConversion"/>
  </si>
  <si>
    <t>私产</t>
    <phoneticPr fontId="2" type="noConversion"/>
  </si>
  <si>
    <t>2/6</t>
    <phoneticPr fontId="225" type="noConversion"/>
  </si>
  <si>
    <t>塔楼</t>
    <phoneticPr fontId="225" type="noConversion"/>
  </si>
  <si>
    <t>申请人编号</t>
    <phoneticPr fontId="99" type="noConversion"/>
  </si>
  <si>
    <t>备注</t>
    <phoneticPr fontId="99" type="noConversion"/>
  </si>
  <si>
    <t>房屋剩余年限</t>
    <phoneticPr fontId="99" type="noConversion"/>
  </si>
  <si>
    <t>房屋所有权证</t>
    <phoneticPr fontId="99" type="noConversion"/>
  </si>
  <si>
    <t>2008-22-P-01641-U</t>
    <phoneticPr fontId="99" type="noConversion"/>
  </si>
  <si>
    <t>宋琪</t>
    <phoneticPr fontId="99" type="noConversion"/>
  </si>
  <si>
    <t>152101198303290627</t>
    <phoneticPr fontId="99" type="noConversion"/>
  </si>
  <si>
    <t>良乡宜春里</t>
  </si>
  <si>
    <t>8号楼</t>
    <phoneticPr fontId="99" type="noConversion"/>
  </si>
  <si>
    <t>②-502号</t>
    <phoneticPr fontId="99" type="noConversion"/>
  </si>
  <si>
    <t>宋琪</t>
  </si>
  <si>
    <t>一室一厅一卫一厨</t>
    <phoneticPr fontId="99" type="noConversion"/>
  </si>
  <si>
    <t>复式、平层√、跃层、错层</t>
    <phoneticPr fontId="99" type="noConversion"/>
  </si>
  <si>
    <t>北京住房公积金管理中心房山管理部</t>
  </si>
  <si>
    <t>京房权证房私字第0802112号</t>
    <phoneticPr fontId="99" type="noConversion"/>
  </si>
  <si>
    <t>徐墨云</t>
    <phoneticPr fontId="99" type="noConversion"/>
  </si>
  <si>
    <t>新增</t>
    <phoneticPr fontId="99" type="noConversion"/>
  </si>
  <si>
    <t>刘强曦</t>
    <phoneticPr fontId="99" type="noConversion"/>
  </si>
  <si>
    <t>徐墨云</t>
  </si>
  <si>
    <t>2008-22-P-01722-FU</t>
    <phoneticPr fontId="99" type="noConversion"/>
  </si>
  <si>
    <t>李立明</t>
    <phoneticPr fontId="99" type="noConversion"/>
  </si>
  <si>
    <t>110111197808081213</t>
    <phoneticPr fontId="99" type="noConversion"/>
  </si>
  <si>
    <t>7号楼</t>
    <phoneticPr fontId="99" type="noConversion"/>
  </si>
  <si>
    <t>李立明</t>
  </si>
  <si>
    <t>二室一厅一卫一厨</t>
    <phoneticPr fontId="99" type="noConversion"/>
  </si>
  <si>
    <t>白景生</t>
    <phoneticPr fontId="99" type="noConversion"/>
  </si>
  <si>
    <t>初审意见书</t>
    <phoneticPr fontId="99" type="noConversion"/>
  </si>
  <si>
    <t>2008-22-P-02133-U</t>
    <phoneticPr fontId="99" type="noConversion"/>
  </si>
  <si>
    <t>霍永跃</t>
    <phoneticPr fontId="99" type="noConversion"/>
  </si>
  <si>
    <t>110111197908175727</t>
    <phoneticPr fontId="99" type="noConversion"/>
  </si>
  <si>
    <t>11号楼</t>
    <phoneticPr fontId="99" type="noConversion"/>
  </si>
  <si>
    <t>②-222号</t>
    <phoneticPr fontId="99" type="noConversion"/>
  </si>
  <si>
    <t>霍永跃</t>
  </si>
  <si>
    <t>五</t>
    <phoneticPr fontId="99" type="noConversion"/>
  </si>
  <si>
    <t>京房权证房私字第0802618号</t>
    <phoneticPr fontId="99" type="noConversion"/>
  </si>
  <si>
    <t>协议</t>
    <phoneticPr fontId="99" type="noConversion"/>
  </si>
  <si>
    <t>2008-22-P-06276-U</t>
    <phoneticPr fontId="99" type="noConversion"/>
  </si>
  <si>
    <t>程良</t>
    <phoneticPr fontId="99" type="noConversion"/>
  </si>
  <si>
    <t>110225196806041217</t>
    <phoneticPr fontId="99" type="noConversion"/>
  </si>
  <si>
    <t>13366102604</t>
    <phoneticPr fontId="99" type="noConversion"/>
  </si>
  <si>
    <t>甲5号楼</t>
    <phoneticPr fontId="99" type="noConversion"/>
  </si>
  <si>
    <t>①-2-121号</t>
    <phoneticPr fontId="99" type="noConversion"/>
  </si>
  <si>
    <t>安保良</t>
    <phoneticPr fontId="99" type="noConversion"/>
  </si>
  <si>
    <t>北京住房公积金管理中心中央国家机关分中心</t>
    <phoneticPr fontId="99" type="noConversion"/>
  </si>
  <si>
    <t>十二</t>
    <phoneticPr fontId="99" type="noConversion"/>
  </si>
  <si>
    <t>房优字第09689号</t>
    <phoneticPr fontId="99" type="noConversion"/>
  </si>
  <si>
    <t>北京住房公积金管理中心中央国家机关分中心</t>
  </si>
  <si>
    <t>2008-22-P-01641-U</t>
    <phoneticPr fontId="99" type="noConversion"/>
  </si>
  <si>
    <t>2008-22-P-01722-FU</t>
    <phoneticPr fontId="99" type="noConversion"/>
  </si>
  <si>
    <t>2008-22-P-02133-U</t>
    <phoneticPr fontId="99" type="noConversion"/>
  </si>
  <si>
    <t>建成年代</t>
    <phoneticPr fontId="99" type="noConversion"/>
  </si>
  <si>
    <t>朝向</t>
    <phoneticPr fontId="99" type="noConversion"/>
  </si>
  <si>
    <t>贷款年限</t>
    <phoneticPr fontId="99" type="noConversion"/>
  </si>
  <si>
    <t>良乡宜春里</t>
    <phoneticPr fontId="99" type="noConversion"/>
  </si>
  <si>
    <t>8号楼2-502</t>
    <phoneticPr fontId="99" type="noConversion"/>
  </si>
  <si>
    <t>清水墙</t>
    <phoneticPr fontId="99" type="noConversion"/>
  </si>
  <si>
    <t>外窗：塑钢窗；外门：防盗门</t>
    <phoneticPr fontId="99" type="noConversion"/>
  </si>
  <si>
    <t>铝扣板吊顶</t>
    <phoneticPr fontId="99" type="noConversion"/>
  </si>
  <si>
    <t>涂料</t>
    <phoneticPr fontId="99" type="noConversion"/>
  </si>
  <si>
    <t>地砖、木地板</t>
    <phoneticPr fontId="99" type="noConversion"/>
  </si>
  <si>
    <t>地砖</t>
  </si>
  <si>
    <t>洗菜池、橱柜等</t>
    <phoneticPr fontId="99" type="noConversion"/>
  </si>
  <si>
    <t>座便器、洗面盆等</t>
  </si>
  <si>
    <t>有线电视、电话线入户</t>
  </si>
  <si>
    <t>消防井</t>
    <phoneticPr fontId="99" type="noConversion"/>
  </si>
  <si>
    <t>电表磁卡计费</t>
    <phoneticPr fontId="99" type="noConversion"/>
  </si>
  <si>
    <t>无</t>
    <phoneticPr fontId="99" type="noConversion"/>
  </si>
  <si>
    <t>无</t>
  </si>
  <si>
    <t>地上车位</t>
  </si>
  <si>
    <t>居委会自管</t>
    <phoneticPr fontId="99" type="noConversion"/>
  </si>
  <si>
    <t>普通居住区</t>
    <phoneticPr fontId="153" type="noConversion"/>
  </si>
  <si>
    <t>市级、区级√、小区级、街区级</t>
  </si>
  <si>
    <t>城市主干道√、城市次干道、支路</t>
  </si>
  <si>
    <t>有917、616路等公交线路经过</t>
    <phoneticPr fontId="99" type="noConversion"/>
  </si>
  <si>
    <t>多层板楼</t>
  </si>
  <si>
    <t>白景生</t>
    <phoneticPr fontId="99" type="noConversion"/>
  </si>
  <si>
    <t>二</t>
    <phoneticPr fontId="99" type="noConversion"/>
  </si>
  <si>
    <t>25万</t>
    <phoneticPr fontId="99" type="noConversion"/>
  </si>
  <si>
    <t>30年</t>
    <phoneticPr fontId="99" type="noConversion"/>
  </si>
  <si>
    <t>良乡宜春里</t>
    <phoneticPr fontId="99" type="noConversion"/>
  </si>
  <si>
    <t>7号楼2-502</t>
    <phoneticPr fontId="99" type="noConversion"/>
  </si>
  <si>
    <t>清水墙</t>
    <phoneticPr fontId="99" type="noConversion"/>
  </si>
  <si>
    <t>外窗：铝合金窗，户门：防盗门</t>
    <phoneticPr fontId="99" type="noConversion"/>
  </si>
  <si>
    <t>涂料</t>
    <phoneticPr fontId="99" type="noConversion"/>
  </si>
  <si>
    <t>PVC吊顶</t>
    <phoneticPr fontId="99" type="noConversion"/>
  </si>
  <si>
    <t>地砖</t>
    <phoneticPr fontId="99" type="noConversion"/>
  </si>
  <si>
    <t>电表磁卡计费</t>
    <phoneticPr fontId="99" type="noConversion"/>
  </si>
  <si>
    <t>居委会自管</t>
    <phoneticPr fontId="99" type="noConversion"/>
  </si>
  <si>
    <t>普通居住区</t>
    <phoneticPr fontId="153" type="noConversion"/>
  </si>
  <si>
    <t>有917、616路等公交线路经过</t>
    <phoneticPr fontId="99" type="noConversion"/>
  </si>
  <si>
    <t>二</t>
    <phoneticPr fontId="99" type="noConversion"/>
  </si>
  <si>
    <t>20万</t>
    <phoneticPr fontId="99" type="noConversion"/>
  </si>
  <si>
    <t>21年</t>
    <phoneticPr fontId="99" type="noConversion"/>
  </si>
  <si>
    <t>11号楼2-222</t>
    <phoneticPr fontId="99" type="noConversion"/>
  </si>
  <si>
    <t>清水墙</t>
    <phoneticPr fontId="99" type="noConversion"/>
  </si>
  <si>
    <t>外窗：塑钢窗、铝合金窗；外门：防盗门</t>
    <phoneticPr fontId="99" type="noConversion"/>
  </si>
  <si>
    <t>PVC板吊顶</t>
    <phoneticPr fontId="99" type="noConversion"/>
  </si>
  <si>
    <t>洗菜池、橱柜等</t>
    <phoneticPr fontId="99" type="noConversion"/>
  </si>
  <si>
    <t>自管</t>
    <phoneticPr fontId="99" type="noConversion"/>
  </si>
  <si>
    <t>普通居住区</t>
  </si>
  <si>
    <t xml:space="preserve">市级、区级、小区级√、街区级    </t>
  </si>
  <si>
    <t>城市主干道、城市次干道√、支路</t>
    <phoneticPr fontId="99" type="noConversion"/>
  </si>
  <si>
    <t>良</t>
    <phoneticPr fontId="99" type="noConversion"/>
  </si>
  <si>
    <t>一般</t>
    <phoneticPr fontId="99" type="noConversion"/>
  </si>
  <si>
    <t>24万</t>
    <phoneticPr fontId="99" type="noConversion"/>
  </si>
  <si>
    <t>20年</t>
    <phoneticPr fontId="99" type="noConversion"/>
  </si>
  <si>
    <t>房山区良乡宜春里</t>
    <phoneticPr fontId="2" type="noConversion"/>
  </si>
  <si>
    <t>8号楼</t>
    <phoneticPr fontId="2" type="noConversion"/>
  </si>
  <si>
    <t>②-502</t>
    <phoneticPr fontId="99" type="noConversion"/>
  </si>
  <si>
    <t>徐墨云</t>
    <phoneticPr fontId="2" type="noConversion"/>
  </si>
  <si>
    <t>四</t>
    <phoneticPr fontId="2" type="noConversion"/>
  </si>
  <si>
    <t>京房权证房私字第0802190号</t>
    <phoneticPr fontId="2" type="noConversion"/>
  </si>
  <si>
    <t>7号楼</t>
    <phoneticPr fontId="2" type="noConversion"/>
  </si>
  <si>
    <t>2-502</t>
    <phoneticPr fontId="2" type="noConversion"/>
  </si>
  <si>
    <t>一</t>
    <phoneticPr fontId="2" type="noConversion"/>
  </si>
  <si>
    <t>房山区良乡宜春里</t>
    <phoneticPr fontId="99" type="noConversion"/>
  </si>
  <si>
    <t>11号楼</t>
    <phoneticPr fontId="2" type="noConversion"/>
  </si>
  <si>
    <t>②-222</t>
    <phoneticPr fontId="99" type="noConversion"/>
  </si>
  <si>
    <t>白景生</t>
    <phoneticPr fontId="2" type="noConversion"/>
  </si>
  <si>
    <t>五</t>
    <phoneticPr fontId="2" type="noConversion"/>
  </si>
  <si>
    <t>偏西南、东北</t>
  </si>
  <si>
    <t>偏西南、东北</t>
    <phoneticPr fontId="225" type="noConversion"/>
  </si>
  <si>
    <t>居委会管理</t>
  </si>
  <si>
    <t>居委会管理</t>
    <phoneticPr fontId="225" type="noConversion"/>
  </si>
  <si>
    <t>2008-22-P-06276-U</t>
    <phoneticPr fontId="99" type="noConversion"/>
  </si>
  <si>
    <t>良乡宜春里</t>
    <phoneticPr fontId="99" type="noConversion"/>
  </si>
  <si>
    <t>甲5号楼1-2-121号</t>
    <phoneticPr fontId="99" type="noConversion"/>
  </si>
  <si>
    <t>清水墙</t>
    <phoneticPr fontId="99" type="noConversion"/>
  </si>
  <si>
    <t>外窗：钢窗；外门：防盗门</t>
    <phoneticPr fontId="99" type="noConversion"/>
  </si>
  <si>
    <t>涂料</t>
    <phoneticPr fontId="99" type="noConversion"/>
  </si>
  <si>
    <t>涂料</t>
    <phoneticPr fontId="99" type="noConversion"/>
  </si>
  <si>
    <t>涂料</t>
    <phoneticPr fontId="99" type="noConversion"/>
  </si>
  <si>
    <t>地砖</t>
    <phoneticPr fontId="99" type="noConversion"/>
  </si>
  <si>
    <t>洗菜池等</t>
    <phoneticPr fontId="99" type="noConversion"/>
  </si>
  <si>
    <t>消防井</t>
    <phoneticPr fontId="99" type="noConversion"/>
  </si>
  <si>
    <t>电表磁卡计费</t>
    <phoneticPr fontId="99" type="noConversion"/>
  </si>
  <si>
    <t>无</t>
    <phoneticPr fontId="99" type="noConversion"/>
  </si>
  <si>
    <t>居委会自管</t>
    <phoneticPr fontId="99" type="noConversion"/>
  </si>
  <si>
    <t>普通居住区</t>
    <phoneticPr fontId="153" type="noConversion"/>
  </si>
  <si>
    <t>市级、区级、小区级、街区级√</t>
    <phoneticPr fontId="99" type="noConversion"/>
  </si>
  <si>
    <t>城市主干道、城市次干道√、支路</t>
    <phoneticPr fontId="99" type="noConversion"/>
  </si>
  <si>
    <t>有917、616路等公交线路经过</t>
    <phoneticPr fontId="99" type="noConversion"/>
  </si>
  <si>
    <t>白景生</t>
    <phoneticPr fontId="99" type="noConversion"/>
  </si>
  <si>
    <t>一</t>
    <phoneticPr fontId="99" type="noConversion"/>
  </si>
  <si>
    <t>新增</t>
    <phoneticPr fontId="99" type="noConversion"/>
  </si>
  <si>
    <t>东西</t>
    <phoneticPr fontId="99" type="noConversion"/>
  </si>
  <si>
    <t>24万</t>
    <phoneticPr fontId="99" type="noConversion"/>
  </si>
  <si>
    <t>15年</t>
    <phoneticPr fontId="99" type="noConversion"/>
  </si>
  <si>
    <t>2008-22-P-06276-U</t>
    <phoneticPr fontId="99" type="noConversion"/>
  </si>
  <si>
    <t>房优字第09689号</t>
    <phoneticPr fontId="99" type="noConversion"/>
  </si>
  <si>
    <t>房山区良乡宜春里甲5号楼</t>
    <phoneticPr fontId="2" type="noConversion"/>
  </si>
  <si>
    <t xml:space="preserve">甲5 </t>
    <phoneticPr fontId="2" type="noConversion"/>
  </si>
  <si>
    <t>①-2-121号</t>
    <phoneticPr fontId="99" type="noConversion"/>
  </si>
  <si>
    <t>混合</t>
    <phoneticPr fontId="2" type="noConversion"/>
  </si>
  <si>
    <t>住宅</t>
    <phoneticPr fontId="2" type="noConversion"/>
  </si>
  <si>
    <t>白景生</t>
    <phoneticPr fontId="2" type="noConversion"/>
  </si>
  <si>
    <t>一</t>
    <phoneticPr fontId="2" type="noConversion"/>
  </si>
  <si>
    <t>5/6</t>
    <phoneticPr fontId="225" type="noConversion"/>
  </si>
  <si>
    <t>2/6</t>
    <phoneticPr fontId="225" type="noConversion"/>
  </si>
  <si>
    <t>六通</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</si>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</sst>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xf numFmtId="44" fontId="229" fillId="0" borderId="0" applyFont="0" applyFill="0" applyBorder="0" applyAlignment="0" applyProtection="0">
      <alignment vertical="center"/>
    </xf>
  </cellStyleXfs>
  <cellXfs count="396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0" fontId="169" fillId="4" borderId="7" xfId="0" applyFont="1" applyFill="1" applyBorder="1" applyAlignment="1" applyProtection="1">
      <alignment horizontal="left"/>
      <protection locked="0"/>
    </xf>
    <xf numFmtId="0" fontId="169" fillId="4" borderId="7" xfId="0" applyFont="1" applyFill="1" applyBorder="1" applyAlignment="1" applyProtection="1">
      <protection locked="0"/>
    </xf>
    <xf numFmtId="31" fontId="2" fillId="4" borderId="7" xfId="0" applyNumberFormat="1" applyFont="1" applyFill="1" applyBorder="1" applyAlignment="1" applyProtection="1">
      <protection locked="0"/>
    </xf>
    <xf numFmtId="0" fontId="18" fillId="4" borderId="13" xfId="0" applyFont="1" applyFill="1" applyBorder="1" applyAlignment="1" applyProtection="1">
      <alignment horizontal="center"/>
      <protection locked="0"/>
    </xf>
    <xf numFmtId="0" fontId="2" fillId="5" borderId="7" xfId="0" applyFont="1" applyFill="1" applyBorder="1" applyAlignment="1" applyProtection="1">
      <protection locked="0"/>
    </xf>
    <xf numFmtId="49" fontId="2" fillId="5" borderId="7" xfId="0" applyNumberFormat="1" applyFont="1" applyFill="1" applyBorder="1" applyAlignment="1" applyProtection="1">
      <protection locked="0"/>
    </xf>
    <xf numFmtId="189" fontId="2" fillId="5" borderId="7" xfId="0" applyNumberFormat="1" applyFont="1" applyFill="1" applyBorder="1" applyAlignment="1" applyProtection="1">
      <protection locked="0"/>
    </xf>
    <xf numFmtId="182" fontId="2" fillId="5" borderId="7" xfId="0" applyNumberFormat="1" applyFont="1" applyFill="1" applyBorder="1" applyAlignment="1" applyProtection="1">
      <protection locked="0"/>
    </xf>
    <xf numFmtId="31" fontId="2" fillId="5" borderId="7" xfId="0" applyNumberFormat="1" applyFont="1" applyFill="1" applyBorder="1" applyAlignment="1" applyProtection="1">
      <protection locked="0"/>
    </xf>
    <xf numFmtId="0" fontId="6" fillId="6"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0" fontId="6" fillId="0" borderId="7" xfId="0" applyFont="1" applyFill="1" applyBorder="1" applyAlignment="1" applyProtection="1">
      <alignment horizontal="center"/>
      <protection locked="0"/>
    </xf>
    <xf numFmtId="0" fontId="2" fillId="0" borderId="7" xfId="0" applyFont="1" applyFill="1" applyBorder="1" applyAlignment="1"/>
    <xf numFmtId="49" fontId="2" fillId="0" borderId="7" xfId="0" applyNumberFormat="1" applyFont="1" applyFill="1" applyBorder="1" applyAlignment="1"/>
    <xf numFmtId="0" fontId="2" fillId="0" borderId="7" xfId="0" applyFont="1" applyFill="1" applyBorder="1" applyAlignment="1">
      <alignment horizontal="left"/>
    </xf>
    <xf numFmtId="49" fontId="2" fillId="0" borderId="7" xfId="19" applyNumberFormat="1" applyFont="1" applyFill="1" applyBorder="1" applyAlignment="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186" fontId="2" fillId="0" borderId="7" xfId="0" applyNumberFormat="1" applyFont="1" applyFill="1" applyBorder="1" applyAlignment="1"/>
    <xf numFmtId="9" fontId="2" fillId="0" borderId="7" xfId="0" applyNumberFormat="1" applyFont="1" applyFill="1" applyBorder="1" applyAlignment="1"/>
    <xf numFmtId="2" fontId="2" fillId="0" borderId="7" xfId="0" applyNumberFormat="1" applyFont="1" applyFill="1" applyBorder="1" applyAlignment="1" applyProtection="1">
      <alignment horizontal="right"/>
    </xf>
    <xf numFmtId="186" fontId="2" fillId="0" borderId="7" xfId="0" applyNumberFormat="1" applyFont="1" applyFill="1" applyBorder="1" applyAlignment="1">
      <alignment horizontal="right"/>
    </xf>
    <xf numFmtId="0" fontId="2" fillId="0" borderId="7" xfId="0" applyFont="1" applyFill="1" applyBorder="1" applyAlignment="1" applyProtection="1"/>
    <xf numFmtId="0" fontId="2" fillId="0" borderId="7" xfId="0" applyFont="1" applyFill="1" applyBorder="1" applyAlignment="1">
      <alignment horizontal="center"/>
    </xf>
    <xf numFmtId="17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right"/>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2" fillId="0" borderId="7" xfId="0" applyNumberFormat="1" applyFont="1" applyFill="1" applyBorder="1" applyAlignment="1"/>
    <xf numFmtId="0" fontId="94" fillId="0" borderId="0" xfId="0" applyFont="1" applyFill="1" applyBorder="1" applyAlignment="1"/>
    <xf numFmtId="0" fontId="2" fillId="0" borderId="13" xfId="0" applyFont="1" applyFill="1" applyBorder="1" applyAlignment="1">
      <alignment horizontal="left"/>
    </xf>
    <xf numFmtId="0" fontId="2" fillId="0" borderId="15" xfId="0" applyFont="1" applyFill="1" applyBorder="1" applyAlignment="1"/>
    <xf numFmtId="0" fontId="2" fillId="0" borderId="15" xfId="0" applyFont="1" applyFill="1" applyBorder="1" applyAlignment="1">
      <alignment horizontal="left"/>
    </xf>
    <xf numFmtId="0" fontId="2" fillId="0" borderId="14" xfId="0" applyFont="1" applyFill="1" applyBorder="1" applyAlignment="1">
      <alignment horizontal="left"/>
    </xf>
    <xf numFmtId="0" fontId="2" fillId="0" borderId="0" xfId="0" applyFont="1" applyFill="1" applyBorder="1" applyAlignment="1">
      <alignment horizontal="left"/>
    </xf>
    <xf numFmtId="0" fontId="120" fillId="0" borderId="138"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7"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49" fontId="96" fillId="0" borderId="6" xfId="0" applyNumberFormat="1"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9" fillId="9" borderId="28" xfId="4" applyFont="1" applyFill="1" applyBorder="1" applyAlignment="1" applyProtection="1">
      <alignment horizontal="left" vertical="center" wrapText="1"/>
    </xf>
    <xf numFmtId="0" fontId="29" fillId="9" borderId="21"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4" fillId="0" borderId="0" xfId="4" applyFont="1" applyAlignment="1">
      <alignment horizontal="left" vertical="center"/>
    </xf>
    <xf numFmtId="0" fontId="20" fillId="0" borderId="0" xfId="4" applyFont="1" applyAlignment="1">
      <alignment horizontal="left" vertical="center"/>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4" fillId="0" borderId="0" xfId="4" applyFont="1" applyAlignment="1">
      <alignment horizontal="left" vertical="center"/>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8212;&#8212;&#23452;&#2614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2024-1-0031&#21271;&#20140;&#24066;&#28023;&#28096;&#21306;&#19977;&#20041;&#24217;&#21271;4&#21495;&#27004;3&#38376;15&#214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91529</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估价对象为北京市房地产，为所有。根据《国有土地使用证》[]，估价对象（分摊）出让国有建设用地使用权面积为0平方米，建筑面积为63.08平方米。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估价对象为北京市房地产,属开发建设的，该项目尚在开发建设中。根据《国有土地使用证》[]，估价对象（分摊）出让国有建设用地使用权面积为0平方米，规划建筑面积为63.08平方米。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2008年11月27日</v>
      </c>
    </row>
    <row r="13" spans="1:2" s="3534" customFormat="1">
      <c r="A13" s="3542" t="s">
        <v>13</v>
      </c>
      <c r="B13" s="3543" t="str">
        <f>'预评函-1'!A18</f>
        <v>本次估价的“房地产价值”是指在正常市场情况下，在价值时点2008年11月27日，估价对象规划用途为，土地取得方式为划拨，假定未设立法定优先受偿款下的房地产市场价值。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63.08</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61"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1"/>
      <c r="B54" s="3425" t="s">
        <v>330</v>
      </c>
      <c r="C54" s="3412" t="s">
        <v>331</v>
      </c>
    </row>
    <row r="55" spans="1:4">
      <c r="A55" s="3661"/>
      <c r="B55" s="3425" t="s">
        <v>332</v>
      </c>
      <c r="C55" s="3412" t="s">
        <v>333</v>
      </c>
    </row>
    <row r="56" spans="1:4">
      <c r="A56" s="3661"/>
      <c r="B56" s="3425" t="s">
        <v>334</v>
      </c>
      <c r="C56" s="3412" t="s">
        <v>335</v>
      </c>
    </row>
    <row r="57" spans="1:4">
      <c r="A57" s="3661"/>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62" t="s">
        <v>340</v>
      </c>
      <c r="J2" s="3662"/>
      <c r="K2" s="3662"/>
      <c r="L2" s="3662"/>
      <c r="M2" s="3662"/>
      <c r="N2" s="3662"/>
      <c r="O2" s="3662"/>
      <c r="P2" s="3662"/>
      <c r="Q2" s="3662"/>
      <c r="R2" s="3662"/>
    </row>
    <row r="3" spans="1:18">
      <c r="A3" s="560" t="s">
        <v>341</v>
      </c>
      <c r="B3" s="3367">
        <f>项目基本情况!D3</f>
        <v>39779</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18.07</v>
      </c>
      <c r="D5" s="3369">
        <f>IF(ISERROR(ROUND(POWER(1+E5,A5-C5)*(POWER(1+E5,C5)-1)/(POWER(1+E5,A5)-1),3)),0,ROUND(POWER(1+E5,A5-C5)*(POWER(1+E5,C5)-1)/(POWER(1+E5,A5)-1),4))</f>
        <v>0.64129999999999998</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28.07</v>
      </c>
      <c r="D6" s="3369">
        <f>IF(ISERROR(ROUND(POWER(1+E6,A6-C6)*(POWER(1+E6,C6)-1)/(POWER(1+E6,A6)-1),3)),0,ROUND(POWER(1+E6,A6-C6)*(POWER(1+E6,C6)-1)/(POWER(1+E6,A6)-1),4))</f>
        <v>0.77669999999999995</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48.09</v>
      </c>
      <c r="D7" s="3369">
        <f>IF(ISERROR(ROUND(POWER(1+E7,A7-C7)*(POWER(1+E7,C7)-1)/(POWER(1+E7,A7)-1),3)),0,ROUND(POWER(1+E7,A7-C7)*(POWER(1+E7,C7)-1)/(POWER(1+E7,A7)-1),4))</f>
        <v>0.90659999999999996</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76" t="str">
        <f>IF(B10="北京市","北京市",C10)&amp;F10&amp;IF(结果表!G1="在建","出让国有建设用地使用权及在建建筑物",IF(结果表!G1="土地","出让国有建设用地使用权",))&amp;B9&amp;"预评估"</f>
        <v>北京市房地产市场价值预评估</v>
      </c>
      <c r="C1" s="3677"/>
      <c r="D1" s="3677"/>
      <c r="E1" s="3677"/>
      <c r="F1" s="3677"/>
      <c r="G1" s="3677"/>
      <c r="H1" s="3677"/>
      <c r="I1" s="3678"/>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39779</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91" t="s">
        <v>435</v>
      </c>
      <c r="E8" s="3253" t="s">
        <v>332</v>
      </c>
      <c r="F8" s="3254"/>
      <c r="G8" s="3235"/>
      <c r="H8" s="3235"/>
      <c r="I8" s="3235"/>
      <c r="J8" s="2832"/>
      <c r="K8" s="3333"/>
      <c r="L8" s="3330"/>
      <c r="M8" s="3330"/>
      <c r="N8" s="2832"/>
      <c r="O8" s="3331"/>
      <c r="P8" s="2832"/>
      <c r="Q8" s="2832"/>
      <c r="R8" s="2832"/>
    </row>
    <row r="9" spans="1:30">
      <c r="A9" s="3255" t="s">
        <v>436</v>
      </c>
      <c r="B9" s="3256" t="s">
        <v>437</v>
      </c>
      <c r="C9" s="3257"/>
      <c r="D9" s="3692"/>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79"/>
      <c r="C16" s="3680"/>
      <c r="D16" s="3681"/>
      <c r="E16" s="3280" t="s">
        <v>456</v>
      </c>
      <c r="F16" s="3682"/>
      <c r="G16" s="3683"/>
      <c r="H16" s="3683"/>
      <c r="I16" s="3684"/>
      <c r="J16" s="2832"/>
      <c r="K16" s="3342"/>
      <c r="L16" s="3341"/>
      <c r="M16" s="3341"/>
      <c r="N16" s="2833"/>
      <c r="O16" s="3341"/>
      <c r="P16" s="2833"/>
      <c r="Q16" s="2832"/>
      <c r="R16" s="2832"/>
    </row>
    <row r="17" spans="1:28">
      <c r="A17" s="2116" t="s">
        <v>457</v>
      </c>
      <c r="B17" s="2105" t="s">
        <v>458</v>
      </c>
      <c r="C17" s="1081">
        <f>'数据-汇总表'!E3</f>
        <v>63.08</v>
      </c>
      <c r="D17" s="2159" t="s">
        <v>459</v>
      </c>
      <c r="E17" s="3685" t="s">
        <v>460</v>
      </c>
      <c r="F17" s="3686"/>
      <c r="G17" s="3686"/>
      <c r="H17" s="3686"/>
      <c r="I17" s="3687"/>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88" t="s">
        <v>463</v>
      </c>
      <c r="F18" s="3689"/>
      <c r="G18" s="3689"/>
      <c r="H18" s="3689"/>
      <c r="I18" s="3690"/>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65" t="s">
        <v>468</v>
      </c>
      <c r="C20" s="3666"/>
      <c r="D20" s="3667" t="s">
        <v>469</v>
      </c>
      <c r="E20" s="3668"/>
      <c r="F20" s="3289" t="s">
        <v>470</v>
      </c>
      <c r="G20" s="2953"/>
      <c r="H20" s="2953"/>
      <c r="I20" s="2953"/>
      <c r="J20" s="2832"/>
      <c r="K20" s="3663"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63"/>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63"/>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72"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72"/>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72"/>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73"/>
      <c r="B30" s="2105" t="s">
        <v>486</v>
      </c>
      <c r="C30" s="3669"/>
      <c r="D30" s="3670"/>
      <c r="E30" s="2953"/>
      <c r="F30" s="2953"/>
      <c r="G30" s="2953"/>
      <c r="H30" s="2953"/>
      <c r="I30" s="2953"/>
      <c r="J30" s="2832"/>
      <c r="K30" s="3332"/>
      <c r="L30" s="3330"/>
      <c r="M30" s="3330"/>
      <c r="N30" s="2832"/>
      <c r="O30" s="3331"/>
      <c r="P30" s="2832"/>
      <c r="Q30" s="2832"/>
      <c r="R30" s="2832"/>
      <c r="S30" s="2832"/>
      <c r="T30" s="2832"/>
      <c r="U30" s="2832"/>
      <c r="V30" s="2832"/>
    </row>
    <row r="31" spans="1:28">
      <c r="A31" s="3674"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75"/>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75"/>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64" t="s">
        <v>496</v>
      </c>
      <c r="T34" s="2146" t="str">
        <f>NUMBERSTRING(7-K34,1)&amp;"通"</f>
        <v>七通</v>
      </c>
      <c r="U34" s="2832"/>
      <c r="V34" s="2832"/>
    </row>
    <row r="35" spans="1:30">
      <c r="A35" s="3316"/>
      <c r="B35" s="3671" t="s">
        <v>497</v>
      </c>
      <c r="C35" s="3671"/>
      <c r="D35" s="3671"/>
      <c r="E35" s="3671"/>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64"/>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63.08</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63.08</v>
      </c>
      <c r="H5" s="3145">
        <f t="shared" ref="H5:AT5" si="0">SUM(H13:H656)</f>
        <v>63.08</v>
      </c>
      <c r="I5" s="3145">
        <f t="shared" si="0"/>
        <v>63.08</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63.08</v>
      </c>
      <c r="BA5" s="3205">
        <f t="shared" si="1"/>
        <v>63.08</v>
      </c>
      <c r="BB5" s="3205">
        <f t="shared" si="1"/>
        <v>63.08</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63.08</v>
      </c>
      <c r="H13" s="3148">
        <f>SUMIF(I$12:AB$12,"总值",I13:AB13)</f>
        <v>63.08</v>
      </c>
      <c r="I13" s="3176">
        <v>63.08</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63.08</v>
      </c>
      <c r="BA13" s="3145">
        <f>SUM(BB13:BK13)</f>
        <v>63.08</v>
      </c>
      <c r="BB13" s="3145">
        <f>IF($D13="是",I13-J13,0)</f>
        <v>63.08</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702" t="s">
        <v>559</v>
      </c>
      <c r="B2" s="3702"/>
      <c r="C2" s="3702"/>
      <c r="D2" s="2393" t="s">
        <v>560</v>
      </c>
      <c r="E2" s="3047" t="s">
        <v>561</v>
      </c>
      <c r="F2" s="3048"/>
      <c r="G2" s="3049"/>
      <c r="H2" s="3050"/>
      <c r="I2" s="2700" t="s">
        <v>562</v>
      </c>
      <c r="J2" s="3048"/>
      <c r="K2" s="3048"/>
      <c r="L2" s="3048"/>
      <c r="M2" s="3048"/>
      <c r="N2" s="1485"/>
      <c r="O2" s="3048"/>
      <c r="P2" s="3048"/>
    </row>
    <row r="3" spans="1:16" ht="15">
      <c r="A3" s="3703" t="s">
        <v>563</v>
      </c>
      <c r="B3" s="3703"/>
      <c r="C3" s="3703"/>
      <c r="D3" s="3051">
        <f>'数据-基础表'!AY6</f>
        <v>0</v>
      </c>
      <c r="E3" s="3051">
        <f>'数据-基础表'!AZ5</f>
        <v>63.08</v>
      </c>
      <c r="F3" s="3048"/>
      <c r="G3" s="3052"/>
      <c r="H3" s="2503" t="s">
        <v>564</v>
      </c>
      <c r="I3" s="3111" t="e">
        <f>ROUND('数据-基础表'!B3/'数据-基础表'!A3,2)</f>
        <v>#DIV/0!</v>
      </c>
      <c r="J3" s="3048"/>
      <c r="K3" s="3048"/>
      <c r="L3" s="3048"/>
      <c r="M3" s="3048"/>
      <c r="N3" s="1485"/>
      <c r="O3" s="3048"/>
      <c r="P3" s="3048"/>
    </row>
    <row r="4" spans="1:16" ht="15">
      <c r="A4" s="3704"/>
      <c r="B4" s="3705"/>
      <c r="C4" s="3706"/>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707" t="s">
        <v>568</v>
      </c>
      <c r="C5" s="3707"/>
      <c r="D5" s="3057">
        <f>ROUND($D$3*E5/$E$3,2)</f>
        <v>0</v>
      </c>
      <c r="E5" s="3058">
        <f>SUMIF('数据-基础表'!$11:$11,"住宅",'数据-基础表'!$5:$5)</f>
        <v>63.08</v>
      </c>
      <c r="F5" s="3048"/>
      <c r="G5" s="3052"/>
      <c r="H5" s="2503" t="s">
        <v>564</v>
      </c>
      <c r="I5" s="3111" t="e">
        <f>ROUND(E31/D31,2)</f>
        <v>#DIV/0!</v>
      </c>
      <c r="J5" s="3048"/>
      <c r="K5" s="3048"/>
      <c r="L5" s="3048"/>
      <c r="M5" s="3048"/>
      <c r="N5" s="3048"/>
      <c r="O5" s="3048"/>
      <c r="P5" s="3048"/>
    </row>
    <row r="6" spans="1:16">
      <c r="A6" s="3059"/>
      <c r="B6" s="3707" t="s">
        <v>569</v>
      </c>
      <c r="C6" s="3707"/>
      <c r="D6" s="3057">
        <f>ROUND($D$3*E6/$E$3,2)</f>
        <v>0</v>
      </c>
      <c r="E6" s="3058">
        <f>E3-E5</f>
        <v>0</v>
      </c>
      <c r="F6" s="3048"/>
      <c r="G6" s="3060" t="s">
        <v>570</v>
      </c>
      <c r="H6" s="3061" t="s">
        <v>566</v>
      </c>
      <c r="I6" s="3112" t="e">
        <f>ROUND(F31/D31,2)</f>
        <v>#DIV/0!</v>
      </c>
      <c r="J6" s="3048"/>
      <c r="K6" s="3048"/>
      <c r="L6" s="3048"/>
      <c r="M6" s="3048"/>
      <c r="N6" s="3048"/>
      <c r="O6" s="3048"/>
      <c r="P6" s="3048"/>
    </row>
    <row r="7" spans="1:16" ht="15">
      <c r="A7" s="3693"/>
      <c r="B7" s="3694"/>
      <c r="C7" s="3695"/>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63.08</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63.08</v>
      </c>
      <c r="F16" s="3048"/>
      <c r="G16" s="3067"/>
      <c r="H16" s="3072" t="s">
        <v>584</v>
      </c>
      <c r="I16" s="3114"/>
      <c r="J16" s="2551"/>
      <c r="K16" s="3696" t="s">
        <v>584</v>
      </c>
      <c r="L16" s="3697"/>
      <c r="M16" s="3697"/>
      <c r="N16" s="3697"/>
      <c r="O16" s="3697"/>
      <c r="P16" s="3698"/>
    </row>
    <row r="17" spans="1:19" ht="15">
      <c r="A17" s="3007" t="s">
        <v>585</v>
      </c>
      <c r="B17" s="3073" t="s">
        <v>586</v>
      </c>
      <c r="C17" s="3006" t="s">
        <v>587</v>
      </c>
      <c r="D17" s="3074" t="s">
        <v>560</v>
      </c>
      <c r="E17" s="3075" t="s">
        <v>561</v>
      </c>
      <c r="F17" s="3076"/>
      <c r="G17" s="3077"/>
      <c r="H17" s="3078" t="s">
        <v>588</v>
      </c>
      <c r="I17" s="3115" t="s">
        <v>589</v>
      </c>
      <c r="J17" s="2551"/>
      <c r="K17" s="3699" t="s">
        <v>590</v>
      </c>
      <c r="L17" s="3700"/>
      <c r="M17" s="3701"/>
      <c r="N17" s="3699" t="s">
        <v>591</v>
      </c>
      <c r="O17" s="3700"/>
      <c r="P17" s="3701"/>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63.08</v>
      </c>
      <c r="F19" s="3088">
        <f>'数据-基础表'!G13</f>
        <v>63.08</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63.08</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63.08</v>
      </c>
      <c r="F27" s="3095">
        <f>IF(SUM(F19:F26)=E8,SUM(F19:F26),"地上面积有误")</f>
        <v>63.08</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63.08</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63.08</v>
      </c>
      <c r="F31" s="3106">
        <f>F27+F30</f>
        <v>63.08</v>
      </c>
      <c r="G31" s="3107">
        <f>G27+G30</f>
        <v>0</v>
      </c>
      <c r="H31" s="3048"/>
      <c r="I31" s="3048"/>
      <c r="J31" s="3048"/>
      <c r="K31" s="3048"/>
      <c r="L31" s="3048"/>
      <c r="M31" s="3048"/>
      <c r="N31" s="3048"/>
      <c r="O31" s="3048"/>
      <c r="P31" s="3048"/>
    </row>
    <row r="32" spans="1:19">
      <c r="A32" s="3108"/>
      <c r="B32" s="3108" t="s">
        <v>606</v>
      </c>
      <c r="C32" s="3108"/>
      <c r="D32" s="3108"/>
      <c r="E32" s="3109">
        <f>SUMIF(C19:C26,"*住宅*",E19:E26)</f>
        <v>63.08</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39779</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63.08</v>
      </c>
      <c r="L6" s="2965">
        <v>1400</v>
      </c>
      <c r="M6" s="2966">
        <f t="shared" ref="M6:M14" si="0">ROUND(K6*L6/10000,0)</f>
        <v>9</v>
      </c>
      <c r="N6" s="2967">
        <v>0.75</v>
      </c>
      <c r="O6" s="2966" t="str">
        <f>IF($N$5="成新度","——",ROUND(M6*N6,0))</f>
        <v>——</v>
      </c>
      <c r="P6" s="2968" t="str">
        <f>IF($N$5="成新度","——",M6-O6)</f>
        <v>——</v>
      </c>
      <c r="Q6" s="2984">
        <v>0.12</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88312</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63.08</v>
      </c>
      <c r="L16" s="2975">
        <f>ROUND(M16*10000/SUM(K6:K14),0)</f>
        <v>1427</v>
      </c>
      <c r="M16" s="2975">
        <f>SUM(M6:M14)</f>
        <v>9</v>
      </c>
      <c r="N16" s="2976">
        <f>ROUND(SUMPRODUCT(M6:M14,N6:N14)/M16,3)</f>
        <v>0.75</v>
      </c>
      <c r="O16" s="2975">
        <f>SUM(O6:O14)</f>
        <v>0</v>
      </c>
      <c r="P16" s="2975">
        <f>SUM(P6:P14)</f>
        <v>0</v>
      </c>
      <c r="Q16" s="2999">
        <f>ROUND(SUMPRODUCT(Q6:Q13,K6:K13)/SUMPRODUCT((Q6:Q13&gt;0)*(K6:K13)),2)</f>
        <v>0.12</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2008</v>
      </c>
      <c r="O25" s="2376">
        <f>N25</f>
        <v>2008</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1993</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15</v>
      </c>
      <c r="O27" s="2376">
        <f>O25-O26</f>
        <v>28</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45</v>
      </c>
      <c r="O29" s="2376">
        <f>O28-O27</f>
        <v>32</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0.75</v>
      </c>
      <c r="O30" s="2376">
        <f>O29/O28</f>
        <v>0.53333333333333333</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120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6.3E-2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708" t="s">
        <v>715</v>
      </c>
      <c r="B1" s="3709"/>
      <c r="C1" s="3709"/>
      <c r="D1" s="3709"/>
      <c r="E1" s="3709"/>
      <c r="F1" s="3709"/>
      <c r="G1" s="3709"/>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63.08</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39779</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31.3003</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63.08</v>
      </c>
      <c r="C14" s="2770"/>
      <c r="D14" s="2770">
        <f ca="1">ROUND(E14*B14/10000,4)</f>
        <v>31.3003</v>
      </c>
      <c r="E14" s="2770">
        <f ca="1">结果表!G20</f>
        <v>4962</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C17" sqref="C17"/>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784" t="str">
        <f>项目基本情况!S2</f>
        <v>北京市房地产</v>
      </c>
      <c r="B2" s="3785"/>
      <c r="C2" s="3785"/>
      <c r="D2" s="3785"/>
      <c r="E2" s="3785"/>
      <c r="F2" s="3785"/>
      <c r="G2" s="3785"/>
      <c r="H2" s="3785"/>
      <c r="I2" s="3786"/>
    </row>
    <row r="3" spans="1:12" ht="12.75">
      <c r="A3" s="3787" t="s">
        <v>773</v>
      </c>
      <c r="B3" s="3788"/>
      <c r="C3" s="3788"/>
      <c r="D3" s="3788"/>
      <c r="E3" s="3788"/>
      <c r="F3" s="3788"/>
      <c r="G3" s="3788"/>
      <c r="H3" s="3788"/>
      <c r="I3" s="3788"/>
    </row>
    <row r="4" spans="1:12" ht="14.25">
      <c r="A4" s="2483" t="s">
        <v>774</v>
      </c>
      <c r="B4" s="2484" t="s">
        <v>775</v>
      </c>
      <c r="C4" s="2485" t="s">
        <v>776</v>
      </c>
      <c r="D4" s="2485" t="s">
        <v>240</v>
      </c>
      <c r="E4" s="3789" t="s">
        <v>777</v>
      </c>
      <c r="F4" s="3790"/>
      <c r="G4" s="3790"/>
      <c r="H4" s="3790"/>
      <c r="I4" s="3791"/>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711" t="s">
        <v>778</v>
      </c>
      <c r="B5" s="3719">
        <v>25</v>
      </c>
      <c r="C5" s="3801"/>
      <c r="D5" s="3722"/>
      <c r="E5" s="2145" t="s">
        <v>779</v>
      </c>
      <c r="F5" s="2490"/>
      <c r="G5" s="2490"/>
      <c r="H5" s="2490"/>
      <c r="I5" s="2359"/>
    </row>
    <row r="6" spans="1:12" ht="12.75">
      <c r="A6" s="3711"/>
      <c r="B6" s="3719"/>
      <c r="C6" s="3802"/>
      <c r="D6" s="3722"/>
      <c r="E6" s="2145" t="s">
        <v>780</v>
      </c>
      <c r="F6" s="2490"/>
      <c r="G6" s="2490"/>
      <c r="H6" s="2490"/>
      <c r="I6" s="2359"/>
    </row>
    <row r="7" spans="1:12" ht="12.75">
      <c r="A7" s="3711"/>
      <c r="B7" s="3719"/>
      <c r="C7" s="3803"/>
      <c r="D7" s="3722"/>
      <c r="E7" s="2145" t="s">
        <v>781</v>
      </c>
      <c r="F7" s="2490"/>
      <c r="G7" s="2490"/>
      <c r="H7" s="2490"/>
      <c r="I7" s="2359"/>
    </row>
    <row r="8" spans="1:12" ht="12.75">
      <c r="A8" s="3711" t="s">
        <v>782</v>
      </c>
      <c r="B8" s="3719">
        <v>15</v>
      </c>
      <c r="C8" s="3801"/>
      <c r="D8" s="3722"/>
      <c r="E8" s="2145" t="s">
        <v>783</v>
      </c>
      <c r="F8" s="2490"/>
      <c r="G8" s="2490"/>
      <c r="H8" s="2490"/>
      <c r="I8" s="2359"/>
    </row>
    <row r="9" spans="1:12" ht="12.75">
      <c r="A9" s="3711"/>
      <c r="B9" s="3719"/>
      <c r="C9" s="3803"/>
      <c r="D9" s="3722"/>
      <c r="E9" s="2145" t="s">
        <v>784</v>
      </c>
      <c r="F9" s="2490"/>
      <c r="G9" s="2490"/>
      <c r="H9" s="2490"/>
      <c r="I9" s="2359"/>
    </row>
    <row r="10" spans="1:12" ht="12.75">
      <c r="A10" s="3711" t="s">
        <v>785</v>
      </c>
      <c r="B10" s="3719">
        <v>15</v>
      </c>
      <c r="C10" s="3801"/>
      <c r="D10" s="3722"/>
      <c r="E10" s="2145" t="s">
        <v>786</v>
      </c>
      <c r="F10" s="2490"/>
      <c r="G10" s="2490"/>
      <c r="H10" s="2490"/>
      <c r="I10" s="2359"/>
    </row>
    <row r="11" spans="1:12" ht="12.75">
      <c r="A11" s="3711"/>
      <c r="B11" s="3719"/>
      <c r="C11" s="3803"/>
      <c r="D11" s="3722"/>
      <c r="E11" s="2145" t="s">
        <v>787</v>
      </c>
      <c r="F11" s="2490"/>
      <c r="G11" s="2490"/>
      <c r="H11" s="2490"/>
      <c r="I11" s="2359"/>
    </row>
    <row r="12" spans="1:12" ht="12.75">
      <c r="A12" s="3711" t="s">
        <v>788</v>
      </c>
      <c r="B12" s="3719">
        <v>15</v>
      </c>
      <c r="C12" s="3801"/>
      <c r="D12" s="3722"/>
      <c r="E12" s="2145" t="s">
        <v>789</v>
      </c>
      <c r="F12" s="2490"/>
      <c r="G12" s="2490"/>
      <c r="H12" s="2490"/>
      <c r="I12" s="2359"/>
    </row>
    <row r="13" spans="1:12" ht="12.75">
      <c r="A13" s="3711"/>
      <c r="B13" s="3719"/>
      <c r="C13" s="3803"/>
      <c r="D13" s="3722"/>
      <c r="E13" s="2145" t="s">
        <v>790</v>
      </c>
      <c r="F13" s="2490"/>
      <c r="G13" s="2490"/>
      <c r="H13" s="2490"/>
      <c r="I13" s="2359"/>
    </row>
    <row r="14" spans="1:12" ht="12.75">
      <c r="A14" s="3711" t="s">
        <v>791</v>
      </c>
      <c r="B14" s="3719">
        <v>30</v>
      </c>
      <c r="C14" s="3801">
        <v>7</v>
      </c>
      <c r="D14" s="3722">
        <f>10-C14</f>
        <v>3</v>
      </c>
      <c r="E14" s="2145" t="s">
        <v>792</v>
      </c>
      <c r="F14" s="2490"/>
      <c r="G14" s="2490"/>
      <c r="H14" s="2490"/>
      <c r="I14" s="2359"/>
    </row>
    <row r="15" spans="1:12" ht="12.75">
      <c r="A15" s="3711"/>
      <c r="B15" s="3719"/>
      <c r="C15" s="3802"/>
      <c r="D15" s="3722"/>
      <c r="E15" s="2145" t="s">
        <v>793</v>
      </c>
      <c r="F15" s="2490"/>
      <c r="G15" s="2490"/>
      <c r="H15" s="2490"/>
      <c r="I15" s="2359"/>
    </row>
    <row r="16" spans="1:12" ht="12.75">
      <c r="A16" s="3711"/>
      <c r="B16" s="3719"/>
      <c r="C16" s="3803"/>
      <c r="D16" s="3722"/>
      <c r="E16" s="2145" t="s">
        <v>794</v>
      </c>
      <c r="F16" s="2490"/>
      <c r="G16" s="2490"/>
      <c r="H16" s="2490"/>
      <c r="I16" s="2359"/>
    </row>
    <row r="17" spans="1:36" ht="15">
      <c r="A17" s="2491" t="s">
        <v>795</v>
      </c>
      <c r="B17" s="2492"/>
      <c r="C17" s="2493">
        <f>SUM(C5:C16)</f>
        <v>7</v>
      </c>
      <c r="D17" s="2493">
        <f>SUM(D5:D16)</f>
        <v>3</v>
      </c>
      <c r="E17" s="1067"/>
      <c r="F17" s="1067"/>
      <c r="G17" s="1067"/>
      <c r="H17" s="1067"/>
      <c r="I17" s="1067"/>
      <c r="K17" s="2105"/>
      <c r="L17" s="2105" t="s">
        <v>796</v>
      </c>
      <c r="M17" s="2105" t="s">
        <v>797</v>
      </c>
    </row>
    <row r="18" spans="1:36" ht="31.9" customHeight="1">
      <c r="A18" s="2494" t="s">
        <v>798</v>
      </c>
      <c r="B18" s="2495"/>
      <c r="C18" s="2496">
        <f>ROUND(C17/SUM(C17:D17),2)</f>
        <v>0.7</v>
      </c>
      <c r="D18" s="2496">
        <f>1-C18</f>
        <v>0.30000000000000004</v>
      </c>
      <c r="E18" s="3792" t="s">
        <v>799</v>
      </c>
      <c r="F18" s="3793"/>
      <c r="G18" s="3793"/>
      <c r="H18" s="3793"/>
      <c r="I18" s="3793"/>
      <c r="K18" s="2105" t="s">
        <v>458</v>
      </c>
      <c r="L18" s="2105">
        <f>IF(C1="",'数据-汇总表'!E3,SUMIF(项目类型,C1,'数据-汇总表'!E17:E26)+SUMIF(项目类型,C1,'数据-汇总表'!I17:I26))</f>
        <v>63.08</v>
      </c>
      <c r="M18" s="2105">
        <f>IF(C1="",'数据-汇总表'!E3,SUMIF(项目类型,C1,'数据-汇总表'!E17:E26))</f>
        <v>63.08</v>
      </c>
    </row>
    <row r="19" spans="1:36" ht="15">
      <c r="A19" s="2497" t="s">
        <v>800</v>
      </c>
      <c r="B19" s="2498" t="s">
        <v>801</v>
      </c>
      <c r="C19" s="2499">
        <f ca="1">SUMIF(INDIRECT("'"&amp;C4&amp;"'"&amp;"!A:A"),结果表!B19,INDIRECT("'"&amp;C4&amp;"'"&amp;"!B:B"))</f>
        <v>34.523699999999998</v>
      </c>
      <c r="D19" s="1507">
        <f ca="1">SUMIF(INDIRECT("'"&amp;D4&amp;"'"&amp;"!A:A"),结果表!B19,INDIRECT("'"&amp;D4&amp;"'"&amp;"!B:B"))</f>
        <v>23.789899999999999</v>
      </c>
      <c r="E19" s="2497" t="s">
        <v>802</v>
      </c>
      <c r="F19" s="2498" t="s">
        <v>801</v>
      </c>
      <c r="G19" s="2500">
        <f ca="1">ROUND(C19*$C$18+D19*$D$18,0)</f>
        <v>31</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5473</v>
      </c>
      <c r="D20" s="1842">
        <f ca="1">SUMIF(INDIRECT("'"&amp;D4&amp;"'"&amp;"!A:A"),结果表!B20,INDIRECT("'"&amp;D4&amp;"'"&amp;"!B:B"))</f>
        <v>3771</v>
      </c>
      <c r="E20" s="2502"/>
      <c r="F20" s="2503" t="s">
        <v>804</v>
      </c>
      <c r="G20" s="2504">
        <f ca="1">ROUND(C20*$C$18+D20*$D$18,0)</f>
        <v>4962</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0.45119147201123155</v>
      </c>
      <c r="E22" s="1067"/>
      <c r="F22" s="1067"/>
      <c r="G22" s="1067"/>
      <c r="H22" s="1067"/>
      <c r="I22" s="1067"/>
    </row>
    <row r="23" spans="1:36" ht="12.75">
      <c r="A23" s="2478"/>
      <c r="B23" s="2478"/>
      <c r="C23" s="2478"/>
      <c r="D23" s="2478"/>
      <c r="E23" s="1067"/>
      <c r="F23" s="1067"/>
      <c r="G23" s="1067"/>
      <c r="H23" s="1067"/>
      <c r="I23" s="1067"/>
    </row>
    <row r="24" spans="1:36" ht="14.25">
      <c r="A24" s="3712" t="s">
        <v>808</v>
      </c>
      <c r="B24" s="2498" t="s">
        <v>801</v>
      </c>
      <c r="C24" s="2500">
        <f>IF(B30=0,0,D30)</f>
        <v>0</v>
      </c>
      <c r="D24" s="2514"/>
      <c r="E24" s="1067"/>
      <c r="F24" s="1067"/>
      <c r="G24" s="1067"/>
      <c r="H24" s="1067"/>
      <c r="I24" s="1067"/>
    </row>
    <row r="25" spans="1:36" ht="14.25">
      <c r="A25" s="3713"/>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4962</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714" t="s">
        <v>823</v>
      </c>
      <c r="B36" s="2544" t="s">
        <v>824</v>
      </c>
      <c r="C36" s="2545"/>
      <c r="D36" s="2546"/>
      <c r="E36" s="2547"/>
      <c r="F36" s="2548"/>
      <c r="G36" s="1067"/>
      <c r="H36" s="1067"/>
      <c r="I36" s="1067"/>
    </row>
    <row r="37" spans="1:15" ht="15">
      <c r="A37" s="3715"/>
      <c r="B37" s="2549" t="s">
        <v>825</v>
      </c>
      <c r="C37" s="2550"/>
      <c r="D37" s="2551"/>
      <c r="E37" s="2551"/>
      <c r="F37" s="2548"/>
      <c r="G37" s="1067"/>
      <c r="H37" s="1067"/>
      <c r="I37" s="1067"/>
    </row>
    <row r="38" spans="1:15" ht="15">
      <c r="A38" s="3716"/>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794" t="s">
        <v>834</v>
      </c>
      <c r="B45" s="3795"/>
      <c r="C45" s="3796"/>
      <c r="D45" s="2104" t="e">
        <f ca="1">ROUND(H101*F45,0)</f>
        <v>#REF!</v>
      </c>
      <c r="E45" s="2570" t="s">
        <v>835</v>
      </c>
      <c r="F45" s="2571">
        <v>1</v>
      </c>
      <c r="G45" s="2572" t="s">
        <v>836</v>
      </c>
      <c r="H45" s="1067"/>
      <c r="I45" s="1067"/>
      <c r="J45" s="3783" t="s">
        <v>837</v>
      </c>
      <c r="K45" s="3783"/>
      <c r="L45" s="3783"/>
      <c r="M45" s="3783"/>
      <c r="N45" s="3783"/>
      <c r="O45" s="3783"/>
    </row>
    <row r="46" spans="1:15" ht="14.25" customHeight="1">
      <c r="A46" s="3797" t="s">
        <v>838</v>
      </c>
      <c r="B46" s="3798"/>
      <c r="C46" s="3798"/>
      <c r="D46" s="3798"/>
      <c r="E46" s="3798"/>
      <c r="F46" s="3798"/>
      <c r="G46" s="3799"/>
      <c r="H46" s="2573"/>
      <c r="I46" s="1068"/>
      <c r="J46" s="693">
        <v>1</v>
      </c>
      <c r="K46" s="3776" t="s">
        <v>839</v>
      </c>
      <c r="L46" s="3776"/>
      <c r="M46" s="3800"/>
      <c r="N46" s="3800"/>
      <c r="O46" s="3800"/>
    </row>
    <row r="47" spans="1:15" ht="12" customHeight="1">
      <c r="A47" s="2574" t="s">
        <v>840</v>
      </c>
      <c r="B47" s="2575"/>
      <c r="C47" s="2576"/>
      <c r="D47" s="2155" t="s">
        <v>841</v>
      </c>
      <c r="E47" s="2105" t="s">
        <v>842</v>
      </c>
      <c r="F47" s="2577" t="s">
        <v>843</v>
      </c>
      <c r="G47" s="2578" t="s">
        <v>844</v>
      </c>
      <c r="H47" s="2579"/>
      <c r="I47" s="1068"/>
      <c r="J47" s="693">
        <v>2</v>
      </c>
      <c r="K47" s="3776" t="s">
        <v>845</v>
      </c>
      <c r="L47" s="3776"/>
      <c r="M47" s="3780">
        <f>'数据-取费表'!B2</f>
        <v>39779</v>
      </c>
      <c r="N47" s="3780"/>
      <c r="O47" s="3780"/>
    </row>
    <row r="48" spans="1:15" ht="25.5">
      <c r="A48" s="3781" t="s">
        <v>846</v>
      </c>
      <c r="B48" s="3764"/>
      <c r="C48" s="3764"/>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776" t="s">
        <v>848</v>
      </c>
      <c r="L48" s="3776"/>
      <c r="M48" s="3782" t="e">
        <f ca="1">H101</f>
        <v>#REF!</v>
      </c>
      <c r="N48" s="3782"/>
      <c r="O48" s="3782"/>
    </row>
    <row r="49" spans="1:35" ht="25.5" customHeight="1">
      <c r="A49" s="2580" t="s">
        <v>849</v>
      </c>
      <c r="B49" s="3749" t="s">
        <v>850</v>
      </c>
      <c r="C49" s="3749"/>
      <c r="D49" s="2584">
        <v>0</v>
      </c>
      <c r="E49" s="2165" t="s">
        <v>851</v>
      </c>
      <c r="F49" s="2585" t="s">
        <v>124</v>
      </c>
      <c r="G49" s="3777"/>
      <c r="H49" s="2586" t="s">
        <v>852</v>
      </c>
      <c r="I49" s="2623"/>
      <c r="J49" s="693">
        <v>4</v>
      </c>
      <c r="K49" s="3776" t="str">
        <f>IF(项目基本情况!E8="房地产抵押价值","房地产抵押价值","抵押担保权已注销时的房地产抵押价值")</f>
        <v>抵押担保权已注销时的房地产抵押价值</v>
      </c>
      <c r="L49" s="3776"/>
      <c r="M49" s="3782" t="str">
        <f ca="1">IF(项目基本情况!E8="房地产抵押价值",H107,H109)</f>
        <v>——</v>
      </c>
      <c r="N49" s="3782"/>
      <c r="O49" s="3782"/>
    </row>
    <row r="50" spans="1:35" ht="25.5" customHeight="1">
      <c r="A50" s="2587"/>
      <c r="B50" s="3749" t="s">
        <v>853</v>
      </c>
      <c r="C50" s="3749"/>
      <c r="D50" s="2588"/>
      <c r="E50" s="2180"/>
      <c r="F50" s="2585"/>
      <c r="G50" s="3778"/>
      <c r="H50" s="2589" t="s">
        <v>854</v>
      </c>
      <c r="I50" s="2623"/>
      <c r="J50" s="3783" t="s">
        <v>855</v>
      </c>
      <c r="K50" s="3783"/>
      <c r="L50" s="3783"/>
      <c r="M50" s="3783"/>
      <c r="N50" s="3783"/>
      <c r="O50" s="3783"/>
    </row>
    <row r="51" spans="1:35" ht="20.45" customHeight="1">
      <c r="A51" s="2590"/>
      <c r="B51" s="3749" t="s">
        <v>856</v>
      </c>
      <c r="C51" s="3749"/>
      <c r="D51" s="2155"/>
      <c r="E51" s="2169"/>
      <c r="F51" s="2585"/>
      <c r="G51" s="3779"/>
      <c r="H51" s="2589" t="s">
        <v>857</v>
      </c>
      <c r="I51" s="2623"/>
      <c r="J51" s="2622" t="s">
        <v>858</v>
      </c>
      <c r="K51" s="3776" t="s">
        <v>859</v>
      </c>
      <c r="L51" s="3776"/>
      <c r="M51" s="2622" t="s">
        <v>860</v>
      </c>
      <c r="N51" s="2622" t="s">
        <v>861</v>
      </c>
      <c r="O51" s="2622" t="s">
        <v>862</v>
      </c>
    </row>
    <row r="52" spans="1:35" ht="24" customHeight="1">
      <c r="A52" s="2591" t="s">
        <v>863</v>
      </c>
      <c r="B52" s="3749" t="s">
        <v>864</v>
      </c>
      <c r="C52" s="3749"/>
      <c r="D52" s="2155" t="e">
        <f ca="1">ROUND(D45*'数据-取费表'!B41/(1+'数据-取费表'!C42),0)</f>
        <v>#REF!</v>
      </c>
      <c r="E52" s="2159" t="s">
        <v>865</v>
      </c>
      <c r="F52" s="2592">
        <f>'数据-取费表'!B41</f>
        <v>5.5000000000000007E-2</v>
      </c>
      <c r="G52" s="2593"/>
      <c r="H52" s="2274"/>
      <c r="I52" s="2624"/>
      <c r="J52" s="693">
        <v>1</v>
      </c>
      <c r="K52" s="3772" t="s">
        <v>866</v>
      </c>
      <c r="L52" s="3772"/>
      <c r="M52" s="2625" t="b">
        <f>D48</f>
        <v>0</v>
      </c>
      <c r="N52" s="693" t="str">
        <f>E48</f>
        <v>销售额×税（费）率</v>
      </c>
      <c r="O52" s="2626">
        <f>F48</f>
        <v>5.5000000000000007E-2</v>
      </c>
    </row>
    <row r="53" spans="1:35" ht="12" customHeight="1">
      <c r="A53" s="2591" t="s">
        <v>867</v>
      </c>
      <c r="B53" s="3748" t="s">
        <v>868</v>
      </c>
      <c r="C53" s="3768"/>
      <c r="D53" s="2155" t="e">
        <f ca="1">ROUND(D45*'数据-取费表'!B41/(1+'数据-取费表'!C42),0)</f>
        <v>#REF!</v>
      </c>
      <c r="E53" s="2159" t="s">
        <v>865</v>
      </c>
      <c r="F53" s="2592">
        <f>'数据-取费表'!B41</f>
        <v>5.5000000000000007E-2</v>
      </c>
      <c r="G53" s="2593"/>
      <c r="H53" s="2274"/>
      <c r="I53" s="2624"/>
      <c r="J53" s="693">
        <v>2</v>
      </c>
      <c r="K53" s="3772" t="s">
        <v>869</v>
      </c>
      <c r="L53" s="3772"/>
      <c r="M53" s="2625" t="e">
        <f t="shared" ref="M53:O54" ca="1" si="0">D55</f>
        <v>#REF!</v>
      </c>
      <c r="N53" s="693" t="str">
        <f t="shared" si="0"/>
        <v>销售额×税（费）率</v>
      </c>
      <c r="O53" s="2626" t="str">
        <f t="shared" si="0"/>
        <v>免征</v>
      </c>
    </row>
    <row r="54" spans="1:35" ht="12" customHeight="1">
      <c r="A54" s="2591" t="s">
        <v>870</v>
      </c>
      <c r="B54" s="3748" t="s">
        <v>871</v>
      </c>
      <c r="C54" s="3768"/>
      <c r="D54" s="2155" t="e">
        <f ca="1">C68</f>
        <v>#REF!</v>
      </c>
      <c r="E54" s="2169" t="s">
        <v>872</v>
      </c>
      <c r="F54" s="2592">
        <f>'数据-取费表'!B41</f>
        <v>5.5000000000000007E-2</v>
      </c>
      <c r="G54" s="2593"/>
      <c r="H54" s="2594"/>
      <c r="I54" s="2624"/>
      <c r="J54" s="693">
        <v>3</v>
      </c>
      <c r="K54" s="3772" t="s">
        <v>873</v>
      </c>
      <c r="L54" s="3772"/>
      <c r="M54" s="2625" t="e">
        <f t="shared" ca="1" si="0"/>
        <v>#REF!</v>
      </c>
      <c r="N54" s="693" t="str">
        <f t="shared" si="0"/>
        <v>增值额×税（费）率</v>
      </c>
      <c r="O54" s="2627" t="str">
        <f t="shared" si="0"/>
        <v>免征</v>
      </c>
    </row>
    <row r="55" spans="1:35" ht="24" customHeight="1">
      <c r="A55" s="3763" t="s">
        <v>874</v>
      </c>
      <c r="B55" s="3764"/>
      <c r="C55" s="3764"/>
      <c r="D55" s="2259" t="e">
        <f ca="1">IF(H55="个人住宅",0,ROUND(D45*I55,0))</f>
        <v>#REF!</v>
      </c>
      <c r="E55" s="2159" t="s">
        <v>875</v>
      </c>
      <c r="F55" s="2592" t="str">
        <f>IF(H55="正常",I55,"免征")</f>
        <v>免征</v>
      </c>
      <c r="G55" s="2593"/>
      <c r="H55" s="2583"/>
      <c r="I55" s="2628">
        <f>'数据-取费表'!B49</f>
        <v>5.0000000000000001E-4</v>
      </c>
      <c r="J55" s="693">
        <f>IF(H59="非个人房产","",4)</f>
        <v>4</v>
      </c>
      <c r="K55" s="3772" t="str">
        <f>IF(H59="非个人房产","——","个人所得税")</f>
        <v>个人所得税</v>
      </c>
      <c r="L55" s="3772"/>
      <c r="M55" s="2629" t="e">
        <f ca="1">D59</f>
        <v>#REF!</v>
      </c>
      <c r="N55" s="674" t="str">
        <f>E59</f>
        <v>差额计税</v>
      </c>
      <c r="O55" s="2630">
        <f>F59</f>
        <v>0.01</v>
      </c>
    </row>
    <row r="56" spans="1:35" ht="24.75">
      <c r="A56" s="3763" t="s">
        <v>876</v>
      </c>
      <c r="B56" s="3764"/>
      <c r="C56" s="3764"/>
      <c r="D56" s="2259" t="e">
        <f ca="1">IF(H56="个人住宅",D57,D58)</f>
        <v>#REF!</v>
      </c>
      <c r="E56" s="2159" t="s">
        <v>877</v>
      </c>
      <c r="F56" s="2592" t="str">
        <f>IF(H56="正常",F58,"免征")</f>
        <v>免征</v>
      </c>
      <c r="G56" s="2595" t="s">
        <v>878</v>
      </c>
      <c r="H56" s="2596"/>
      <c r="I56" s="2605"/>
      <c r="J56" s="693" t="str">
        <f>IF(项目基本情况!K6="上海银行",IF(J55="",4,J55+1),"")</f>
        <v/>
      </c>
      <c r="K56" s="3765" t="str">
        <f>IF(项目基本情况!K6="上海银行","其他处置费用","")</f>
        <v/>
      </c>
      <c r="L56" s="3766"/>
      <c r="M56" s="2625" t="str">
        <f>IF(项目基本情况!K6="上海银行",M69,"")</f>
        <v/>
      </c>
      <c r="N56" s="3765" t="str">
        <f>IF(项目基本情况!K6="上海银行","包含处置中涉及的律师、诉讼、拍卖、评估等费用","")</f>
        <v/>
      </c>
      <c r="O56" s="3767"/>
    </row>
    <row r="57" spans="1:35" ht="12.75">
      <c r="A57" s="2591" t="s">
        <v>849</v>
      </c>
      <c r="B57" s="3748" t="s">
        <v>879</v>
      </c>
      <c r="C57" s="3768"/>
      <c r="D57" s="2584">
        <v>0</v>
      </c>
      <c r="E57" s="2165" t="s">
        <v>851</v>
      </c>
      <c r="F57" s="2105"/>
      <c r="G57" s="2593"/>
      <c r="H57" s="2597"/>
      <c r="I57" s="2605"/>
      <c r="J57" s="3772">
        <f>IF(AND(J55="",J56=""),4,IF(项目基本情况!K6="上海银行",结果表!J56+1,结果表!J55+1))</f>
        <v>5</v>
      </c>
      <c r="K57" s="3772" t="s">
        <v>880</v>
      </c>
      <c r="L57" s="2631" t="s">
        <v>881</v>
      </c>
      <c r="M57" s="2632"/>
      <c r="N57" s="2633">
        <f ca="1">SUMIF(M52:M56,"&lt;9e307")</f>
        <v>0</v>
      </c>
      <c r="O57" s="2634"/>
      <c r="P57" s="2635" t="e">
        <f ca="1">N57/M49</f>
        <v>#VALUE!</v>
      </c>
    </row>
    <row r="58" spans="1:35" ht="24.75">
      <c r="A58" s="2591" t="s">
        <v>863</v>
      </c>
      <c r="B58" s="3748" t="s">
        <v>882</v>
      </c>
      <c r="C58" s="3749"/>
      <c r="D58" s="2259" t="e">
        <f ca="1">IF(H58="转让取得",C81,C97)</f>
        <v>#REF!</v>
      </c>
      <c r="E58" s="2159" t="s">
        <v>877</v>
      </c>
      <c r="F58" s="2105" t="s">
        <v>124</v>
      </c>
      <c r="G58" s="2593"/>
      <c r="H58" s="2596"/>
      <c r="I58" s="2605"/>
      <c r="J58" s="3772"/>
      <c r="K58" s="3772"/>
      <c r="L58" s="2631" t="s">
        <v>883</v>
      </c>
      <c r="M58" s="2636"/>
      <c r="N58" s="2637" t="str">
        <f ca="1">NUMBERSTRING(INT(N57*10000),2)&amp;"元整"</f>
        <v>零元整</v>
      </c>
      <c r="O58" s="2638"/>
    </row>
    <row r="59" spans="1:35" ht="24">
      <c r="A59" s="3769" t="s">
        <v>884</v>
      </c>
      <c r="B59" s="3770"/>
      <c r="C59" s="3770"/>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73">
        <f>J57+1</f>
        <v>6</v>
      </c>
      <c r="K59" s="3772" t="s">
        <v>886</v>
      </c>
      <c r="L59" s="693" t="s">
        <v>881</v>
      </c>
      <c r="M59" s="2640"/>
      <c r="N59" s="2641" t="e">
        <f ca="1">M49-N57</f>
        <v>#VALUE!</v>
      </c>
      <c r="O59" s="2642"/>
    </row>
    <row r="60" spans="1:35" ht="12" customHeight="1">
      <c r="A60" s="2603"/>
      <c r="B60" s="2478"/>
      <c r="C60" s="2478"/>
      <c r="D60" s="2478"/>
      <c r="E60" s="2604"/>
      <c r="F60" s="2605"/>
      <c r="G60" s="2605"/>
      <c r="H60" s="2606"/>
      <c r="I60" s="1067"/>
      <c r="J60" s="3774"/>
      <c r="K60" s="3772"/>
      <c r="L60" s="2631" t="s">
        <v>883</v>
      </c>
      <c r="M60" s="2636"/>
      <c r="N60" s="2637" t="e">
        <f ca="1">NUMBERSTRING(INT(N59*10000),2)&amp;"元整"</f>
        <v>#VALUE!</v>
      </c>
      <c r="O60" s="2638"/>
    </row>
    <row r="61" spans="1:35" ht="12.75">
      <c r="A61" s="3771" t="s">
        <v>887</v>
      </c>
      <c r="B61" s="3771"/>
      <c r="C61" s="3771"/>
      <c r="D61" s="3771"/>
      <c r="E61" s="3771"/>
      <c r="F61" s="2605"/>
      <c r="G61" s="2605"/>
      <c r="H61" s="2606"/>
      <c r="I61" s="1067"/>
      <c r="J61" s="693">
        <f>J59+1</f>
        <v>7</v>
      </c>
      <c r="K61" s="3772" t="s">
        <v>888</v>
      </c>
      <c r="L61" s="3772"/>
      <c r="M61" s="2643"/>
      <c r="N61" s="2644" t="e">
        <f ca="1">ROUND(N59*10000/'数据-汇总表'!E3,0)</f>
        <v>#VALUE!</v>
      </c>
      <c r="O61" s="2645"/>
    </row>
    <row r="62" spans="1:35" ht="12.75">
      <c r="A62" s="3746" t="s">
        <v>889</v>
      </c>
      <c r="B62" s="3747"/>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75"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75"/>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75"/>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75"/>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75"/>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75"/>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75"/>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44" t="s">
        <v>914</v>
      </c>
      <c r="B70" s="3745"/>
      <c r="C70" s="3745"/>
      <c r="D70" s="3745"/>
      <c r="E70" s="3745"/>
      <c r="F70" s="3745"/>
      <c r="G70" s="3745"/>
      <c r="H70" s="3745"/>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46" t="s">
        <v>889</v>
      </c>
      <c r="B71" s="3747"/>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748" t="s">
        <v>924</v>
      </c>
      <c r="F76" s="3749"/>
      <c r="G76" s="3749"/>
      <c r="H76" s="3750"/>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26" t="s">
        <v>929</v>
      </c>
      <c r="F78" s="3727"/>
      <c r="G78" s="3727"/>
      <c r="H78" s="3728"/>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44" t="s">
        <v>934</v>
      </c>
      <c r="B83" s="3745"/>
      <c r="C83" s="3745"/>
      <c r="D83" s="3745"/>
      <c r="E83" s="3745"/>
      <c r="F83" s="3745"/>
      <c r="G83" s="3745"/>
      <c r="H83" s="3745"/>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46" t="s">
        <v>889</v>
      </c>
      <c r="B84" s="3747"/>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61" t="s">
        <v>942</v>
      </c>
      <c r="H90" s="3762"/>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26" t="s">
        <v>946</v>
      </c>
      <c r="F91" s="3727"/>
      <c r="G91" s="3727"/>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26" t="s">
        <v>949</v>
      </c>
      <c r="F92" s="3727"/>
      <c r="G92" s="3727"/>
      <c r="H92" s="3728"/>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26" t="s">
        <v>929</v>
      </c>
      <c r="F93" s="3727"/>
      <c r="G93" s="3727"/>
      <c r="H93" s="3728"/>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729" t="s">
        <v>954</v>
      </c>
      <c r="F94" s="3730"/>
      <c r="G94" s="3730"/>
      <c r="H94" s="3731"/>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704" t="s">
        <v>956</v>
      </c>
      <c r="B100" s="3705"/>
      <c r="C100" s="3705"/>
      <c r="D100" s="3732"/>
      <c r="E100" s="3705" t="s">
        <v>957</v>
      </c>
      <c r="F100" s="3705"/>
      <c r="G100" s="3705"/>
      <c r="H100" s="3732"/>
      <c r="I100" s="1067"/>
    </row>
    <row r="101" spans="1:35" ht="18.75" customHeight="1">
      <c r="A101" s="3733" t="s">
        <v>958</v>
      </c>
      <c r="B101" s="3734"/>
      <c r="C101" s="2701" t="str">
        <f>C4</f>
        <v>比较法-住宅</v>
      </c>
      <c r="D101" s="2702" t="str">
        <f>D4</f>
        <v>成本法 (元)</v>
      </c>
      <c r="E101" s="3757" t="s">
        <v>959</v>
      </c>
      <c r="F101" s="3752"/>
      <c r="G101" s="2704" t="s">
        <v>960</v>
      </c>
      <c r="H101" s="2705" t="e">
        <f ca="1">H118</f>
        <v>#REF!</v>
      </c>
      <c r="I101" s="1067"/>
    </row>
    <row r="102" spans="1:35" ht="18.75" customHeight="1">
      <c r="A102" s="3717" t="s">
        <v>961</v>
      </c>
      <c r="B102" s="2706" t="s">
        <v>960</v>
      </c>
      <c r="C102" s="2701">
        <f ca="1">IF(D32="楼面单价",ROUND(C19,0),C19)</f>
        <v>34.523699999999998</v>
      </c>
      <c r="D102" s="2702">
        <f ca="1">IF(D32="楼面单价",ROUND(D19,0),D19)</f>
        <v>23.789899999999999</v>
      </c>
      <c r="E102" s="3757"/>
      <c r="F102" s="3752"/>
      <c r="G102" s="2704" t="s">
        <v>99</v>
      </c>
      <c r="H102" s="2593" t="e">
        <f ca="1">I118</f>
        <v>#REF!</v>
      </c>
      <c r="I102" s="1067"/>
    </row>
    <row r="103" spans="1:35" ht="42.75" customHeight="1">
      <c r="A103" s="3717"/>
      <c r="B103" s="2706" t="s">
        <v>99</v>
      </c>
      <c r="C103" s="2707">
        <f ca="1">C20</f>
        <v>5473</v>
      </c>
      <c r="D103" s="2708">
        <f ca="1">D20</f>
        <v>3771</v>
      </c>
      <c r="E103" s="3735" t="s">
        <v>962</v>
      </c>
      <c r="F103" s="3736"/>
      <c r="G103" s="2709" t="s">
        <v>102</v>
      </c>
      <c r="H103" s="2705">
        <f>IF(D36="正常操作",H104+H105+H106,H105+H106)</f>
        <v>0</v>
      </c>
      <c r="I103" s="1067"/>
    </row>
    <row r="104" spans="1:35" ht="18.75" customHeight="1">
      <c r="A104" s="3717"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18"/>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51" t="str">
        <f>IF(项目基本情况!E8="已注销","——","3.房地产抵押价值")</f>
        <v>——</v>
      </c>
      <c r="F107" s="3752"/>
      <c r="G107" s="2704" t="s">
        <v>960</v>
      </c>
      <c r="H107" s="2705" t="str">
        <f>IF(E107="——","——",H101-H103)</f>
        <v>——</v>
      </c>
      <c r="I107" s="1067"/>
    </row>
    <row r="108" spans="1:35" ht="18.75" customHeight="1">
      <c r="A108" s="1067"/>
      <c r="B108" s="1067"/>
      <c r="C108" s="1067"/>
      <c r="D108" s="1067"/>
      <c r="E108" s="3751"/>
      <c r="F108" s="3752"/>
      <c r="G108" s="2704" t="s">
        <v>99</v>
      </c>
      <c r="H108" s="2593">
        <f ca="1">IF(H107=H101,H102,ROUND(H107*10000/'数据-汇总表'!E3,0))</f>
        <v>0</v>
      </c>
      <c r="I108" s="1067"/>
    </row>
    <row r="109" spans="1:35" ht="18.75" customHeight="1">
      <c r="A109" s="1067"/>
      <c r="B109" s="1067"/>
      <c r="C109" s="1067"/>
      <c r="D109" s="1067"/>
      <c r="E109" s="3751" t="str">
        <f>IF(项目基本情况!E8="已注销及未注销","4.抵押担保权已注销时的房地产抵押价值",IF(项目基本情况!E8="已注销","3.抵押担保权已注销时的房地产抵押价值","——"))</f>
        <v>3.抵押担保权已注销时的房地产抵押价值</v>
      </c>
      <c r="F109" s="3752"/>
      <c r="G109" s="2704" t="s">
        <v>960</v>
      </c>
      <c r="H109" s="2720" t="str">
        <f ca="1">IF(E109="——","——",H101-H105-H106)</f>
        <v>——</v>
      </c>
      <c r="I109" s="1067"/>
    </row>
    <row r="110" spans="1:35" ht="18.75" customHeight="1">
      <c r="A110" s="1067"/>
      <c r="B110" s="1067"/>
      <c r="C110" s="1067"/>
      <c r="D110" s="1067"/>
      <c r="E110" s="3751"/>
      <c r="F110" s="3752"/>
      <c r="G110" s="2704" t="s">
        <v>99</v>
      </c>
      <c r="H110" s="2593" t="str">
        <f ca="1">IF(H109="——","——",ROUND(H109*10000/'数据-汇总表'!E3,0))</f>
        <v>——</v>
      </c>
      <c r="I110" s="1067"/>
    </row>
    <row r="111" spans="1:35" ht="18.75" customHeight="1">
      <c r="A111" s="1067"/>
      <c r="B111" s="1067"/>
      <c r="C111" s="1067"/>
      <c r="D111" s="1067"/>
      <c r="E111" s="3753" t="str">
        <f>IF(项目基本情况!E9="抵押净值",IF(OR(项目基本情况!E8="已注销",项目基本情况!E8="房地产抵押价值"),"4.抵押净值","5.抵押净值"),"——")</f>
        <v>——</v>
      </c>
      <c r="F111" s="3754"/>
      <c r="G111" s="2704" t="s">
        <v>960</v>
      </c>
      <c r="H111" s="2705" t="str">
        <f>IF(E111="——","——",N59)</f>
        <v>——</v>
      </c>
      <c r="I111" s="1067"/>
    </row>
    <row r="112" spans="1:35" ht="18.75" customHeight="1">
      <c r="A112" s="1067"/>
      <c r="B112" s="1067"/>
      <c r="C112" s="1067"/>
      <c r="D112" s="1067"/>
      <c r="E112" s="3755"/>
      <c r="F112" s="3756"/>
      <c r="G112" s="2721" t="s">
        <v>99</v>
      </c>
      <c r="H112" s="2722" t="str">
        <f>IF(E111="——","——",N61)</f>
        <v>——</v>
      </c>
      <c r="I112" s="1067"/>
    </row>
    <row r="113" spans="1:27" ht="18.75" customHeight="1">
      <c r="A113" s="1067"/>
      <c r="B113" s="1067"/>
      <c r="C113" s="1067"/>
      <c r="D113" s="1067"/>
      <c r="E113" s="3737" t="s">
        <v>966</v>
      </c>
      <c r="F113" s="3737"/>
      <c r="G113" s="3737"/>
      <c r="H113" s="3737"/>
      <c r="I113" s="1067"/>
    </row>
    <row r="114" spans="1:27" ht="3.75" customHeight="1">
      <c r="A114" s="2478"/>
      <c r="B114" s="2478"/>
      <c r="C114" s="2478"/>
      <c r="D114" s="2478"/>
      <c r="E114" s="2603"/>
      <c r="F114" s="2603"/>
      <c r="G114" s="2603"/>
      <c r="H114" s="2603"/>
      <c r="I114" s="2478"/>
    </row>
    <row r="115" spans="1:27" ht="18.75" customHeight="1">
      <c r="A115" s="3738" t="s">
        <v>968</v>
      </c>
      <c r="B115" s="3739"/>
      <c r="C115" s="3739"/>
      <c r="D115" s="3739"/>
      <c r="E115" s="3739"/>
      <c r="F115" s="3739"/>
      <c r="G115" s="3739"/>
      <c r="H115" s="3739"/>
      <c r="I115" s="3740"/>
    </row>
    <row r="116" spans="1:27" ht="27" customHeight="1">
      <c r="A116" s="3711" t="s">
        <v>969</v>
      </c>
      <c r="B116" s="3720" t="s">
        <v>970</v>
      </c>
      <c r="C116" s="3720" t="s">
        <v>971</v>
      </c>
      <c r="D116" s="3741" t="s">
        <v>972</v>
      </c>
      <c r="E116" s="3742"/>
      <c r="F116" s="3743" t="s">
        <v>973</v>
      </c>
      <c r="G116" s="3743"/>
      <c r="H116" s="3711" t="s">
        <v>974</v>
      </c>
      <c r="I116" s="3711"/>
    </row>
    <row r="117" spans="1:27" ht="18.75" customHeight="1">
      <c r="A117" s="3711"/>
      <c r="B117" s="3721"/>
      <c r="C117" s="3721"/>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63.08</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711" t="s">
        <v>976</v>
      </c>
      <c r="B119" s="3711"/>
      <c r="C119" s="3711"/>
      <c r="D119" s="3723" t="e">
        <f ca="1">NUMBERSTRING(INT(D118*10000),2)&amp;"元整"</f>
        <v>#REF!</v>
      </c>
      <c r="E119" s="3725"/>
      <c r="F119" s="3723" t="e">
        <f ca="1">NUMBERSTRING(INT(F118*10000),2)&amp;"元整"</f>
        <v>#REF!</v>
      </c>
      <c r="G119" s="3725"/>
      <c r="H119" s="3723" t="e">
        <f ca="1">NUMBERSTRING(INT(H118*10000),2)&amp;"元整"</f>
        <v>#REF!</v>
      </c>
      <c r="I119" s="3725"/>
    </row>
    <row r="120" spans="1:27" ht="18.75" customHeight="1">
      <c r="A120" s="3758" t="str">
        <f>IF(项目基本情况!B9="房地产市场价值","",MID(E103,3,LEN(E103)-2))</f>
        <v/>
      </c>
      <c r="B120" s="3759"/>
      <c r="C120" s="3760"/>
      <c r="D120" s="3758">
        <f>H103</f>
        <v>0</v>
      </c>
      <c r="E120" s="3759"/>
      <c r="F120" s="3759"/>
      <c r="G120" s="3759"/>
      <c r="H120" s="3759"/>
      <c r="I120" s="3760"/>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23" t="s">
        <v>976</v>
      </c>
      <c r="B121" s="3724"/>
      <c r="C121" s="3725"/>
      <c r="D121" s="3723" t="str">
        <f>IF(D120=0,"零元整",NUMBERSTRING(INT(D120*10000),2)&amp;"元整")</f>
        <v>零元整</v>
      </c>
      <c r="E121" s="3724"/>
      <c r="F121" s="3724"/>
      <c r="G121" s="3724"/>
      <c r="H121" s="3724"/>
      <c r="I121" s="3725"/>
      <c r="AA121" s="1025"/>
    </row>
    <row r="122" spans="1:27" ht="18.75" customHeight="1">
      <c r="A122" s="3754" t="str">
        <f>IF(项目基本情况!B9="房地产市场价值","",MID(E107,3,LEN(E107)-2))</f>
        <v/>
      </c>
      <c r="B122" s="3754"/>
      <c r="C122" s="3754"/>
      <c r="D122" s="3758" t="str">
        <f>H107</f>
        <v>——</v>
      </c>
      <c r="E122" s="3759"/>
      <c r="F122" s="3759"/>
      <c r="G122" s="3759"/>
      <c r="H122" s="3759"/>
      <c r="I122" s="3760"/>
      <c r="AA122" s="1025"/>
    </row>
    <row r="123" spans="1:27" ht="18.75" customHeight="1">
      <c r="A123" s="3711" t="s">
        <v>976</v>
      </c>
      <c r="B123" s="3711"/>
      <c r="C123" s="3711"/>
      <c r="D123" s="3723" t="e">
        <f>NUMBERSTRING(INT(D122*10000),2)&amp;"元整"</f>
        <v>#VALUE!</v>
      </c>
      <c r="E123" s="3724"/>
      <c r="F123" s="3724"/>
      <c r="G123" s="3724"/>
      <c r="H123" s="3724"/>
      <c r="I123" s="3725"/>
      <c r="AA123" s="1025"/>
    </row>
    <row r="124" spans="1:27" ht="18.75" customHeight="1">
      <c r="A124" s="3754" t="str">
        <f>IF(项目基本情况!B9="房地产市场价值","",MID(E109,3,LEN(E109)-2))</f>
        <v/>
      </c>
      <c r="B124" s="3754"/>
      <c r="C124" s="3754"/>
      <c r="D124" s="3758" t="str">
        <f ca="1">H109</f>
        <v>——</v>
      </c>
      <c r="E124" s="3759"/>
      <c r="F124" s="3759"/>
      <c r="G124" s="3759"/>
      <c r="H124" s="3759"/>
      <c r="I124" s="3760"/>
      <c r="AA124" s="1025"/>
    </row>
    <row r="125" spans="1:27" ht="18.75" customHeight="1">
      <c r="A125" s="3711" t="s">
        <v>976</v>
      </c>
      <c r="B125" s="3711"/>
      <c r="C125" s="3711"/>
      <c r="D125" s="3723" t="e">
        <f ca="1">NUMBERSTRING(INT(D124*10000),2)&amp;"元整"</f>
        <v>#VALUE!</v>
      </c>
      <c r="E125" s="3724"/>
      <c r="F125" s="3724"/>
      <c r="G125" s="3724"/>
      <c r="H125" s="3724"/>
      <c r="I125" s="3725"/>
      <c r="AA125" s="1025"/>
    </row>
    <row r="126" spans="1:27" ht="18.75" customHeight="1">
      <c r="A126" s="3754" t="str">
        <f>IF(项目基本情况!B9="房地产市场价值","",MID(E111,3,LEN(E111)-2))</f>
        <v/>
      </c>
      <c r="B126" s="3754"/>
      <c r="C126" s="3754"/>
      <c r="D126" s="3758" t="str">
        <f>H111</f>
        <v>——</v>
      </c>
      <c r="E126" s="3759"/>
      <c r="F126" s="3759"/>
      <c r="G126" s="3759"/>
      <c r="H126" s="3759"/>
      <c r="I126" s="3760"/>
      <c r="AA126" s="1025"/>
    </row>
    <row r="127" spans="1:27" ht="18.75" customHeight="1">
      <c r="A127" s="3711" t="s">
        <v>976</v>
      </c>
      <c r="B127" s="3711"/>
      <c r="C127" s="3711"/>
      <c r="D127" s="3723" t="e">
        <f>NUMBERSTRING(INT(D126*10000),2)&amp;"元整"</f>
        <v>#VALUE!</v>
      </c>
      <c r="E127" s="3724"/>
      <c r="F127" s="3724"/>
      <c r="G127" s="3724"/>
      <c r="H127" s="3724"/>
      <c r="I127" s="3725"/>
      <c r="AA127" s="1025"/>
    </row>
    <row r="128" spans="1:27" ht="21.75" customHeight="1">
      <c r="A128" s="3710" t="s">
        <v>113</v>
      </c>
      <c r="B128" s="3710"/>
      <c r="C128" s="3710"/>
      <c r="D128" s="3710"/>
      <c r="E128" s="3710"/>
      <c r="F128" s="3710"/>
      <c r="G128" s="3710"/>
      <c r="H128" s="3710"/>
      <c r="I128" s="3710"/>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11</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1744</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63.08</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63.08</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10</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9</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63.08</v>
      </c>
      <c r="E37" s="510">
        <f>'数据-取费表'!B35</f>
        <v>120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804" t="s">
        <v>1064</v>
      </c>
    </row>
    <row r="43" spans="1:7" ht="13.5" customHeight="1">
      <c r="A43" s="497" t="s">
        <v>996</v>
      </c>
      <c r="B43" s="467" t="s">
        <v>1034</v>
      </c>
      <c r="C43" s="499">
        <f ca="1">ROUND(IF('数据-取费表'!B22&lt;=1,C39*F22*'数据-取费表'!B21/2,C39*(POWER((1+F22),'数据-取费表'!B21/2)-1)),0)</f>
        <v>0</v>
      </c>
      <c r="D43" s="499"/>
      <c r="E43" s="499"/>
      <c r="F43" s="500"/>
      <c r="G43" s="3805"/>
    </row>
    <row r="44" spans="1:7" ht="13.5" customHeight="1">
      <c r="A44" s="497" t="s">
        <v>998</v>
      </c>
      <c r="B44" s="467" t="s">
        <v>1036</v>
      </c>
      <c r="C44" s="499">
        <f>ROUND(IF('数据-取费表'!B22&lt;=1,C40*F22*'数据-取费表'!B21/2,C40*(POWER((1+F22),'数据-取费表'!B21/2)-1)),4)</f>
        <v>5.9999999999999995E-4</v>
      </c>
      <c r="D44" s="499"/>
      <c r="E44" s="499"/>
      <c r="F44" s="500"/>
      <c r="G44" s="3806"/>
    </row>
    <row r="45" spans="1:7" s="443" customFormat="1" ht="13.5" customHeight="1">
      <c r="A45" s="461" t="s">
        <v>1030</v>
      </c>
      <c r="B45" s="505" t="s">
        <v>1041</v>
      </c>
      <c r="C45" s="506">
        <f ca="1">C46</f>
        <v>1</v>
      </c>
      <c r="D45" s="492">
        <f ca="1">C47</f>
        <v>1.1999999999999999E-3</v>
      </c>
      <c r="E45" s="493" t="s">
        <v>1062</v>
      </c>
      <c r="F45" s="507">
        <f ca="1">F27</f>
        <v>0.12</v>
      </c>
      <c r="G45" s="508" t="s">
        <v>1065</v>
      </c>
    </row>
    <row r="46" spans="1:7" s="443" customFormat="1" ht="13.5" customHeight="1">
      <c r="A46" s="497" t="s">
        <v>994</v>
      </c>
      <c r="B46" s="509" t="s">
        <v>1066</v>
      </c>
      <c r="C46" s="510">
        <f ca="1">ROUND((C33+C39)*F27,0)</f>
        <v>1</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13</v>
      </c>
      <c r="D49" s="489"/>
      <c r="E49" s="489"/>
      <c r="F49" s="524"/>
      <c r="G49" s="494" t="s">
        <v>1070</v>
      </c>
    </row>
    <row r="50" spans="1:7" s="445" customFormat="1" ht="24">
      <c r="A50" s="461" t="s">
        <v>1071</v>
      </c>
      <c r="B50" s="462" t="s">
        <v>1072</v>
      </c>
      <c r="C50" s="489"/>
      <c r="D50" s="489"/>
      <c r="E50" s="489"/>
      <c r="F50" s="524">
        <f>IF('数据-取费表'!B24=0,'数据-取费表'!N16,1)</f>
        <v>0.75</v>
      </c>
      <c r="G50" s="508" t="s">
        <v>1073</v>
      </c>
    </row>
    <row r="51" spans="1:7" ht="16.5" customHeight="1">
      <c r="A51" s="461" t="s">
        <v>1074</v>
      </c>
      <c r="B51" s="462" t="s">
        <v>1075</v>
      </c>
      <c r="C51" s="489">
        <f ca="1">ROUND(C49*F50,0)</f>
        <v>10</v>
      </c>
      <c r="D51" s="489"/>
      <c r="E51" s="489"/>
      <c r="F51" s="524"/>
      <c r="G51" s="494" t="s">
        <v>1076</v>
      </c>
    </row>
    <row r="52" spans="1:7" s="442" customFormat="1" ht="15.75">
      <c r="A52" s="525" t="s">
        <v>1077</v>
      </c>
      <c r="B52" s="526"/>
      <c r="C52" s="527">
        <f ca="1">C31+C51</f>
        <v>11</v>
      </c>
      <c r="D52" s="526"/>
      <c r="E52" s="526"/>
      <c r="F52" s="526"/>
      <c r="G52" s="528"/>
    </row>
    <row r="55" spans="1:7" ht="15">
      <c r="B55" s="529" t="s">
        <v>1078</v>
      </c>
      <c r="C55" s="530"/>
    </row>
    <row r="56" spans="1:7">
      <c r="B56" s="531" t="s">
        <v>1079</v>
      </c>
      <c r="C56" s="533">
        <f ca="1">1-C57</f>
        <v>9.099999999999997E-2</v>
      </c>
    </row>
    <row r="57" spans="1:7">
      <c r="B57" s="531" t="s">
        <v>1080</v>
      </c>
      <c r="C57" s="532">
        <f ca="1">ROUND(C51/C52,3)</f>
        <v>0.90900000000000003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21" t="str">
        <f>项目基本情况!B1</f>
        <v>北京市房地产市场价值预评估</v>
      </c>
      <c r="C37" s="3621"/>
      <c r="D37" s="3621"/>
      <c r="E37" s="3621"/>
      <c r="F37" s="3621"/>
      <c r="G37" s="3621"/>
      <c r="H37" s="3621"/>
      <c r="I37" s="3621"/>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5" zoomScaleNormal="70" zoomScaleSheetLayoutView="85" workbookViewId="0">
      <selection activeCell="I44" sqref="I44"/>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23.789899999999999</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3771</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94321</v>
      </c>
      <c r="D5" s="463" t="s">
        <v>992</v>
      </c>
      <c r="E5" s="464" t="s">
        <v>993</v>
      </c>
      <c r="F5" s="464" t="s">
        <v>890</v>
      </c>
      <c r="G5" s="465"/>
    </row>
    <row r="6" spans="1:8" s="443" customFormat="1" ht="13.5" customHeight="1">
      <c r="A6" s="466" t="s">
        <v>994</v>
      </c>
      <c r="B6" s="467" t="s">
        <v>995</v>
      </c>
      <c r="C6" s="468">
        <f>'[2]2002基准地价'!$E$18</f>
        <v>91529</v>
      </c>
      <c r="D6" s="469"/>
      <c r="E6" s="470"/>
      <c r="F6" s="470"/>
      <c r="G6" s="471"/>
    </row>
    <row r="7" spans="1:8" s="443" customFormat="1" ht="13.5" customHeight="1">
      <c r="A7" s="466" t="s">
        <v>996</v>
      </c>
      <c r="B7" s="467" t="s">
        <v>997</v>
      </c>
      <c r="C7" s="472">
        <f>ROUND(C6*F7,0)</f>
        <v>2792</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10093</v>
      </c>
      <c r="D9" s="479">
        <f ca="1">IF(B1="",'数据-汇总表'!E5,IF(INDIRECT("'数据-取费表'!c"&amp;$G$1)="住宅",INDIRECT("'数据-取费表'!k"&amp;$G$1),0))</f>
        <v>63.08</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7570</v>
      </c>
      <c r="D19" s="487">
        <f ca="1">D9+D10</f>
        <v>63.08</v>
      </c>
      <c r="E19" s="463">
        <f>'数据-取费表'!B31</f>
        <v>120</v>
      </c>
      <c r="F19" s="488"/>
      <c r="G19" s="2465" t="s">
        <v>1083</v>
      </c>
    </row>
    <row r="20" spans="1:7" s="443" customFormat="1" ht="13.5" customHeight="1">
      <c r="A20" s="461" t="s">
        <v>1023</v>
      </c>
      <c r="B20" s="462" t="s">
        <v>1024</v>
      </c>
      <c r="C20" s="489">
        <f ca="1">ROUND((C5+C19)*F20,0)</f>
        <v>1019</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13307</v>
      </c>
      <c r="D22" s="492">
        <f>C26</f>
        <v>5.9999999999999995E-4</v>
      </c>
      <c r="E22" s="493" t="s">
        <v>1028</v>
      </c>
      <c r="F22" s="496">
        <f>'数据-取费表'!B40</f>
        <v>6.3E-2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12259</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984</v>
      </c>
      <c r="D24" s="499"/>
      <c r="E24" s="499"/>
      <c r="F24" s="500"/>
      <c r="G24" s="501" t="s">
        <v>1035</v>
      </c>
    </row>
    <row r="25" spans="1:7" s="443" customFormat="1" ht="24">
      <c r="A25" s="497" t="s">
        <v>998</v>
      </c>
      <c r="B25" s="467" t="s">
        <v>1036</v>
      </c>
      <c r="C25" s="2467">
        <f ca="1">ROUND(IF('数据-取费表'!B22&lt;=1,C20*F22*'数据-取费表'!B22/2,C20*(POWER((1+F22),'数据-取费表'!B22/2)-1)),0)</f>
        <v>64</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12349</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ROUND((C5+C19+C20)*F27,0)</f>
        <v>12349</v>
      </c>
      <c r="D28" s="492"/>
      <c r="E28" s="493"/>
      <c r="F28" s="507"/>
      <c r="G28" s="508"/>
    </row>
    <row r="29" spans="1:7" s="443" customFormat="1" ht="13.5" customHeight="1">
      <c r="A29" s="497" t="s">
        <v>996</v>
      </c>
      <c r="B29" s="509" t="s">
        <v>1044</v>
      </c>
      <c r="C29" s="499">
        <f ca="1">ROUND(C21*F27,4)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137769</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104272</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88312</v>
      </c>
      <c r="D34" s="469"/>
      <c r="E34" s="472"/>
      <c r="F34" s="518"/>
      <c r="G34" s="471"/>
    </row>
    <row r="35" spans="1:7" ht="13.5" customHeight="1">
      <c r="A35" s="497" t="s">
        <v>996</v>
      </c>
      <c r="B35" s="467" t="s">
        <v>1054</v>
      </c>
      <c r="C35" s="472">
        <f ca="1">ROUND(C34*F35,0)</f>
        <v>2649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4416</v>
      </c>
      <c r="D36" s="472"/>
      <c r="E36" s="472"/>
      <c r="F36" s="519">
        <f>'数据-取费表'!B34</f>
        <v>0.05</v>
      </c>
      <c r="G36" s="520" t="s">
        <v>1057</v>
      </c>
    </row>
    <row r="37" spans="1:7" s="445" customFormat="1" ht="13.5" customHeight="1">
      <c r="A37" s="497" t="s">
        <v>1038</v>
      </c>
      <c r="B37" s="467" t="s">
        <v>1058</v>
      </c>
      <c r="C37" s="510">
        <f ca="1">ROUND(E37*D37,0)</f>
        <v>7570</v>
      </c>
      <c r="D37" s="469">
        <f ca="1">D19</f>
        <v>63.08</v>
      </c>
      <c r="E37" s="510">
        <f>'数据-取费表'!B35</f>
        <v>120</v>
      </c>
      <c r="F37" s="519"/>
      <c r="G37" s="521"/>
    </row>
    <row r="38" spans="1:7" ht="13.5" customHeight="1">
      <c r="A38" s="497" t="s">
        <v>1060</v>
      </c>
      <c r="B38" s="467" t="s">
        <v>926</v>
      </c>
      <c r="C38" s="472">
        <f ca="1">ROUND(C34*F38,0)</f>
        <v>1325</v>
      </c>
      <c r="D38" s="472"/>
      <c r="E38" s="472"/>
      <c r="F38" s="519">
        <f>'数据-取费表'!B36</f>
        <v>1.4999999999999999E-2</v>
      </c>
      <c r="G38" s="471" t="s">
        <v>1055</v>
      </c>
    </row>
    <row r="39" spans="1:7" s="443" customFormat="1" ht="13.5" customHeight="1">
      <c r="A39" s="461" t="s">
        <v>1021</v>
      </c>
      <c r="B39" s="462" t="s">
        <v>1024</v>
      </c>
      <c r="C39" s="489">
        <f ca="1">ROUND(C33*F20,0)</f>
        <v>1043</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6635</v>
      </c>
      <c r="D41" s="492">
        <f>C44</f>
        <v>5.9999999999999995E-4</v>
      </c>
      <c r="E41" s="493" t="s">
        <v>1062</v>
      </c>
      <c r="F41" s="496">
        <f>F22</f>
        <v>6.3E-2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6569</v>
      </c>
      <c r="D42" s="499"/>
      <c r="E42" s="499"/>
      <c r="F42" s="500"/>
      <c r="G42" s="3804" t="s">
        <v>1086</v>
      </c>
    </row>
    <row r="43" spans="1:7" ht="13.5" customHeight="1">
      <c r="A43" s="497" t="s">
        <v>996</v>
      </c>
      <c r="B43" s="467" t="s">
        <v>1034</v>
      </c>
      <c r="C43" s="499">
        <f ca="1">ROUND(IF('数据-取费表'!B22&lt;=1,C39*F22*'数据-取费表'!B20/2,C39*(POWER((1+F22),'数据-取费表'!B20/2)-1)),0)</f>
        <v>66</v>
      </c>
      <c r="D43" s="499"/>
      <c r="E43" s="499"/>
      <c r="F43" s="500"/>
      <c r="G43" s="3805"/>
    </row>
    <row r="44" spans="1:7" ht="13.5" customHeight="1">
      <c r="A44" s="497" t="s">
        <v>998</v>
      </c>
      <c r="B44" s="467" t="s">
        <v>1036</v>
      </c>
      <c r="C44" s="499">
        <f>ROUND(IF('数据-取费表'!B22&lt;=1,C40*F22*'数据-取费表'!B20/2,C40*(POWER((1+F22),'数据-取费表'!B20/2)-1)),4)</f>
        <v>5.9999999999999995E-4</v>
      </c>
      <c r="D44" s="499"/>
      <c r="E44" s="499"/>
      <c r="F44" s="500"/>
      <c r="G44" s="3806"/>
    </row>
    <row r="45" spans="1:7" s="443" customFormat="1" ht="13.5" customHeight="1">
      <c r="A45" s="461" t="s">
        <v>1030</v>
      </c>
      <c r="B45" s="505" t="s">
        <v>1041</v>
      </c>
      <c r="C45" s="506">
        <f ca="1">C46</f>
        <v>12638</v>
      </c>
      <c r="D45" s="492">
        <f ca="1">C47</f>
        <v>1.1999999999999999E-3</v>
      </c>
      <c r="E45" s="493" t="s">
        <v>1062</v>
      </c>
      <c r="F45" s="507">
        <f ca="1">F27</f>
        <v>0.12</v>
      </c>
      <c r="G45" s="508" t="s">
        <v>1065</v>
      </c>
    </row>
    <row r="46" spans="1:7" s="443" customFormat="1" ht="13.5" customHeight="1">
      <c r="A46" s="497" t="s">
        <v>994</v>
      </c>
      <c r="B46" s="509" t="s">
        <v>1066</v>
      </c>
      <c r="C46" s="510">
        <f ca="1">ROUND((C33+C39)*F27,0)</f>
        <v>12638</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133506</v>
      </c>
      <c r="D49" s="489"/>
      <c r="E49" s="489"/>
      <c r="F49" s="524"/>
      <c r="G49" s="494" t="s">
        <v>1070</v>
      </c>
    </row>
    <row r="50" spans="1:7" s="445" customFormat="1">
      <c r="A50" s="461" t="s">
        <v>1071</v>
      </c>
      <c r="B50" s="462" t="s">
        <v>1072</v>
      </c>
      <c r="C50" s="489"/>
      <c r="D50" s="489"/>
      <c r="E50" s="489"/>
      <c r="F50" s="524">
        <f>IF('数据-取费表'!B24=0,'数据-取费表'!N16,1)</f>
        <v>0.75</v>
      </c>
      <c r="G50" s="508"/>
    </row>
    <row r="51" spans="1:7" ht="16.5" customHeight="1">
      <c r="A51" s="461" t="s">
        <v>1074</v>
      </c>
      <c r="B51" s="462" t="s">
        <v>1088</v>
      </c>
      <c r="C51" s="489">
        <f ca="1">ROUND(C49*F50,0)</f>
        <v>100130</v>
      </c>
      <c r="D51" s="489"/>
      <c r="E51" s="489"/>
      <c r="F51" s="524"/>
      <c r="G51" s="494" t="s">
        <v>1076</v>
      </c>
    </row>
    <row r="52" spans="1:7" s="442" customFormat="1" ht="15.75">
      <c r="A52" s="525" t="s">
        <v>1077</v>
      </c>
      <c r="B52" s="526"/>
      <c r="C52" s="527">
        <f ca="1">C31+C51</f>
        <v>237899</v>
      </c>
      <c r="D52" s="526"/>
      <c r="E52" s="526"/>
      <c r="F52" s="526"/>
      <c r="G52" s="528"/>
    </row>
    <row r="55" spans="1:7" ht="15">
      <c r="B55" s="529" t="s">
        <v>1078</v>
      </c>
      <c r="C55" s="530"/>
    </row>
    <row r="56" spans="1:7">
      <c r="B56" s="531" t="s">
        <v>1079</v>
      </c>
      <c r="C56" s="533">
        <f ca="1">1-C57</f>
        <v>0.57899999999999996</v>
      </c>
    </row>
    <row r="57" spans="1:7">
      <c r="B57" s="531" t="s">
        <v>1080</v>
      </c>
      <c r="C57" s="532">
        <f ca="1">ROUND(C51/C52,3)</f>
        <v>0.42099999999999999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-159</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63.08</v>
      </c>
      <c r="E14" s="1078">
        <f>'数据-取费表'!B35</f>
        <v>120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63.08</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63.08</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6.3E-2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0.12</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ROUND(F6*F8*F7*(1-F9)/10000,0)</f>
        <v>0</v>
      </c>
      <c r="D6" s="2104" t="s">
        <v>1157</v>
      </c>
      <c r="E6" s="2105" t="s">
        <v>1158</v>
      </c>
      <c r="F6" s="2106">
        <f ca="1">INDIRECT("'数据-取费表'!u"&amp;$G$1)</f>
        <v>0</v>
      </c>
      <c r="G6" s="836"/>
      <c r="H6" s="2102" t="s">
        <v>895</v>
      </c>
      <c r="I6" s="3809" t="s">
        <v>1156</v>
      </c>
      <c r="J6" s="2177">
        <f ca="1">ROUND(M6*M8*M7*(1-M9)/10000,0)</f>
        <v>0</v>
      </c>
      <c r="K6" s="2104" t="s">
        <v>1159</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ROUND(F6*F8*F7*(1-F9),0)</f>
        <v>0</v>
      </c>
      <c r="D6" s="2104" t="s">
        <v>1330</v>
      </c>
      <c r="E6" s="2105" t="s">
        <v>1158</v>
      </c>
      <c r="F6" s="2106">
        <f ca="1">INDIRECT("'数据-取费表'!u"&amp;$G$1)</f>
        <v>0</v>
      </c>
      <c r="G6" s="836"/>
      <c r="H6" s="2102" t="s">
        <v>895</v>
      </c>
      <c r="I6" s="3809" t="s">
        <v>1156</v>
      </c>
      <c r="J6" s="2177">
        <f ca="1">ROUND(M6*M8*M7*(1-M9),0)</f>
        <v>0</v>
      </c>
      <c r="K6" s="2250" t="s">
        <v>1331</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120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6.3E-2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824" t="s">
        <v>1344</v>
      </c>
      <c r="K2" s="3825"/>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818" t="s">
        <v>1352</v>
      </c>
      <c r="K3" s="3819"/>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818" t="s">
        <v>1354</v>
      </c>
      <c r="K4" s="3819"/>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828" t="s">
        <v>1358</v>
      </c>
      <c r="B6" s="3829"/>
      <c r="C6" s="3830"/>
      <c r="D6" s="1923"/>
      <c r="E6" s="1924"/>
      <c r="F6" s="1925"/>
      <c r="G6" s="1926"/>
      <c r="H6" s="1914"/>
      <c r="I6" s="2011"/>
      <c r="J6" s="3812">
        <v>1</v>
      </c>
      <c r="K6" s="3815"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812"/>
      <c r="K7" s="3816"/>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826" t="s">
        <v>1372</v>
      </c>
      <c r="C8" s="3827"/>
      <c r="D8" s="1937" t="s">
        <v>1373</v>
      </c>
      <c r="E8" s="1938" t="s">
        <v>1374</v>
      </c>
      <c r="F8" s="1939" t="s">
        <v>1375</v>
      </c>
      <c r="G8" s="1940"/>
      <c r="H8" s="1914"/>
      <c r="I8" s="2011"/>
      <c r="J8" s="3812"/>
      <c r="K8" s="3816"/>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826" t="s">
        <v>1378</v>
      </c>
      <c r="C9" s="3827"/>
      <c r="D9" s="1937">
        <f>ROUND(D6*E9,0)</f>
        <v>0</v>
      </c>
      <c r="E9" s="1941"/>
      <c r="F9" s="1942" t="s">
        <v>1379</v>
      </c>
      <c r="G9" s="1926"/>
      <c r="H9" s="1914"/>
      <c r="I9" s="2011"/>
      <c r="J9" s="3812"/>
      <c r="K9" s="3816"/>
      <c r="L9" s="2021" t="s">
        <v>1380</v>
      </c>
      <c r="M9" s="2022"/>
      <c r="N9" s="1919"/>
      <c r="O9" s="2023"/>
      <c r="P9" s="2023"/>
      <c r="Q9" s="1952">
        <v>365</v>
      </c>
      <c r="R9" s="2057">
        <f t="shared" si="0"/>
        <v>0</v>
      </c>
      <c r="S9" s="2050"/>
      <c r="T9" s="2050"/>
      <c r="U9" s="2050"/>
      <c r="V9" s="2011"/>
    </row>
    <row r="10" spans="1:22" s="1895" customFormat="1" ht="13.15" customHeight="1">
      <c r="A10" s="1934">
        <v>2</v>
      </c>
      <c r="B10" s="3826" t="s">
        <v>1381</v>
      </c>
      <c r="C10" s="3827"/>
      <c r="D10" s="1937">
        <f>ROUND(D6*E10,0)</f>
        <v>0</v>
      </c>
      <c r="E10" s="1941"/>
      <c r="F10" s="1942" t="s">
        <v>1382</v>
      </c>
      <c r="G10" s="1926"/>
      <c r="H10" s="1914"/>
      <c r="I10" s="2011"/>
      <c r="J10" s="3812"/>
      <c r="K10" s="3816"/>
      <c r="L10" s="2021" t="s">
        <v>1383</v>
      </c>
      <c r="M10" s="2022"/>
      <c r="N10" s="1919"/>
      <c r="O10" s="2023"/>
      <c r="P10" s="2023"/>
      <c r="Q10" s="1952">
        <v>365</v>
      </c>
      <c r="R10" s="2057">
        <f t="shared" si="0"/>
        <v>0</v>
      </c>
      <c r="S10" s="2050"/>
      <c r="T10" s="2050"/>
      <c r="U10" s="2050"/>
      <c r="V10" s="2011"/>
    </row>
    <row r="11" spans="1:22" s="1895" customFormat="1" ht="13.15" customHeight="1">
      <c r="A11" s="1934">
        <v>3</v>
      </c>
      <c r="B11" s="3826" t="s">
        <v>1384</v>
      </c>
      <c r="C11" s="3827"/>
      <c r="D11" s="1937">
        <f>D12+D14+D15+D16</f>
        <v>0</v>
      </c>
      <c r="E11" s="1943" t="e">
        <f>D11/D6</f>
        <v>#DIV/0!</v>
      </c>
      <c r="F11" s="1939"/>
      <c r="G11" s="1940"/>
      <c r="H11" s="1914"/>
      <c r="I11" s="2011"/>
      <c r="J11" s="3812"/>
      <c r="K11" s="3816"/>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820" t="s">
        <v>1387</v>
      </c>
      <c r="C12" s="3821"/>
      <c r="D12" s="1947">
        <f>ROUND(D13*1.2%*(1-30%),0)</f>
        <v>0</v>
      </c>
      <c r="E12" s="1948">
        <v>1.2E-2</v>
      </c>
      <c r="F12" s="1939" t="s">
        <v>1388</v>
      </c>
      <c r="G12" s="1940"/>
      <c r="H12" s="1914"/>
      <c r="I12" s="2011"/>
      <c r="J12" s="3812"/>
      <c r="K12" s="3816"/>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812"/>
      <c r="K13" s="3816"/>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820" t="s">
        <v>1393</v>
      </c>
      <c r="C14" s="3821"/>
      <c r="D14" s="1947">
        <f>ROUND(E14*B5/10000,0)</f>
        <v>0</v>
      </c>
      <c r="E14" s="1952"/>
      <c r="F14" s="1939" t="s">
        <v>1394</v>
      </c>
      <c r="G14" s="1940"/>
      <c r="H14" s="1914"/>
      <c r="I14" s="2011"/>
      <c r="J14" s="3812"/>
      <c r="K14" s="3817"/>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820" t="s">
        <v>1397</v>
      </c>
      <c r="C15" s="3821"/>
      <c r="D15" s="1947">
        <f>ROUND(D6*E15,0)</f>
        <v>0</v>
      </c>
      <c r="E15" s="1948">
        <v>5.5E-2</v>
      </c>
      <c r="F15" s="1939" t="s">
        <v>1398</v>
      </c>
      <c r="G15" s="1926"/>
      <c r="H15" s="1914"/>
      <c r="I15" s="2011"/>
      <c r="J15" s="3812">
        <v>2</v>
      </c>
      <c r="K15" s="3815"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820" t="s">
        <v>1405</v>
      </c>
      <c r="C16" s="3821"/>
      <c r="D16" s="1953">
        <f>D6*E16</f>
        <v>0</v>
      </c>
      <c r="E16" s="1954"/>
      <c r="F16" s="1942" t="s">
        <v>1406</v>
      </c>
      <c r="G16" s="1926"/>
      <c r="H16" s="1914"/>
      <c r="I16" s="2011"/>
      <c r="J16" s="3812"/>
      <c r="K16" s="3816"/>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822" t="s">
        <v>1408</v>
      </c>
      <c r="C17" s="3823"/>
      <c r="D17" s="1956">
        <f>ROUND(D6*E17,0)</f>
        <v>0</v>
      </c>
      <c r="E17" s="1957"/>
      <c r="F17" s="1958" t="s">
        <v>1409</v>
      </c>
      <c r="G17" s="1926"/>
      <c r="H17" s="1914"/>
      <c r="I17" s="2011"/>
      <c r="J17" s="3812"/>
      <c r="K17" s="3816"/>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812"/>
      <c r="K18" s="3816"/>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812"/>
      <c r="K19" s="3817"/>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812">
        <v>3</v>
      </c>
      <c r="K20" s="3815"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812"/>
      <c r="K21" s="3816"/>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812"/>
      <c r="K22" s="3816"/>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812"/>
      <c r="K23" s="3816"/>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812"/>
      <c r="K24" s="3817"/>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813">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814"/>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824" t="s">
        <v>1344</v>
      </c>
      <c r="K32" s="3825"/>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818" t="s">
        <v>1352</v>
      </c>
      <c r="K33" s="3819"/>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818" t="s">
        <v>1354</v>
      </c>
      <c r="K34" s="3819"/>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812">
        <v>1</v>
      </c>
      <c r="K36" s="3815"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812"/>
      <c r="K37" s="3816"/>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812"/>
      <c r="K38" s="3816"/>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812"/>
      <c r="K39" s="3816"/>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812"/>
      <c r="K40" s="3817"/>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813">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814"/>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831" t="s">
        <v>1459</v>
      </c>
      <c r="C5" s="3832"/>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42" zoomScale="85" zoomScaleNormal="85" zoomScaleSheetLayoutView="70" zoomScalePageLayoutView="40" workbookViewId="0">
      <selection activeCell="E128" sqref="E128"/>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3429</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34.523699999999998</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5473</v>
      </c>
      <c r="C3" s="1536" t="s">
        <v>1468</v>
      </c>
      <c r="D3" s="1537">
        <f>IF(D1="",'数据-汇总表'!E3,SUMIF('数据-汇总表'!$C19:$C33,D1,'数据-汇总表'!$E19:$E33))</f>
        <v>63.08</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871" t="s">
        <v>1470</v>
      </c>
      <c r="D4" s="3872"/>
      <c r="E4" s="3873" t="s">
        <v>1471</v>
      </c>
      <c r="F4" s="3874"/>
      <c r="G4" s="3871" t="s">
        <v>1472</v>
      </c>
      <c r="H4" s="3872"/>
      <c r="I4" s="3871" t="s">
        <v>1473</v>
      </c>
      <c r="J4" s="3872"/>
      <c r="K4" s="1798"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3" t="s">
        <v>1472</v>
      </c>
      <c r="AC4" s="3833" t="s">
        <v>1473</v>
      </c>
    </row>
    <row r="5" spans="1:29" ht="15">
      <c r="A5" s="1165"/>
      <c r="B5" s="1166"/>
      <c r="C5" s="3875" t="s">
        <v>3102</v>
      </c>
      <c r="D5" s="3876"/>
      <c r="E5" s="3877" t="str">
        <f>宜春里!F3</f>
        <v>良乡宜春里</v>
      </c>
      <c r="F5" s="3878"/>
      <c r="G5" s="3877" t="str">
        <f>宜春里!F4</f>
        <v>良乡宜春里</v>
      </c>
      <c r="H5" s="3878"/>
      <c r="I5" s="3879" t="str">
        <f>宜春里!F5</f>
        <v>良乡宜春里</v>
      </c>
      <c r="J5" s="3876"/>
      <c r="K5" s="1799"/>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v>8</v>
      </c>
      <c r="F6" s="3869"/>
      <c r="G6" s="3866">
        <v>7</v>
      </c>
      <c r="H6" s="3867"/>
      <c r="I6" s="3866">
        <v>11</v>
      </c>
      <c r="J6" s="3867"/>
      <c r="K6" s="1799"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f>宜春里!BG3</f>
        <v>39541</v>
      </c>
      <c r="F7" s="1174">
        <f>SUMIF(58:58,YEAR(E7)&amp;"-"&amp;MONTH(E7),59:59)</f>
        <v>100</v>
      </c>
      <c r="G7" s="1173">
        <f>宜春里!BG4</f>
        <v>39546</v>
      </c>
      <c r="H7" s="1172">
        <f>SUMIF(58:58,YEAR(G7)&amp;"-"&amp;MONTH(G7),59:59)</f>
        <v>100</v>
      </c>
      <c r="I7" s="1173">
        <f>宜春里!BG5</f>
        <v>39572</v>
      </c>
      <c r="J7" s="1172">
        <f>SUMIF(58:58,YEAR(I7)&amp;"-"&amp;MONTH(I7),59:59)</f>
        <v>100</v>
      </c>
      <c r="K7" s="1800"/>
      <c r="L7" s="1314"/>
      <c r="M7" s="1315"/>
      <c r="N7" s="1315"/>
      <c r="O7" s="1315"/>
      <c r="P7" s="3854" t="s">
        <v>1480</v>
      </c>
      <c r="Q7" s="3870"/>
      <c r="R7" s="1355" t="s">
        <v>1481</v>
      </c>
      <c r="S7" s="1356">
        <f t="shared" ref="S7:S15" si="0">F7</f>
        <v>100</v>
      </c>
      <c r="T7" s="1355" t="s">
        <v>1481</v>
      </c>
      <c r="U7" s="1356">
        <f t="shared" ref="U7:U15" si="1">H7</f>
        <v>100</v>
      </c>
      <c r="V7" s="1355" t="s">
        <v>1481</v>
      </c>
      <c r="W7" s="1356">
        <f t="shared" ref="W7:W15" si="2">J7</f>
        <v>100</v>
      </c>
      <c r="X7" s="1357"/>
      <c r="Y7" s="3854" t="s">
        <v>1480</v>
      </c>
      <c r="Z7" s="3855"/>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56"/>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57" t="s">
        <v>1493</v>
      </c>
      <c r="Q15" s="739" t="str">
        <f t="shared" si="6"/>
        <v>居住社区成熟度</v>
      </c>
      <c r="R15" s="1360" t="s">
        <v>1481</v>
      </c>
      <c r="S15" s="1361">
        <f t="shared" si="0"/>
        <v>100</v>
      </c>
      <c r="T15" s="1360" t="s">
        <v>1481</v>
      </c>
      <c r="U15" s="1361">
        <f t="shared" si="1"/>
        <v>100</v>
      </c>
      <c r="V15" s="1360" t="s">
        <v>1481</v>
      </c>
      <c r="W15" s="1361">
        <f t="shared" si="2"/>
        <v>100</v>
      </c>
      <c r="X15" s="1354"/>
      <c r="Y15" s="3862"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58"/>
      <c r="Q16" s="739"/>
      <c r="R16" s="1360"/>
      <c r="S16" s="1361"/>
      <c r="T16" s="1360"/>
      <c r="U16" s="1361"/>
      <c r="V16" s="1360"/>
      <c r="W16" s="1361"/>
      <c r="X16" s="1354"/>
      <c r="Y16" s="3863"/>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58"/>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t="s">
        <v>1494</v>
      </c>
      <c r="D20" s="1206"/>
      <c r="E20" s="1327" t="s">
        <v>1494</v>
      </c>
      <c r="F20" s="1206"/>
      <c r="G20" s="1214" t="s">
        <v>1494</v>
      </c>
      <c r="H20" s="1206"/>
      <c r="I20" s="1214" t="s">
        <v>1494</v>
      </c>
      <c r="J20" s="1206"/>
      <c r="K20" s="1804"/>
      <c r="L20" s="1324"/>
      <c r="M20" s="1312"/>
      <c r="N20" s="1312"/>
      <c r="O20" s="1312"/>
      <c r="P20" s="3858"/>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58"/>
      <c r="Q22" s="739"/>
      <c r="R22" s="1360"/>
      <c r="S22" s="1361"/>
      <c r="T22" s="1360"/>
      <c r="U22" s="1361"/>
      <c r="V22" s="1360"/>
      <c r="W22" s="1361"/>
      <c r="X22" s="1354"/>
      <c r="Y22" s="3863"/>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58"/>
      <c r="Q23" s="739" t="str">
        <f>B23</f>
        <v>自然及人文环境</v>
      </c>
      <c r="R23" s="1360" t="s">
        <v>1481</v>
      </c>
      <c r="S23" s="1361">
        <f>F23</f>
        <v>100</v>
      </c>
      <c r="T23" s="1360" t="s">
        <v>1481</v>
      </c>
      <c r="U23" s="1361">
        <f>H23</f>
        <v>100</v>
      </c>
      <c r="V23" s="1360" t="s">
        <v>1481</v>
      </c>
      <c r="W23" s="1361">
        <f>J23</f>
        <v>100</v>
      </c>
      <c r="X23" s="1354"/>
      <c r="Y23" s="3863"/>
      <c r="Z23" s="1344" t="str">
        <f>Q23</f>
        <v>自然及人文环境</v>
      </c>
      <c r="AA23" s="1371">
        <f>D23/F23</f>
        <v>1</v>
      </c>
      <c r="AB23" s="1371">
        <f>D23/H23</f>
        <v>1</v>
      </c>
      <c r="AC23" s="1371">
        <f>D23/J23</f>
        <v>1</v>
      </c>
    </row>
    <row r="24" spans="1:29" ht="15">
      <c r="A24" s="1185"/>
      <c r="B24" s="1233"/>
      <c r="C24" s="1205" t="s">
        <v>1494</v>
      </c>
      <c r="D24" s="1206"/>
      <c r="E24" s="1327" t="s">
        <v>1494</v>
      </c>
      <c r="F24" s="1206"/>
      <c r="G24" s="1214" t="s">
        <v>1494</v>
      </c>
      <c r="H24" s="1206"/>
      <c r="I24" s="1214" t="s">
        <v>1494</v>
      </c>
      <c r="J24" s="1206"/>
      <c r="K24" s="1804"/>
      <c r="L24" s="1324"/>
      <c r="M24" s="1312"/>
      <c r="N24" s="1312"/>
      <c r="O24" s="1312"/>
      <c r="P24" s="3858"/>
      <c r="Q24" s="739"/>
      <c r="R24" s="1360"/>
      <c r="S24" s="1361"/>
      <c r="T24" s="1360"/>
      <c r="U24" s="1361"/>
      <c r="V24" s="1360"/>
      <c r="W24" s="1361"/>
      <c r="X24" s="1354"/>
      <c r="Y24" s="3863"/>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58"/>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63"/>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3389</v>
      </c>
      <c r="D26" s="1194">
        <v>100</v>
      </c>
      <c r="E26" s="1237" t="s">
        <v>1546</v>
      </c>
      <c r="F26" s="1194">
        <f>SUMIF(88:88,E26,89:89)-SUMIF(88:88,C26,89:89)+100</f>
        <v>110</v>
      </c>
      <c r="G26" s="1785" t="s">
        <v>1546</v>
      </c>
      <c r="H26" s="1194">
        <f>SUMIF(88:88,G26,89:89)-SUMIF(88:88,C26,89:89)+100</f>
        <v>110</v>
      </c>
      <c r="I26" s="1785" t="s">
        <v>1546</v>
      </c>
      <c r="J26" s="1194">
        <f>SUMIF(88:88,I26,89:89)-SUMIF(88:88,C26,89:89)+100</f>
        <v>110</v>
      </c>
      <c r="K26" s="1801">
        <v>1</v>
      </c>
      <c r="L26" s="1324"/>
      <c r="M26" s="1312"/>
      <c r="N26" s="1312"/>
      <c r="O26" s="1312"/>
      <c r="P26" s="3858"/>
      <c r="Q26" s="739" t="str">
        <f t="shared" si="11"/>
        <v>朝向</v>
      </c>
      <c r="R26" s="1360" t="s">
        <v>1481</v>
      </c>
      <c r="S26" s="1361">
        <f t="shared" si="12"/>
        <v>110</v>
      </c>
      <c r="T26" s="1360" t="s">
        <v>1481</v>
      </c>
      <c r="U26" s="1361">
        <f t="shared" si="13"/>
        <v>110</v>
      </c>
      <c r="V26" s="1360" t="s">
        <v>1481</v>
      </c>
      <c r="W26" s="1361">
        <f t="shared" si="14"/>
        <v>110</v>
      </c>
      <c r="X26" s="1354"/>
      <c r="Y26" s="3863"/>
      <c r="Z26" s="1344" t="str">
        <f>Q26</f>
        <v>朝向</v>
      </c>
      <c r="AA26" s="1371">
        <f t="shared" si="15"/>
        <v>0.90909090909090906</v>
      </c>
      <c r="AB26" s="1371">
        <f t="shared" si="16"/>
        <v>0.90909090909090906</v>
      </c>
      <c r="AC26" s="1371">
        <f t="shared" si="17"/>
        <v>0.90909090909090906</v>
      </c>
    </row>
    <row r="27" spans="1:29" s="1144" customFormat="1" ht="15">
      <c r="A27" s="1188"/>
      <c r="B27" s="1786" t="s">
        <v>1504</v>
      </c>
      <c r="C27" s="1490" t="s">
        <v>3267</v>
      </c>
      <c r="D27" s="1661">
        <v>100</v>
      </c>
      <c r="E27" s="1490" t="s">
        <v>3426</v>
      </c>
      <c r="F27" s="1661">
        <f>SUMIF(90:90,E27,91:91)-SUMIF(90:90,C27,91:91)+100</f>
        <v>101</v>
      </c>
      <c r="G27" s="1491" t="s">
        <v>3160</v>
      </c>
      <c r="H27" s="1661">
        <f>SUMIF(90:90,G27,91:91)-SUMIF(90:90,C27,91:91)+100</f>
        <v>101</v>
      </c>
      <c r="I27" s="1491" t="s">
        <v>3427</v>
      </c>
      <c r="J27" s="1661">
        <f>SUMIF(90:90,I27,91:91)-SUMIF(90:90,C27,91:91)+100</f>
        <v>100</v>
      </c>
      <c r="K27" s="1802"/>
      <c r="L27" s="1314"/>
      <c r="M27" s="1315"/>
      <c r="N27" s="1315"/>
      <c r="O27" s="1315"/>
      <c r="P27" s="3858"/>
      <c r="Q27" s="1359" t="str">
        <f t="shared" si="11"/>
        <v>楼层</v>
      </c>
      <c r="R27" s="1355" t="s">
        <v>1481</v>
      </c>
      <c r="S27" s="1356">
        <f t="shared" si="12"/>
        <v>101</v>
      </c>
      <c r="T27" s="1355" t="s">
        <v>1481</v>
      </c>
      <c r="U27" s="1356">
        <f t="shared" si="13"/>
        <v>101</v>
      </c>
      <c r="V27" s="1355" t="s">
        <v>1481</v>
      </c>
      <c r="W27" s="1356">
        <f t="shared" si="14"/>
        <v>100</v>
      </c>
      <c r="X27" s="1357"/>
      <c r="Y27" s="3863"/>
      <c r="Z27" s="1370" t="str">
        <f>Q27</f>
        <v>楼层</v>
      </c>
      <c r="AA27" s="1371">
        <f t="shared" si="15"/>
        <v>0.99009900990099009</v>
      </c>
      <c r="AB27" s="1371">
        <f t="shared" si="16"/>
        <v>0.99009900990099009</v>
      </c>
      <c r="AC27" s="1371">
        <f t="shared" si="17"/>
        <v>1</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58"/>
      <c r="Q28" s="739">
        <f t="shared" si="11"/>
        <v>111</v>
      </c>
      <c r="R28" s="1360" t="s">
        <v>1481</v>
      </c>
      <c r="S28" s="1361">
        <f t="shared" si="12"/>
        <v>100</v>
      </c>
      <c r="T28" s="1360" t="s">
        <v>1481</v>
      </c>
      <c r="U28" s="1361">
        <f t="shared" si="13"/>
        <v>100</v>
      </c>
      <c r="V28" s="1360" t="s">
        <v>1481</v>
      </c>
      <c r="W28" s="1361">
        <f t="shared" si="14"/>
        <v>100</v>
      </c>
      <c r="X28" s="1354"/>
      <c r="Y28" s="3863"/>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58"/>
      <c r="Q29" s="739">
        <f t="shared" si="11"/>
        <v>111</v>
      </c>
      <c r="R29" s="1360" t="s">
        <v>1481</v>
      </c>
      <c r="S29" s="1361">
        <f t="shared" si="12"/>
        <v>100</v>
      </c>
      <c r="T29" s="1360" t="s">
        <v>1481</v>
      </c>
      <c r="U29" s="1361">
        <f t="shared" si="13"/>
        <v>100</v>
      </c>
      <c r="V29" s="1360" t="s">
        <v>1481</v>
      </c>
      <c r="W29" s="1361">
        <f t="shared" si="14"/>
        <v>100</v>
      </c>
      <c r="X29" s="1354"/>
      <c r="Y29" s="3863"/>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8"/>
        <v>111</v>
      </c>
      <c r="AA31" s="1371">
        <f t="shared" si="15"/>
        <v>1</v>
      </c>
      <c r="AB31" s="1371">
        <f t="shared" si="16"/>
        <v>1</v>
      </c>
      <c r="AC31" s="1371">
        <f t="shared" si="17"/>
        <v>1</v>
      </c>
    </row>
    <row r="32" spans="1:29" ht="15">
      <c r="A32" s="1199" t="s">
        <v>1507</v>
      </c>
      <c r="B32" s="1178" t="s">
        <v>1508</v>
      </c>
      <c r="C32" s="1724" t="s">
        <v>1553</v>
      </c>
      <c r="D32" s="1235">
        <v>100</v>
      </c>
      <c r="E32" s="1787" t="s">
        <v>1553</v>
      </c>
      <c r="F32" s="1549">
        <f>SUMIF(100:100,E32,101:101)-SUMIF(100:100,C32,101:101)+100</f>
        <v>100</v>
      </c>
      <c r="G32" s="1724" t="s">
        <v>1553</v>
      </c>
      <c r="H32" s="1235">
        <f>SUMIF(100:100,G32,101:101)-SUMIF(100:100,C32,101:101)+100</f>
        <v>100</v>
      </c>
      <c r="I32" s="1787" t="s">
        <v>1553</v>
      </c>
      <c r="J32" s="1194">
        <f>SUMIF(100:100,I32,101:101)-SUMIF(100:100,C32,101:101)+100</f>
        <v>100</v>
      </c>
      <c r="K32" s="1801">
        <v>2</v>
      </c>
      <c r="L32" s="1324"/>
      <c r="M32" s="1312"/>
      <c r="N32" s="1312"/>
      <c r="O32" s="1312"/>
      <c r="P32" s="3859" t="s">
        <v>1509</v>
      </c>
      <c r="Q32" s="739" t="str">
        <f t="shared" si="11"/>
        <v>建筑类型</v>
      </c>
      <c r="R32" s="1360" t="s">
        <v>1481</v>
      </c>
      <c r="S32" s="1361">
        <f t="shared" si="12"/>
        <v>100</v>
      </c>
      <c r="T32" s="1360" t="s">
        <v>1481</v>
      </c>
      <c r="U32" s="1361">
        <f t="shared" si="13"/>
        <v>100</v>
      </c>
      <c r="V32" s="1360" t="s">
        <v>1481</v>
      </c>
      <c r="W32" s="1361">
        <f t="shared" si="14"/>
        <v>100</v>
      </c>
      <c r="X32" s="1354"/>
      <c r="Y32" s="3864" t="s">
        <v>1509</v>
      </c>
      <c r="Z32" s="1344" t="str">
        <f t="shared" si="18"/>
        <v>建筑类型</v>
      </c>
      <c r="AA32" s="1371">
        <f t="shared" si="15"/>
        <v>1</v>
      </c>
      <c r="AB32" s="1371">
        <f t="shared" si="16"/>
        <v>1</v>
      </c>
      <c r="AC32" s="1371">
        <f t="shared" si="17"/>
        <v>1</v>
      </c>
    </row>
    <row r="33" spans="1:29" s="1146" customFormat="1" ht="15">
      <c r="A33" s="1241"/>
      <c r="B33" s="1182" t="s">
        <v>1510</v>
      </c>
      <c r="C33" s="1543">
        <v>63.08</v>
      </c>
      <c r="D33" s="1184">
        <v>100</v>
      </c>
      <c r="E33" s="1187">
        <f>宜春里!L3</f>
        <v>60.71</v>
      </c>
      <c r="F33" s="1542">
        <f>LOOKUP(E33,103:103,104:104)-LOOKUP(C33,103:103,104:104)+100</f>
        <v>100</v>
      </c>
      <c r="G33" s="1186">
        <f>宜春里!L4</f>
        <v>58.18</v>
      </c>
      <c r="H33" s="1184">
        <f>LOOKUP(G33,103:103,104:104)-LOOKUP(C33,103:103,104:104)+100</f>
        <v>100</v>
      </c>
      <c r="I33" s="1187">
        <f>宜春里!L5</f>
        <v>53.72</v>
      </c>
      <c r="J33" s="1184">
        <f>LOOKUP(I33,103:103,104:104)-LOOKUP(C33,103:103,104:104)+100</f>
        <v>100</v>
      </c>
      <c r="K33" s="1802"/>
      <c r="L33" s="1322"/>
      <c r="M33" s="1331"/>
      <c r="N33" s="1331"/>
      <c r="O33" s="1331"/>
      <c r="P33" s="3860"/>
      <c r="Q33" s="1588" t="str">
        <f t="shared" si="11"/>
        <v>项目建筑规模</v>
      </c>
      <c r="R33" s="1362" t="s">
        <v>1481</v>
      </c>
      <c r="S33" s="1363">
        <f t="shared" si="12"/>
        <v>100</v>
      </c>
      <c r="T33" s="1362" t="s">
        <v>1481</v>
      </c>
      <c r="U33" s="1363">
        <f t="shared" si="13"/>
        <v>100</v>
      </c>
      <c r="V33" s="1362" t="s">
        <v>1481</v>
      </c>
      <c r="W33" s="1363">
        <f t="shared" si="14"/>
        <v>100</v>
      </c>
      <c r="X33" s="1364"/>
      <c r="Y33" s="3864"/>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1554</v>
      </c>
      <c r="J34" s="1194">
        <f>SUMIF(105:105,I34,106:106)-SUMIF(105:105,C34,106:106)+100</f>
        <v>100</v>
      </c>
      <c r="K34" s="1801">
        <v>3</v>
      </c>
      <c r="L34" s="1324"/>
      <c r="M34" s="1312"/>
      <c r="N34" s="1312"/>
      <c r="O34" s="1312"/>
      <c r="P34" s="3860"/>
      <c r="Q34" s="739" t="str">
        <f t="shared" si="11"/>
        <v>建筑结构</v>
      </c>
      <c r="R34" s="1360" t="s">
        <v>1481</v>
      </c>
      <c r="S34" s="1361">
        <f t="shared" si="12"/>
        <v>100</v>
      </c>
      <c r="T34" s="1360" t="s">
        <v>1481</v>
      </c>
      <c r="U34" s="1361">
        <f t="shared" si="13"/>
        <v>100</v>
      </c>
      <c r="V34" s="1360" t="s">
        <v>1481</v>
      </c>
      <c r="W34" s="1361">
        <f t="shared" si="14"/>
        <v>100</v>
      </c>
      <c r="X34" s="1354"/>
      <c r="Y34" s="3864"/>
      <c r="Z34" s="1344" t="str">
        <f t="shared" si="18"/>
        <v>建筑结构</v>
      </c>
      <c r="AA34" s="1371">
        <f t="shared" si="15"/>
        <v>1</v>
      </c>
      <c r="AB34" s="1371">
        <f t="shared" si="16"/>
        <v>1</v>
      </c>
      <c r="AC34" s="1371">
        <f t="shared" si="17"/>
        <v>1</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60"/>
      <c r="Q35" s="739" t="str">
        <f t="shared" si="11"/>
        <v>建筑品质</v>
      </c>
      <c r="R35" s="1360" t="s">
        <v>1481</v>
      </c>
      <c r="S35" s="1361">
        <f t="shared" si="12"/>
        <v>100</v>
      </c>
      <c r="T35" s="1360" t="s">
        <v>1481</v>
      </c>
      <c r="U35" s="1361">
        <f t="shared" si="13"/>
        <v>100</v>
      </c>
      <c r="V35" s="1360" t="s">
        <v>1481</v>
      </c>
      <c r="W35" s="1361">
        <f t="shared" si="14"/>
        <v>100</v>
      </c>
      <c r="X35" s="1354"/>
      <c r="Y35" s="3864"/>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60"/>
      <c r="Q36" s="739" t="str">
        <f t="shared" si="11"/>
        <v>公共部分装修</v>
      </c>
      <c r="R36" s="1360" t="s">
        <v>1481</v>
      </c>
      <c r="S36" s="1361">
        <f t="shared" si="12"/>
        <v>100</v>
      </c>
      <c r="T36" s="1360" t="s">
        <v>1481</v>
      </c>
      <c r="U36" s="1361">
        <f t="shared" si="13"/>
        <v>100</v>
      </c>
      <c r="V36" s="1360" t="s">
        <v>1481</v>
      </c>
      <c r="W36" s="1361">
        <f t="shared" si="14"/>
        <v>100</v>
      </c>
      <c r="X36" s="1354"/>
      <c r="Y36" s="3864"/>
      <c r="Z36" s="1344" t="str">
        <f t="shared" si="18"/>
        <v>公共部分装修</v>
      </c>
      <c r="AA36" s="1371">
        <f t="shared" si="15"/>
        <v>1</v>
      </c>
      <c r="AB36" s="1371">
        <f t="shared" si="16"/>
        <v>1</v>
      </c>
      <c r="AC36" s="1371">
        <f t="shared" si="17"/>
        <v>1</v>
      </c>
    </row>
    <row r="37" spans="1:29" s="1144" customFormat="1" ht="15" hidden="1">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60"/>
      <c r="Q37" s="1359" t="str">
        <f t="shared" si="11"/>
        <v>成新度</v>
      </c>
      <c r="R37" s="1355" t="s">
        <v>1481</v>
      </c>
      <c r="S37" s="1356">
        <f t="shared" si="12"/>
        <v>100</v>
      </c>
      <c r="T37" s="1355" t="s">
        <v>1481</v>
      </c>
      <c r="U37" s="1356">
        <f t="shared" si="13"/>
        <v>100</v>
      </c>
      <c r="V37" s="1355" t="s">
        <v>1481</v>
      </c>
      <c r="W37" s="1356">
        <f t="shared" si="14"/>
        <v>100</v>
      </c>
      <c r="X37" s="1357"/>
      <c r="Y37" s="3864"/>
      <c r="Z37" s="1370" t="str">
        <f t="shared" si="18"/>
        <v>成新度</v>
      </c>
      <c r="AA37" s="1369">
        <f t="shared" si="15"/>
        <v>1</v>
      </c>
      <c r="AB37" s="1369">
        <f t="shared" si="16"/>
        <v>1</v>
      </c>
      <c r="AC37" s="1369">
        <f t="shared" si="17"/>
        <v>1</v>
      </c>
    </row>
    <row r="38" spans="1:29" ht="15">
      <c r="A38" s="1236"/>
      <c r="B38" s="1182" t="s">
        <v>1516</v>
      </c>
      <c r="C38" s="1237" t="s">
        <v>3391</v>
      </c>
      <c r="D38" s="1194">
        <v>100</v>
      </c>
      <c r="E38" s="1785" t="s">
        <v>3391</v>
      </c>
      <c r="F38" s="1549">
        <f>SUMIF(114:114,E38,115:115)-SUMIF(114:114,C38,115:115)+100</f>
        <v>100</v>
      </c>
      <c r="G38" s="1237" t="s">
        <v>3391</v>
      </c>
      <c r="H38" s="1194">
        <f>SUMIF(114:114,G38,115:115)-SUMIF(114:114,C38,115:115)+100</f>
        <v>100</v>
      </c>
      <c r="I38" s="1785" t="s">
        <v>3391</v>
      </c>
      <c r="J38" s="1194">
        <f>SUMIF(114:114,I38,115:115)-SUMIF(114:114,C38,115:115)+100</f>
        <v>100</v>
      </c>
      <c r="K38" s="1801">
        <v>1</v>
      </c>
      <c r="L38" s="1324"/>
      <c r="M38" s="1312"/>
      <c r="N38" s="1312"/>
      <c r="O38" s="1312"/>
      <c r="P38" s="3860" t="s">
        <v>1509</v>
      </c>
      <c r="Q38" s="739" t="str">
        <f t="shared" si="11"/>
        <v>物业管理</v>
      </c>
      <c r="R38" s="1360" t="s">
        <v>1481</v>
      </c>
      <c r="S38" s="1361">
        <f t="shared" si="12"/>
        <v>100</v>
      </c>
      <c r="T38" s="1360" t="s">
        <v>1481</v>
      </c>
      <c r="U38" s="1361">
        <f t="shared" si="13"/>
        <v>100</v>
      </c>
      <c r="V38" s="1360" t="s">
        <v>1481</v>
      </c>
      <c r="W38" s="1361">
        <f t="shared" si="14"/>
        <v>100</v>
      </c>
      <c r="X38" s="1354"/>
      <c r="Y38" s="3864" t="s">
        <v>1509</v>
      </c>
      <c r="Z38" s="1344" t="str">
        <f t="shared" si="18"/>
        <v>物业管理</v>
      </c>
      <c r="AA38" s="1371">
        <f t="shared" si="15"/>
        <v>1</v>
      </c>
      <c r="AB38" s="1371">
        <f t="shared" si="16"/>
        <v>1</v>
      </c>
      <c r="AC38" s="1371">
        <f t="shared" si="17"/>
        <v>1</v>
      </c>
    </row>
    <row r="39" spans="1:29" ht="15">
      <c r="A39" s="1236"/>
      <c r="B39" s="1182" t="s">
        <v>1519</v>
      </c>
      <c r="C39" s="1237" t="s">
        <v>246</v>
      </c>
      <c r="D39" s="1194">
        <v>100</v>
      </c>
      <c r="E39" s="1785" t="s">
        <v>236</v>
      </c>
      <c r="F39" s="1549">
        <f>SUMIF(116:116,E39,117:117)-SUMIF(116:116,C39,117:117)+100</f>
        <v>102</v>
      </c>
      <c r="G39" s="1237" t="s">
        <v>236</v>
      </c>
      <c r="H39" s="1194">
        <f>SUMIF(116:116,G39,117:117)-SUMIF(116:116,C39,117:117)+100</f>
        <v>102</v>
      </c>
      <c r="I39" s="1785" t="s">
        <v>236</v>
      </c>
      <c r="J39" s="1194">
        <f>SUMIF(116:116,I39,117:117)-SUMIF(116:116,C39,117:117)+100</f>
        <v>102</v>
      </c>
      <c r="K39" s="1801">
        <v>2</v>
      </c>
      <c r="L39" s="1324"/>
      <c r="M39" s="1312"/>
      <c r="N39" s="1312"/>
      <c r="O39" s="1312"/>
      <c r="P39" s="3860"/>
      <c r="Q39" s="739" t="str">
        <f t="shared" si="11"/>
        <v>市政基础设施</v>
      </c>
      <c r="R39" s="1360" t="s">
        <v>1481</v>
      </c>
      <c r="S39" s="1361">
        <f t="shared" si="12"/>
        <v>102</v>
      </c>
      <c r="T39" s="1360" t="s">
        <v>1481</v>
      </c>
      <c r="U39" s="1361">
        <f t="shared" si="13"/>
        <v>102</v>
      </c>
      <c r="V39" s="1360" t="s">
        <v>1481</v>
      </c>
      <c r="W39" s="1361">
        <f t="shared" si="14"/>
        <v>102</v>
      </c>
      <c r="X39" s="1354"/>
      <c r="Y39" s="3864"/>
      <c r="Z39" s="1344" t="str">
        <f t="shared" si="18"/>
        <v>市政基础设施</v>
      </c>
      <c r="AA39" s="1371">
        <f t="shared" si="15"/>
        <v>0.98039215686274506</v>
      </c>
      <c r="AB39" s="1371">
        <f t="shared" si="16"/>
        <v>0.98039215686274506</v>
      </c>
      <c r="AC39" s="1371">
        <f t="shared" si="17"/>
        <v>0.98039215686274506</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60"/>
      <c r="Q40" s="739" t="str">
        <f t="shared" si="11"/>
        <v>房型</v>
      </c>
      <c r="R40" s="1360" t="s">
        <v>1481</v>
      </c>
      <c r="S40" s="1361">
        <f t="shared" si="12"/>
        <v>100</v>
      </c>
      <c r="T40" s="1360" t="s">
        <v>1481</v>
      </c>
      <c r="U40" s="1361">
        <f t="shared" si="13"/>
        <v>100</v>
      </c>
      <c r="V40" s="1360" t="s">
        <v>1481</v>
      </c>
      <c r="W40" s="1361">
        <f t="shared" si="14"/>
        <v>100</v>
      </c>
      <c r="X40" s="1354"/>
      <c r="Y40" s="3864"/>
      <c r="Z40" s="1344" t="str">
        <f t="shared" si="18"/>
        <v>房型</v>
      </c>
      <c r="AA40" s="1371">
        <f t="shared" si="15"/>
        <v>1</v>
      </c>
      <c r="AB40" s="1371">
        <f t="shared" si="16"/>
        <v>1</v>
      </c>
      <c r="AC40" s="1371">
        <f t="shared" si="17"/>
        <v>1</v>
      </c>
    </row>
    <row r="41" spans="1:29" s="1146" customFormat="1" ht="28.5" hidden="1">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60"/>
      <c r="Q41" s="1588" t="str">
        <f t="shared" si="11"/>
        <v>单套/主力户型建筑面积</v>
      </c>
      <c r="R41" s="1362" t="s">
        <v>1481</v>
      </c>
      <c r="S41" s="1363">
        <f t="shared" si="12"/>
        <v>100</v>
      </c>
      <c r="T41" s="1362" t="s">
        <v>1481</v>
      </c>
      <c r="U41" s="1363">
        <f t="shared" si="13"/>
        <v>100</v>
      </c>
      <c r="V41" s="1362" t="s">
        <v>1481</v>
      </c>
      <c r="W41" s="1363">
        <f t="shared" si="14"/>
        <v>100</v>
      </c>
      <c r="X41" s="1364"/>
      <c r="Y41" s="3864"/>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1557</v>
      </c>
      <c r="F42" s="1549">
        <f>SUMIF(122:122,E42,123:123)-SUMIF(122:122,C42,123:123)+100</f>
        <v>103</v>
      </c>
      <c r="G42" s="1237" t="s">
        <v>1557</v>
      </c>
      <c r="H42" s="1194">
        <f>SUMIF(122:122,G42,123:123)-SUMIF(122:122,C42,123:123)+100</f>
        <v>103</v>
      </c>
      <c r="I42" s="1785" t="s">
        <v>1557</v>
      </c>
      <c r="J42" s="1194">
        <f>SUMIF(122:122,I42,123:123)-SUMIF(122:122,C42,123:123)+100</f>
        <v>103</v>
      </c>
      <c r="K42" s="1801">
        <v>3</v>
      </c>
      <c r="L42" s="1324"/>
      <c r="M42" s="1312"/>
      <c r="N42" s="1312"/>
      <c r="O42" s="1312"/>
      <c r="P42" s="3860"/>
      <c r="Q42" s="739" t="str">
        <f t="shared" si="11"/>
        <v>内部装修</v>
      </c>
      <c r="R42" s="1360" t="s">
        <v>1481</v>
      </c>
      <c r="S42" s="1361">
        <f t="shared" si="12"/>
        <v>103</v>
      </c>
      <c r="T42" s="1360" t="s">
        <v>1481</v>
      </c>
      <c r="U42" s="1361">
        <f t="shared" si="13"/>
        <v>103</v>
      </c>
      <c r="V42" s="1360" t="s">
        <v>1481</v>
      </c>
      <c r="W42" s="1361">
        <f t="shared" si="14"/>
        <v>103</v>
      </c>
      <c r="X42" s="1354"/>
      <c r="Y42" s="3864"/>
      <c r="Z42" s="1344" t="str">
        <f t="shared" si="18"/>
        <v>内部装修</v>
      </c>
      <c r="AA42" s="1371">
        <f t="shared" si="15"/>
        <v>0.970873786407767</v>
      </c>
      <c r="AB42" s="1371">
        <f t="shared" si="16"/>
        <v>0.970873786407767</v>
      </c>
      <c r="AC42" s="1371">
        <f t="shared" si="17"/>
        <v>0.970873786407767</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60"/>
      <c r="Q43" s="739" t="str">
        <f t="shared" si="11"/>
        <v>内部装修维护情况</v>
      </c>
      <c r="R43" s="1360" t="s">
        <v>1481</v>
      </c>
      <c r="S43" s="1361">
        <f t="shared" si="12"/>
        <v>100</v>
      </c>
      <c r="T43" s="1360" t="s">
        <v>1481</v>
      </c>
      <c r="U43" s="1361">
        <f t="shared" si="13"/>
        <v>100</v>
      </c>
      <c r="V43" s="1360" t="s">
        <v>1481</v>
      </c>
      <c r="W43" s="1361">
        <f t="shared" si="14"/>
        <v>100</v>
      </c>
      <c r="X43" s="1354"/>
      <c r="Y43" s="3864"/>
      <c r="Z43" s="1344" t="str">
        <f t="shared" si="18"/>
        <v>内部装修维护情况</v>
      </c>
      <c r="AA43" s="1371">
        <f t="shared" si="15"/>
        <v>1</v>
      </c>
      <c r="AB43" s="1371">
        <f t="shared" si="16"/>
        <v>1</v>
      </c>
      <c r="AC43" s="1371">
        <f t="shared" si="17"/>
        <v>1</v>
      </c>
    </row>
    <row r="44" spans="1:29" s="1144" customFormat="1" ht="15">
      <c r="A44" s="1238"/>
      <c r="B44" s="1786" t="s">
        <v>3159</v>
      </c>
      <c r="C44" s="1789">
        <v>1993</v>
      </c>
      <c r="D44" s="1184">
        <v>100</v>
      </c>
      <c r="E44" s="1789">
        <v>1989</v>
      </c>
      <c r="F44" s="1542">
        <f>SUMIF(126:126,E44,127:127)-SUMIF(126:126,C44,127:127)+100</f>
        <v>99</v>
      </c>
      <c r="G44" s="1789">
        <v>1989</v>
      </c>
      <c r="H44" s="1184">
        <f>SUMIF(126:126,G44,127:127)-SUMIF(126:126,C44,127:127)+100</f>
        <v>99</v>
      </c>
      <c r="I44" s="1789">
        <v>1987</v>
      </c>
      <c r="J44" s="1184">
        <f>SUMIF(126:126,I44,127:127)-SUMIF(126:126,C44,127:127)+100</f>
        <v>99</v>
      </c>
      <c r="K44" s="1802"/>
      <c r="L44" s="1314"/>
      <c r="M44" s="1315"/>
      <c r="N44" s="1315"/>
      <c r="O44" s="1315"/>
      <c r="P44" s="3860"/>
      <c r="Q44" s="1359" t="str">
        <f t="shared" si="11"/>
        <v>建成年代</v>
      </c>
      <c r="R44" s="1355" t="s">
        <v>1481</v>
      </c>
      <c r="S44" s="1356">
        <f t="shared" si="12"/>
        <v>99</v>
      </c>
      <c r="T44" s="1355" t="s">
        <v>1481</v>
      </c>
      <c r="U44" s="1356">
        <f t="shared" si="13"/>
        <v>99</v>
      </c>
      <c r="V44" s="1355" t="s">
        <v>1481</v>
      </c>
      <c r="W44" s="1356">
        <f t="shared" si="14"/>
        <v>99</v>
      </c>
      <c r="X44" s="1357"/>
      <c r="Y44" s="3864"/>
      <c r="Z44" s="1370" t="str">
        <f t="shared" si="18"/>
        <v>建成年代</v>
      </c>
      <c r="AA44" s="1369">
        <f t="shared" si="15"/>
        <v>1.0101010101010102</v>
      </c>
      <c r="AB44" s="1369">
        <f t="shared" si="16"/>
        <v>1.0101010101010102</v>
      </c>
      <c r="AC44" s="1369">
        <f t="shared" si="17"/>
        <v>1.0101010101010102</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802"/>
      <c r="L45" s="1324"/>
      <c r="M45" s="1312"/>
      <c r="N45" s="1312"/>
      <c r="O45" s="1312"/>
      <c r="P45" s="3860"/>
      <c r="Q45" s="739">
        <f t="shared" si="11"/>
        <v>111</v>
      </c>
      <c r="R45" s="1360" t="s">
        <v>1481</v>
      </c>
      <c r="S45" s="1361">
        <f t="shared" si="12"/>
        <v>100</v>
      </c>
      <c r="T45" s="1360" t="s">
        <v>1481</v>
      </c>
      <c r="U45" s="1361">
        <f t="shared" si="13"/>
        <v>100</v>
      </c>
      <c r="V45" s="1360" t="s">
        <v>1481</v>
      </c>
      <c r="W45" s="1361">
        <f t="shared" si="14"/>
        <v>100</v>
      </c>
      <c r="X45" s="1354"/>
      <c r="Y45" s="3864"/>
      <c r="Z45" s="1344">
        <f t="shared" si="18"/>
        <v>111</v>
      </c>
      <c r="AA45" s="1371">
        <f t="shared" si="15"/>
        <v>1</v>
      </c>
      <c r="AB45" s="1371">
        <f t="shared" si="16"/>
        <v>1</v>
      </c>
      <c r="AC45" s="1371">
        <f t="shared" si="17"/>
        <v>1</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61"/>
      <c r="Q46" s="739">
        <f t="shared" si="11"/>
        <v>111</v>
      </c>
      <c r="R46" s="1360" t="s">
        <v>1481</v>
      </c>
      <c r="S46" s="1361">
        <f t="shared" si="12"/>
        <v>100</v>
      </c>
      <c r="T46" s="1360" t="s">
        <v>1481</v>
      </c>
      <c r="U46" s="1361">
        <f t="shared" si="13"/>
        <v>100</v>
      </c>
      <c r="V46" s="1360" t="s">
        <v>1481</v>
      </c>
      <c r="W46" s="1361">
        <f t="shared" si="14"/>
        <v>100</v>
      </c>
      <c r="X46" s="1354"/>
      <c r="Y46" s="3865"/>
      <c r="Z46" s="1344">
        <f t="shared" si="18"/>
        <v>111</v>
      </c>
      <c r="AA46" s="1371">
        <f t="shared" si="15"/>
        <v>1</v>
      </c>
      <c r="AB46" s="1371">
        <f t="shared" si="16"/>
        <v>1</v>
      </c>
      <c r="AC46" s="1371">
        <f t="shared" si="17"/>
        <v>1</v>
      </c>
    </row>
    <row r="47" spans="1:29" ht="15">
      <c r="A47" s="1243" t="s">
        <v>1525</v>
      </c>
      <c r="B47" s="1563"/>
      <c r="C47" s="1564" t="s">
        <v>124</v>
      </c>
      <c r="D47" s="1565"/>
      <c r="E47" s="1566">
        <f>宜春里!R3</f>
        <v>6506</v>
      </c>
      <c r="F47" s="1567"/>
      <c r="G47" s="1568">
        <f>宜春里!R4</f>
        <v>6789</v>
      </c>
      <c r="H47" s="1569"/>
      <c r="I47" s="1566">
        <f>宜春里!R5</f>
        <v>5622</v>
      </c>
      <c r="J47" s="1569"/>
      <c r="K47" s="1806"/>
      <c r="L47" s="1336"/>
      <c r="M47" s="1260"/>
      <c r="N47" s="1312"/>
      <c r="O47" s="1260"/>
      <c r="P47" s="3849" t="str">
        <f>A47</f>
        <v>成交单价（元/平方米）</v>
      </c>
      <c r="Q47" s="3849"/>
      <c r="R47" s="3850">
        <f>E47</f>
        <v>6506</v>
      </c>
      <c r="S47" s="3850"/>
      <c r="T47" s="3850">
        <f>G47</f>
        <v>6789</v>
      </c>
      <c r="U47" s="3850"/>
      <c r="V47" s="3850">
        <f>I47</f>
        <v>5622</v>
      </c>
      <c r="W47" s="3850"/>
      <c r="X47" s="1300"/>
      <c r="Y47" s="1373"/>
      <c r="Z47" s="1300"/>
      <c r="AA47" s="1300"/>
      <c r="AB47" s="1300"/>
      <c r="AC47" s="1300"/>
    </row>
    <row r="48" spans="1:29" ht="15">
      <c r="A48" s="1251" t="s">
        <v>1526</v>
      </c>
      <c r="B48" s="1570"/>
      <c r="C48" s="1571">
        <f>R49</f>
        <v>5473</v>
      </c>
      <c r="D48" s="1254" t="s">
        <v>1527</v>
      </c>
      <c r="E48" s="1572">
        <f>R48</f>
        <v>5630</v>
      </c>
      <c r="F48" s="1255"/>
      <c r="G48" s="1571">
        <f>T48</f>
        <v>5875</v>
      </c>
      <c r="H48" s="1255"/>
      <c r="I48" s="1572">
        <f>V48</f>
        <v>4914</v>
      </c>
      <c r="J48" s="1255"/>
      <c r="K48" s="1807">
        <f>F48+H48+J48</f>
        <v>0</v>
      </c>
      <c r="L48" s="1336"/>
      <c r="M48" s="1260"/>
      <c r="N48" s="1260"/>
      <c r="O48" s="1260"/>
      <c r="P48" s="3849" t="str">
        <f>A48</f>
        <v>比较价值（元/平方米）</v>
      </c>
      <c r="Q48" s="3849"/>
      <c r="R48" s="3850">
        <f>IF(F1="售价",ROUND(PRODUCT(R47,AA7:AA46),0),ROUND(PRODUCT(R47,AA7:AA46),1))</f>
        <v>5630</v>
      </c>
      <c r="S48" s="3850"/>
      <c r="T48" s="3850">
        <f>IF(F1="售价",ROUND(PRODUCT(T47,AB7:AB46),0),ROUND(PRODUCT(T47,AB7:AB46),1))</f>
        <v>5875</v>
      </c>
      <c r="U48" s="3850"/>
      <c r="V48" s="3850">
        <f>IF(F1="售价",ROUND(PRODUCT(V47,AC7:AC46),0),ROUND(PRODUCT(V47,AC7:AC46),1))</f>
        <v>4914</v>
      </c>
      <c r="W48" s="3850"/>
      <c r="X48" s="1300"/>
      <c r="Y48" s="1300"/>
      <c r="Z48" s="1300"/>
      <c r="AA48" s="1300"/>
      <c r="AB48" s="1300"/>
      <c r="AC48" s="1300"/>
    </row>
    <row r="49" spans="1:29" ht="15">
      <c r="A49" s="1257" t="s">
        <v>1528</v>
      </c>
      <c r="B49" s="1258"/>
      <c r="C49" s="1790">
        <f>R49</f>
        <v>5473</v>
      </c>
      <c r="D49" s="1573"/>
      <c r="E49" s="1573"/>
      <c r="F49" s="1573"/>
      <c r="G49" s="1573"/>
      <c r="H49" s="1573"/>
      <c r="I49" s="1573"/>
      <c r="J49" s="1573"/>
      <c r="K49" s="1808"/>
      <c r="L49" s="1336"/>
      <c r="M49" s="1260"/>
      <c r="N49" s="1260"/>
      <c r="O49" s="1260"/>
      <c r="P49" s="3851" t="str">
        <f>A49</f>
        <v>估价对象XX用房的比较价值（楼面单价，元/平方米）</v>
      </c>
      <c r="Q49" s="3852"/>
      <c r="R49" s="3853">
        <f>IF(F1="售价",ROUND(IF(D48="简单平均",AVERAGE(R48:V48),R48*F48+T48*H48+V48*J48),0),ROUND(IF(D48="简单平均",AVERAGE(R48:V48),R48*F48+T48*H48+V48*J48),1))</f>
        <v>5473</v>
      </c>
      <c r="S49" s="3853"/>
      <c r="T49" s="3853"/>
      <c r="U49" s="3853"/>
      <c r="V49" s="3853"/>
      <c r="W49" s="385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0.15559502664298397</v>
      </c>
      <c r="F52" s="1264" t="str">
        <f>IF(OR(E52&gt;=0.3,E52&lt;=-0.3),"超过30%","")</f>
        <v/>
      </c>
      <c r="G52" s="1263">
        <f>IF(G47&lt;G48,G48/G47-1,G47/G48-1)</f>
        <v>0.15557446808510633</v>
      </c>
      <c r="H52" s="1264" t="str">
        <f>IF(OR(G52&gt;=0.3,G52&lt;=-0.3),"超过30%","")</f>
        <v/>
      </c>
      <c r="I52" s="1263">
        <f>IF(I47&lt;I48,I48/I47-1,I47/I48-1)</f>
        <v>0.14407814407814401</v>
      </c>
      <c r="J52" s="1264" t="str">
        <f>IF(OR(I52&gt;=0.3,I52&lt;=-0.3),"超过30%","")</f>
        <v/>
      </c>
      <c r="K52" s="1340"/>
      <c r="L52" s="1341"/>
      <c r="M52" s="1260"/>
      <c r="N52" s="1260"/>
      <c r="O52" s="1260"/>
    </row>
    <row r="53" spans="1:29" ht="13.5" customHeight="1">
      <c r="A53" s="1260"/>
      <c r="B53" s="1260"/>
      <c r="C53" s="1262" t="s">
        <v>1530</v>
      </c>
      <c r="D53" s="782"/>
      <c r="E53" s="1263">
        <f>IF(E48&lt;G48,G48/E48-1,E48/G48-1)</f>
        <v>4.3516873889875685E-2</v>
      </c>
      <c r="F53" s="1264" t="str">
        <f>IF(OR(E53&gt;=0.2,E53&lt;=-0.2),"超过20%","")</f>
        <v/>
      </c>
      <c r="G53" s="1263">
        <f>IF(G48&lt;I48,I48/G48-1,G48/I48-1)</f>
        <v>0.19556369556369546</v>
      </c>
      <c r="H53" s="1264" t="str">
        <f>IF(OR(G53&gt;=0.2,G53&lt;=-0.2),"超过20%","")</f>
        <v/>
      </c>
      <c r="I53" s="1263">
        <f>IF(I48&lt;E48,E48/I48-1,I48/E48-1)</f>
        <v>0.14570614570614571</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4.3498309252997247E-2</v>
      </c>
      <c r="F54" s="1264" t="str">
        <f>IF(OR(E54&gt;=0.3,E54&lt;=-0.3),"超过30%","")</f>
        <v/>
      </c>
      <c r="G54" s="1263">
        <f>IF(G47&lt;I47,I47/G47-1,G47/I47-1)</f>
        <v>0.20757737459978665</v>
      </c>
      <c r="H54" s="1264" t="str">
        <f>IF(OR(G54&gt;=0.3,G54&lt;=-0.3),"超过30%","")</f>
        <v/>
      </c>
      <c r="I54" s="1263">
        <f>IF(I47&lt;E47,E47/I47-1,I47/E47-1)</f>
        <v>0.15723941657773044</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2008-11</v>
      </c>
      <c r="D58" s="1578">
        <f>EDATE(C58,-1)</f>
        <v>39722</v>
      </c>
      <c r="E58" s="1578">
        <f>EDATE(D58,-1)</f>
        <v>39692</v>
      </c>
      <c r="F58" s="1578">
        <f t="shared" ref="F58:O58" si="19">EDATE(E58,-1)</f>
        <v>39661</v>
      </c>
      <c r="G58" s="1578">
        <f t="shared" si="19"/>
        <v>39630</v>
      </c>
      <c r="H58" s="1578">
        <f t="shared" si="19"/>
        <v>39600</v>
      </c>
      <c r="I58" s="1578">
        <f t="shared" si="19"/>
        <v>39569</v>
      </c>
      <c r="J58" s="1578">
        <f t="shared" si="19"/>
        <v>39539</v>
      </c>
      <c r="K58" s="1578">
        <f t="shared" si="19"/>
        <v>39508</v>
      </c>
      <c r="L58" s="1578">
        <f t="shared" si="19"/>
        <v>39479</v>
      </c>
      <c r="M58" s="1578">
        <f t="shared" si="19"/>
        <v>39448</v>
      </c>
      <c r="N58" s="1578">
        <f t="shared" si="19"/>
        <v>39417</v>
      </c>
      <c r="O58" s="1578">
        <f t="shared" si="19"/>
        <v>39387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1503</v>
      </c>
      <c r="K88" s="1818" t="s">
        <v>1552</v>
      </c>
      <c r="L88" s="1818"/>
      <c r="M88" s="3619" t="s">
        <v>3390</v>
      </c>
      <c r="N88" s="1686"/>
      <c r="O88" s="1686"/>
      <c r="P88" s="1814"/>
      <c r="Q88" s="1683"/>
    </row>
    <row r="89" spans="1:17" s="1144" customFormat="1" ht="15">
      <c r="A89" s="1415"/>
      <c r="B89" s="1397"/>
      <c r="C89" s="1416">
        <v>100</v>
      </c>
      <c r="D89" s="1398">
        <f t="shared" ref="D89:M89" si="24">C89-$K26</f>
        <v>99</v>
      </c>
      <c r="E89" s="1398">
        <f t="shared" si="24"/>
        <v>98</v>
      </c>
      <c r="F89" s="1398">
        <f t="shared" si="24"/>
        <v>97</v>
      </c>
      <c r="G89" s="1398">
        <f t="shared" si="24"/>
        <v>96</v>
      </c>
      <c r="H89" s="1398">
        <f t="shared" si="24"/>
        <v>95</v>
      </c>
      <c r="I89" s="1398">
        <f t="shared" si="24"/>
        <v>94</v>
      </c>
      <c r="J89" s="1398">
        <f t="shared" si="24"/>
        <v>93</v>
      </c>
      <c r="K89" s="1398">
        <f t="shared" si="24"/>
        <v>92</v>
      </c>
      <c r="L89" s="1398">
        <f t="shared" si="24"/>
        <v>91</v>
      </c>
      <c r="M89" s="1398">
        <f t="shared" si="24"/>
        <v>90</v>
      </c>
      <c r="N89" s="1690"/>
      <c r="O89" s="1690"/>
      <c r="P89" s="1814"/>
      <c r="Q89" s="1683"/>
    </row>
    <row r="90" spans="1:17" s="1146" customFormat="1" ht="15">
      <c r="A90" s="1402"/>
      <c r="B90" s="1395" t="str">
        <f>B27</f>
        <v>楼层</v>
      </c>
      <c r="C90" s="1820" t="str">
        <f>C27</f>
        <v>2/6</v>
      </c>
      <c r="D90" s="1820" t="str">
        <f>E27</f>
        <v>5/6</v>
      </c>
      <c r="E90" s="1403" t="s">
        <v>1505</v>
      </c>
      <c r="F90" s="1403" t="s">
        <v>1506</v>
      </c>
      <c r="G90" s="1820"/>
      <c r="H90" s="1821"/>
      <c r="I90" s="1821"/>
      <c r="J90" s="1821"/>
      <c r="K90" s="1821"/>
      <c r="L90" s="1828"/>
      <c r="M90" s="1829"/>
      <c r="N90" s="1691"/>
      <c r="O90" s="1691"/>
      <c r="P90" s="1824"/>
      <c r="Q90" s="1693"/>
    </row>
    <row r="91" spans="1:17" s="1146" customFormat="1" ht="15">
      <c r="A91" s="1402"/>
      <c r="B91" s="1397"/>
      <c r="C91" s="1405">
        <v>100</v>
      </c>
      <c r="D91" s="1405">
        <v>101</v>
      </c>
      <c r="E91" s="1405">
        <v>100.4</v>
      </c>
      <c r="F91" s="1405">
        <v>102</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1507</v>
      </c>
      <c r="B100" s="1391" t="s">
        <v>1508</v>
      </c>
      <c r="C100" s="1822" t="s">
        <v>1553</v>
      </c>
      <c r="D100" s="1822" t="s">
        <v>3268</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v>
      </c>
      <c r="E101" s="1398">
        <f t="shared" si="25"/>
        <v>96</v>
      </c>
      <c r="F101" s="1398">
        <f t="shared" si="25"/>
        <v>94</v>
      </c>
      <c r="G101" s="1398">
        <f t="shared" si="25"/>
        <v>92</v>
      </c>
      <c r="H101" s="1398">
        <f t="shared" si="25"/>
        <v>90</v>
      </c>
      <c r="I101" s="1398">
        <f t="shared" si="25"/>
        <v>88</v>
      </c>
      <c r="J101" s="1398">
        <f t="shared" si="25"/>
        <v>86</v>
      </c>
      <c r="K101" s="1398">
        <f t="shared" si="25"/>
        <v>84</v>
      </c>
      <c r="L101" s="1398">
        <f t="shared" si="25"/>
        <v>82</v>
      </c>
      <c r="M101" s="1398">
        <f t="shared" si="25"/>
        <v>80</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823" t="s">
        <v>3392</v>
      </c>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3620" t="s">
        <v>3428</v>
      </c>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98</v>
      </c>
      <c r="E117" s="1398">
        <f>D117-$K39</f>
        <v>96</v>
      </c>
      <c r="F117" s="1398">
        <f>E117-$K39</f>
        <v>94</v>
      </c>
      <c r="G117" s="1398">
        <f>F117-$K39</f>
        <v>92</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97</v>
      </c>
      <c r="E123" s="1398">
        <f t="shared" si="32"/>
        <v>94</v>
      </c>
      <c r="F123" s="1398">
        <f t="shared" si="32"/>
        <v>91</v>
      </c>
      <c r="G123" s="1398">
        <f t="shared" si="32"/>
        <v>88</v>
      </c>
      <c r="H123" s="1398">
        <f t="shared" si="32"/>
        <v>85</v>
      </c>
      <c r="I123" s="1398">
        <f t="shared" si="32"/>
        <v>82</v>
      </c>
      <c r="J123" s="1398">
        <f t="shared" si="32"/>
        <v>79</v>
      </c>
      <c r="K123" s="1398">
        <f t="shared" si="32"/>
        <v>76</v>
      </c>
      <c r="L123" s="1398">
        <f t="shared" si="32"/>
        <v>73</v>
      </c>
      <c r="M123" s="1398">
        <f t="shared" si="32"/>
        <v>70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1993</v>
      </c>
      <c r="D126" s="1818">
        <v>1989</v>
      </c>
      <c r="E126" s="1403">
        <v>1987</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99</v>
      </c>
      <c r="E127" s="1394">
        <v>99</v>
      </c>
      <c r="F127" s="1394"/>
      <c r="G127" s="1405"/>
      <c r="H127" s="1406"/>
      <c r="I127" s="1406"/>
      <c r="J127" s="1406"/>
      <c r="K127" s="1406"/>
      <c r="L127" s="1406"/>
      <c r="M127" s="1456"/>
      <c r="N127" s="1691"/>
      <c r="O127" s="1691"/>
      <c r="P127" s="1824"/>
      <c r="Q127" s="1693"/>
    </row>
    <row r="128" spans="1:17">
      <c r="A128" s="1426"/>
      <c r="B128" s="1395">
        <f>B45</f>
        <v>111</v>
      </c>
      <c r="C128" s="1403"/>
      <c r="D128" s="1403"/>
      <c r="E128" s="1403"/>
      <c r="F128" s="1403"/>
      <c r="G128" s="1420"/>
      <c r="H128" s="1420"/>
      <c r="I128" s="1420"/>
      <c r="J128" s="1420"/>
      <c r="K128" s="1471"/>
      <c r="L128" s="1472"/>
      <c r="M128" s="1473"/>
      <c r="N128" s="1688"/>
      <c r="O128" s="1688"/>
      <c r="P128" s="1814"/>
      <c r="Q128" s="1683"/>
    </row>
    <row r="129" spans="1:17" ht="15">
      <c r="A129" s="1392"/>
      <c r="B129" s="1397"/>
      <c r="C129" s="1405"/>
      <c r="D129" s="1405"/>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48"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48"/>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48"/>
      <c r="AC6" s="3835"/>
    </row>
    <row r="7" spans="1:29" s="1144" customFormat="1" ht="15">
      <c r="A7" s="1169" t="s">
        <v>1479</v>
      </c>
      <c r="B7" s="1170"/>
      <c r="C7" s="1171">
        <f>'数据-取费表'!B2</f>
        <v>39779</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56"/>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57" t="s">
        <v>1493</v>
      </c>
      <c r="Q15" s="739" t="str">
        <f t="shared" si="6"/>
        <v>商业繁华度</v>
      </c>
      <c r="R15" s="1360" t="s">
        <v>1481</v>
      </c>
      <c r="S15" s="1361">
        <f t="shared" si="0"/>
        <v>100</v>
      </c>
      <c r="T15" s="1360" t="s">
        <v>1481</v>
      </c>
      <c r="U15" s="1361">
        <f t="shared" si="1"/>
        <v>100</v>
      </c>
      <c r="V15" s="1360" t="s">
        <v>1481</v>
      </c>
      <c r="W15" s="1361">
        <f t="shared" si="2"/>
        <v>100</v>
      </c>
      <c r="X15" s="1354"/>
      <c r="Y15" s="3862"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58"/>
      <c r="Q16" s="739"/>
      <c r="R16" s="1360"/>
      <c r="S16" s="1361"/>
      <c r="T16" s="1360"/>
      <c r="U16" s="1361"/>
      <c r="V16" s="1360"/>
      <c r="W16" s="1361"/>
      <c r="X16" s="1354"/>
      <c r="Y16" s="3863"/>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58"/>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58"/>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58"/>
      <c r="Q22" s="739"/>
      <c r="R22" s="1360"/>
      <c r="S22" s="1361"/>
      <c r="T22" s="1360"/>
      <c r="U22" s="1361"/>
      <c r="V22" s="1360"/>
      <c r="W22" s="1361"/>
      <c r="X22" s="1354"/>
      <c r="Y22" s="3863"/>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58"/>
      <c r="Q23" s="739" t="str">
        <f>B23</f>
        <v>自然及人文环境</v>
      </c>
      <c r="R23" s="1360" t="s">
        <v>1481</v>
      </c>
      <c r="S23" s="1361">
        <f>F23</f>
        <v>100</v>
      </c>
      <c r="T23" s="1360" t="s">
        <v>1481</v>
      </c>
      <c r="U23" s="1361">
        <f>H23</f>
        <v>100</v>
      </c>
      <c r="V23" s="1360" t="s">
        <v>1481</v>
      </c>
      <c r="W23" s="1361">
        <f>J23</f>
        <v>100</v>
      </c>
      <c r="X23" s="1354"/>
      <c r="Y23" s="3863"/>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58"/>
      <c r="Q24" s="739"/>
      <c r="R24" s="1360"/>
      <c r="S24" s="1361"/>
      <c r="T24" s="1360"/>
      <c r="U24" s="1361"/>
      <c r="V24" s="1360"/>
      <c r="W24" s="1361"/>
      <c r="X24" s="1354"/>
      <c r="Y24" s="3863"/>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58"/>
      <c r="Q25" s="739" t="str">
        <f t="shared" ref="Q25:Q46" si="11">B25</f>
        <v>临街状况</v>
      </c>
      <c r="R25" s="1360" t="s">
        <v>1481</v>
      </c>
      <c r="S25" s="1361">
        <f>F25</f>
        <v>100</v>
      </c>
      <c r="T25" s="1360" t="s">
        <v>1481</v>
      </c>
      <c r="U25" s="1361">
        <f>H25</f>
        <v>100</v>
      </c>
      <c r="V25" s="1360" t="s">
        <v>1481</v>
      </c>
      <c r="W25" s="1361">
        <f>J25</f>
        <v>100</v>
      </c>
      <c r="X25" s="1354"/>
      <c r="Y25" s="3863"/>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58"/>
      <c r="Q26" s="739" t="str">
        <f t="shared" si="11"/>
        <v>平面位置/可视性</v>
      </c>
      <c r="R26" s="1360" t="s">
        <v>1481</v>
      </c>
      <c r="S26" s="1361">
        <f>F26</f>
        <v>100</v>
      </c>
      <c r="T26" s="1360" t="s">
        <v>1481</v>
      </c>
      <c r="U26" s="1361">
        <f>H26</f>
        <v>100</v>
      </c>
      <c r="V26" s="1360" t="s">
        <v>1481</v>
      </c>
      <c r="W26" s="1361">
        <f>J26</f>
        <v>100</v>
      </c>
      <c r="X26" s="1354"/>
      <c r="Y26" s="3863"/>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58"/>
      <c r="Q27" s="1359" t="str">
        <f t="shared" si="11"/>
        <v>人流量</v>
      </c>
      <c r="R27" s="1355" t="s">
        <v>1481</v>
      </c>
      <c r="S27" s="1356">
        <f>F27</f>
        <v>100</v>
      </c>
      <c r="T27" s="1355" t="s">
        <v>1481</v>
      </c>
      <c r="U27" s="1356">
        <f>H27</f>
        <v>100</v>
      </c>
      <c r="V27" s="1355" t="s">
        <v>1481</v>
      </c>
      <c r="W27" s="1356">
        <f>J27</f>
        <v>100</v>
      </c>
      <c r="X27" s="1357"/>
      <c r="Y27" s="3863"/>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58"/>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63"/>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58"/>
      <c r="Q29" s="739">
        <f t="shared" si="11"/>
        <v>111</v>
      </c>
      <c r="R29" s="1360" t="s">
        <v>1481</v>
      </c>
      <c r="S29" s="1361">
        <f t="shared" si="12"/>
        <v>100</v>
      </c>
      <c r="T29" s="1360" t="s">
        <v>1481</v>
      </c>
      <c r="U29" s="1361">
        <f t="shared" si="13"/>
        <v>100</v>
      </c>
      <c r="V29" s="1360" t="s">
        <v>1481</v>
      </c>
      <c r="W29" s="1361">
        <f t="shared" si="14"/>
        <v>100</v>
      </c>
      <c r="X29" s="1354"/>
      <c r="Y29" s="3863"/>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5"/>
        <v>111</v>
      </c>
      <c r="AA31" s="1371">
        <f t="shared" si="3"/>
        <v>1</v>
      </c>
      <c r="AB31" s="1371">
        <f t="shared" si="4"/>
        <v>1</v>
      </c>
      <c r="AC31" s="1371">
        <f t="shared" si="5"/>
        <v>1</v>
      </c>
    </row>
    <row r="32" spans="1:29" ht="15">
      <c r="A32" s="1199" t="s">
        <v>1507</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59" t="s">
        <v>1509</v>
      </c>
      <c r="Q32" s="739" t="str">
        <f t="shared" si="11"/>
        <v>商业类型</v>
      </c>
      <c r="R32" s="1360" t="s">
        <v>1481</v>
      </c>
      <c r="S32" s="1361">
        <f t="shared" si="12"/>
        <v>100</v>
      </c>
      <c r="T32" s="1360" t="s">
        <v>1481</v>
      </c>
      <c r="U32" s="1361">
        <f t="shared" si="13"/>
        <v>100</v>
      </c>
      <c r="V32" s="1360" t="s">
        <v>1481</v>
      </c>
      <c r="W32" s="1361">
        <f t="shared" si="14"/>
        <v>100</v>
      </c>
      <c r="X32" s="1354"/>
      <c r="Y32" s="3864"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60"/>
      <c r="Q33" s="1588" t="str">
        <f t="shared" si="11"/>
        <v>项目建筑规模</v>
      </c>
      <c r="R33" s="1362" t="s">
        <v>1481</v>
      </c>
      <c r="S33" s="1363" t="e">
        <f t="shared" si="12"/>
        <v>#N/A</v>
      </c>
      <c r="T33" s="1362" t="s">
        <v>1481</v>
      </c>
      <c r="U33" s="1363" t="e">
        <f t="shared" si="13"/>
        <v>#N/A</v>
      </c>
      <c r="V33" s="1362" t="s">
        <v>1481</v>
      </c>
      <c r="W33" s="1363" t="e">
        <f t="shared" si="14"/>
        <v>#N/A</v>
      </c>
      <c r="X33" s="1364"/>
      <c r="Y33" s="3864"/>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60"/>
      <c r="Q34" s="739" t="str">
        <f t="shared" si="11"/>
        <v>建筑结构</v>
      </c>
      <c r="R34" s="1360" t="s">
        <v>1481</v>
      </c>
      <c r="S34" s="1361">
        <f t="shared" si="12"/>
        <v>100</v>
      </c>
      <c r="T34" s="1360" t="s">
        <v>1481</v>
      </c>
      <c r="U34" s="1361">
        <f t="shared" si="13"/>
        <v>100</v>
      </c>
      <c r="V34" s="1360" t="s">
        <v>1481</v>
      </c>
      <c r="W34" s="1361">
        <f t="shared" si="14"/>
        <v>100</v>
      </c>
      <c r="X34" s="1354"/>
      <c r="Y34" s="3864"/>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60"/>
      <c r="Q35" s="739" t="str">
        <f t="shared" si="11"/>
        <v>公共部分装修</v>
      </c>
      <c r="R35" s="1360" t="s">
        <v>1481</v>
      </c>
      <c r="S35" s="1361">
        <f t="shared" si="12"/>
        <v>100</v>
      </c>
      <c r="T35" s="1360" t="s">
        <v>1481</v>
      </c>
      <c r="U35" s="1361">
        <f t="shared" si="13"/>
        <v>100</v>
      </c>
      <c r="V35" s="1360" t="s">
        <v>1481</v>
      </c>
      <c r="W35" s="1361">
        <f t="shared" si="14"/>
        <v>100</v>
      </c>
      <c r="X35" s="1354"/>
      <c r="Y35" s="3864"/>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60"/>
      <c r="Q36" s="739" t="str">
        <f t="shared" si="11"/>
        <v>成新度</v>
      </c>
      <c r="R36" s="1360" t="s">
        <v>1481</v>
      </c>
      <c r="S36" s="1361" t="e">
        <f t="shared" si="12"/>
        <v>#N/A</v>
      </c>
      <c r="T36" s="1360" t="s">
        <v>1481</v>
      </c>
      <c r="U36" s="1361" t="e">
        <f t="shared" si="13"/>
        <v>#N/A</v>
      </c>
      <c r="V36" s="1360" t="s">
        <v>1481</v>
      </c>
      <c r="W36" s="1361" t="e">
        <f t="shared" si="14"/>
        <v>#N/A</v>
      </c>
      <c r="X36" s="1354"/>
      <c r="Y36" s="3864"/>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60"/>
      <c r="Q37" s="1359" t="str">
        <f t="shared" si="11"/>
        <v>市政基础设施</v>
      </c>
      <c r="R37" s="1355" t="s">
        <v>1481</v>
      </c>
      <c r="S37" s="1356">
        <f t="shared" si="12"/>
        <v>100</v>
      </c>
      <c r="T37" s="1355" t="s">
        <v>1481</v>
      </c>
      <c r="U37" s="1356">
        <f t="shared" si="13"/>
        <v>100</v>
      </c>
      <c r="V37" s="1355" t="s">
        <v>1481</v>
      </c>
      <c r="W37" s="1356">
        <f t="shared" si="14"/>
        <v>100</v>
      </c>
      <c r="X37" s="1357"/>
      <c r="Y37" s="3864"/>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60" t="s">
        <v>1509</v>
      </c>
      <c r="Q38" s="739" t="str">
        <f t="shared" si="11"/>
        <v>业态</v>
      </c>
      <c r="R38" s="1360" t="s">
        <v>1481</v>
      </c>
      <c r="S38" s="1361">
        <f t="shared" si="12"/>
        <v>100</v>
      </c>
      <c r="T38" s="1360" t="s">
        <v>1481</v>
      </c>
      <c r="U38" s="1361">
        <f t="shared" si="13"/>
        <v>100</v>
      </c>
      <c r="V38" s="1360" t="s">
        <v>1481</v>
      </c>
      <c r="W38" s="1361">
        <f t="shared" si="14"/>
        <v>100</v>
      </c>
      <c r="X38" s="1354"/>
      <c r="Y38" s="3864"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60"/>
      <c r="Q39" s="739" t="str">
        <f t="shared" si="11"/>
        <v>层高</v>
      </c>
      <c r="R39" s="1360" t="s">
        <v>1481</v>
      </c>
      <c r="S39" s="1361">
        <f t="shared" si="12"/>
        <v>100</v>
      </c>
      <c r="T39" s="1360" t="s">
        <v>1481</v>
      </c>
      <c r="U39" s="1361">
        <f t="shared" si="13"/>
        <v>100</v>
      </c>
      <c r="V39" s="1360" t="s">
        <v>1481</v>
      </c>
      <c r="W39" s="1361">
        <f t="shared" si="14"/>
        <v>100</v>
      </c>
      <c r="X39" s="1354"/>
      <c r="Y39" s="3864"/>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60"/>
      <c r="Q40" s="739" t="str">
        <f t="shared" si="11"/>
        <v>单套建筑面积</v>
      </c>
      <c r="R40" s="1360" t="s">
        <v>1481</v>
      </c>
      <c r="S40" s="1361">
        <f t="shared" si="12"/>
        <v>100</v>
      </c>
      <c r="T40" s="1360" t="s">
        <v>1481</v>
      </c>
      <c r="U40" s="1361">
        <f t="shared" si="13"/>
        <v>100</v>
      </c>
      <c r="V40" s="1360" t="s">
        <v>1481</v>
      </c>
      <c r="W40" s="1361">
        <f t="shared" si="14"/>
        <v>100</v>
      </c>
      <c r="X40" s="1354"/>
      <c r="Y40" s="3864"/>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60"/>
      <c r="Q41" s="1588" t="str">
        <f t="shared" si="11"/>
        <v>进深比</v>
      </c>
      <c r="R41" s="1362" t="s">
        <v>1481</v>
      </c>
      <c r="S41" s="1363">
        <f t="shared" si="12"/>
        <v>100</v>
      </c>
      <c r="T41" s="1362" t="s">
        <v>1481</v>
      </c>
      <c r="U41" s="1363">
        <f t="shared" si="13"/>
        <v>100</v>
      </c>
      <c r="V41" s="1362" t="s">
        <v>1481</v>
      </c>
      <c r="W41" s="1363">
        <f t="shared" si="14"/>
        <v>100</v>
      </c>
      <c r="X41" s="1364"/>
      <c r="Y41" s="3864"/>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60"/>
      <c r="Q42" s="739" t="str">
        <f t="shared" si="11"/>
        <v>内部装修</v>
      </c>
      <c r="R42" s="1360" t="s">
        <v>1481</v>
      </c>
      <c r="S42" s="1361">
        <f t="shared" si="12"/>
        <v>100</v>
      </c>
      <c r="T42" s="1360" t="s">
        <v>1481</v>
      </c>
      <c r="U42" s="1361">
        <f t="shared" si="13"/>
        <v>100</v>
      </c>
      <c r="V42" s="1360" t="s">
        <v>1481</v>
      </c>
      <c r="W42" s="1361">
        <f t="shared" si="14"/>
        <v>100</v>
      </c>
      <c r="X42" s="1354"/>
      <c r="Y42" s="3864"/>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60"/>
      <c r="Q43" s="739" t="str">
        <f t="shared" si="11"/>
        <v>内部装修维护情况</v>
      </c>
      <c r="R43" s="1360" t="s">
        <v>1481</v>
      </c>
      <c r="S43" s="1361">
        <f t="shared" si="12"/>
        <v>100</v>
      </c>
      <c r="T43" s="1360" t="s">
        <v>1481</v>
      </c>
      <c r="U43" s="1361">
        <f t="shared" si="13"/>
        <v>100</v>
      </c>
      <c r="V43" s="1360" t="s">
        <v>1481</v>
      </c>
      <c r="W43" s="1361">
        <f t="shared" si="14"/>
        <v>100</v>
      </c>
      <c r="X43" s="1354"/>
      <c r="Y43" s="3864"/>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60"/>
      <c r="Q44" s="1359">
        <f t="shared" si="11"/>
        <v>111</v>
      </c>
      <c r="R44" s="1355" t="s">
        <v>1481</v>
      </c>
      <c r="S44" s="1356">
        <f t="shared" si="12"/>
        <v>100</v>
      </c>
      <c r="T44" s="1355" t="s">
        <v>1481</v>
      </c>
      <c r="U44" s="1356">
        <f t="shared" si="13"/>
        <v>100</v>
      </c>
      <c r="V44" s="1355" t="s">
        <v>1481</v>
      </c>
      <c r="W44" s="1356">
        <f t="shared" si="14"/>
        <v>100</v>
      </c>
      <c r="X44" s="1357"/>
      <c r="Y44" s="3864"/>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60"/>
      <c r="Q45" s="739">
        <f t="shared" si="11"/>
        <v>111</v>
      </c>
      <c r="R45" s="1360" t="s">
        <v>1481</v>
      </c>
      <c r="S45" s="1361">
        <f t="shared" si="12"/>
        <v>100</v>
      </c>
      <c r="T45" s="1360" t="s">
        <v>1481</v>
      </c>
      <c r="U45" s="1361">
        <f t="shared" si="13"/>
        <v>100</v>
      </c>
      <c r="V45" s="1360" t="s">
        <v>1481</v>
      </c>
      <c r="W45" s="1361">
        <f t="shared" si="14"/>
        <v>100</v>
      </c>
      <c r="X45" s="1354"/>
      <c r="Y45" s="3864"/>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61"/>
      <c r="Q46" s="739">
        <f t="shared" si="11"/>
        <v>111</v>
      </c>
      <c r="R46" s="1360" t="s">
        <v>1481</v>
      </c>
      <c r="S46" s="1361">
        <f t="shared" si="12"/>
        <v>100</v>
      </c>
      <c r="T46" s="1360" t="s">
        <v>1481</v>
      </c>
      <c r="U46" s="1361">
        <f t="shared" si="13"/>
        <v>100</v>
      </c>
      <c r="V46" s="1360" t="s">
        <v>1481</v>
      </c>
      <c r="W46" s="1361">
        <f t="shared" si="14"/>
        <v>100</v>
      </c>
      <c r="X46" s="1354"/>
      <c r="Y46" s="3865"/>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49" t="str">
        <f>A47</f>
        <v>成交单价（元/平方米）</v>
      </c>
      <c r="Q47" s="3849"/>
      <c r="R47" s="3848">
        <f>E47</f>
        <v>0</v>
      </c>
      <c r="S47" s="3848"/>
      <c r="T47" s="3848">
        <f>G47</f>
        <v>0</v>
      </c>
      <c r="U47" s="3848"/>
      <c r="V47" s="3848">
        <f>I47</f>
        <v>0</v>
      </c>
      <c r="W47" s="3848"/>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2008-11</v>
      </c>
      <c r="D58" s="1578">
        <f>EDATE(C58,-1)</f>
        <v>39722</v>
      </c>
      <c r="E58" s="1578">
        <f t="shared" ref="E58:O58" si="16">EDATE(D58,-1)</f>
        <v>39692</v>
      </c>
      <c r="F58" s="1578">
        <f t="shared" si="16"/>
        <v>39661</v>
      </c>
      <c r="G58" s="1578">
        <f t="shared" si="16"/>
        <v>39630</v>
      </c>
      <c r="H58" s="1578">
        <f t="shared" si="16"/>
        <v>39600</v>
      </c>
      <c r="I58" s="1578">
        <f t="shared" si="16"/>
        <v>39569</v>
      </c>
      <c r="J58" s="1578">
        <f t="shared" si="16"/>
        <v>39539</v>
      </c>
      <c r="K58" s="1578">
        <f t="shared" si="16"/>
        <v>39508</v>
      </c>
      <c r="L58" s="1578">
        <f t="shared" si="16"/>
        <v>39479</v>
      </c>
      <c r="M58" s="1578">
        <f t="shared" si="16"/>
        <v>39448</v>
      </c>
      <c r="N58" s="1578">
        <f t="shared" si="16"/>
        <v>39417</v>
      </c>
      <c r="O58" s="1578">
        <f t="shared" si="16"/>
        <v>39387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1507</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86" t="s">
        <v>1475</v>
      </c>
      <c r="Q4" s="3887"/>
      <c r="R4" s="3890" t="s">
        <v>1471</v>
      </c>
      <c r="S4" s="3891"/>
      <c r="T4" s="3890" t="s">
        <v>1472</v>
      </c>
      <c r="U4" s="3891"/>
      <c r="V4" s="3892" t="s">
        <v>1473</v>
      </c>
      <c r="W4" s="3892"/>
      <c r="X4" s="1712"/>
      <c r="Y4" s="3890" t="s">
        <v>1475</v>
      </c>
      <c r="Z4" s="3891"/>
      <c r="AA4" s="3882" t="s">
        <v>1471</v>
      </c>
      <c r="AB4" s="3882" t="s">
        <v>1472</v>
      </c>
      <c r="AC4" s="3883" t="s">
        <v>1473</v>
      </c>
    </row>
    <row r="5" spans="1:29" ht="15">
      <c r="A5" s="1165"/>
      <c r="B5" s="1166"/>
      <c r="C5" s="3880" t="s">
        <v>1476</v>
      </c>
      <c r="D5" s="3876"/>
      <c r="E5" s="3881" t="s">
        <v>1783</v>
      </c>
      <c r="F5" s="3878"/>
      <c r="G5" s="3880" t="s">
        <v>1784</v>
      </c>
      <c r="H5" s="3876"/>
      <c r="I5" s="3880" t="s">
        <v>1785</v>
      </c>
      <c r="J5" s="3876"/>
      <c r="K5" s="1310"/>
      <c r="L5" s="1311"/>
      <c r="M5" s="1312"/>
      <c r="N5" s="1312"/>
      <c r="O5" s="1312"/>
      <c r="P5" s="3888"/>
      <c r="Q5" s="3839"/>
      <c r="R5" s="3844"/>
      <c r="S5" s="3845"/>
      <c r="T5" s="3844"/>
      <c r="U5" s="3845"/>
      <c r="V5" s="3848"/>
      <c r="W5" s="3848"/>
      <c r="X5" s="1354"/>
      <c r="Y5" s="3844"/>
      <c r="Z5" s="3845"/>
      <c r="AA5" s="3834"/>
      <c r="AB5" s="3834"/>
      <c r="AC5" s="3884"/>
    </row>
    <row r="6" spans="1:29" ht="15">
      <c r="A6" s="1167"/>
      <c r="B6" s="1168"/>
      <c r="C6" s="3866" t="s">
        <v>1477</v>
      </c>
      <c r="D6" s="3867"/>
      <c r="E6" s="3868" t="s">
        <v>1477</v>
      </c>
      <c r="F6" s="3869"/>
      <c r="G6" s="3866" t="s">
        <v>1477</v>
      </c>
      <c r="H6" s="3867"/>
      <c r="I6" s="3866" t="s">
        <v>1477</v>
      </c>
      <c r="J6" s="3867"/>
      <c r="K6" s="1310" t="s">
        <v>1478</v>
      </c>
      <c r="L6" s="1311"/>
      <c r="M6" s="1312"/>
      <c r="N6" s="1312"/>
      <c r="O6" s="1312"/>
      <c r="P6" s="3889"/>
      <c r="Q6" s="3841"/>
      <c r="R6" s="3844"/>
      <c r="S6" s="3845"/>
      <c r="T6" s="3846"/>
      <c r="U6" s="3847"/>
      <c r="V6" s="3848"/>
      <c r="W6" s="3848"/>
      <c r="X6" s="1354"/>
      <c r="Y6" s="3846"/>
      <c r="Z6" s="3847"/>
      <c r="AA6" s="3835"/>
      <c r="AB6" s="3835"/>
      <c r="AC6" s="3885"/>
    </row>
    <row r="7" spans="1:29" s="1144" customFormat="1" ht="15">
      <c r="A7" s="1169" t="s">
        <v>1479</v>
      </c>
      <c r="B7" s="1170"/>
      <c r="C7" s="1171">
        <f>'数据-取费表'!B2</f>
        <v>39779</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96"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96" t="s">
        <v>1484</v>
      </c>
      <c r="Q8" s="3855"/>
      <c r="R8" s="1355" t="s">
        <v>1481</v>
      </c>
      <c r="S8" s="1356">
        <f t="shared" si="0"/>
        <v>100</v>
      </c>
      <c r="T8" s="1355" t="s">
        <v>1481</v>
      </c>
      <c r="U8" s="1356">
        <f t="shared" si="1"/>
        <v>100</v>
      </c>
      <c r="V8" s="1355" t="s">
        <v>1481</v>
      </c>
      <c r="W8" s="1356">
        <f t="shared" si="2"/>
        <v>100</v>
      </c>
      <c r="X8" s="1357"/>
      <c r="Y8" s="3854" t="s">
        <v>1484</v>
      </c>
      <c r="Z8" s="3855"/>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56"/>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57" t="s">
        <v>1493</v>
      </c>
      <c r="Q15" s="739" t="str">
        <f t="shared" si="6"/>
        <v>办公集聚程度</v>
      </c>
      <c r="R15" s="1360" t="s">
        <v>1481</v>
      </c>
      <c r="S15" s="1361">
        <f t="shared" si="0"/>
        <v>100</v>
      </c>
      <c r="T15" s="1360" t="s">
        <v>1481</v>
      </c>
      <c r="U15" s="1361">
        <f t="shared" si="1"/>
        <v>100</v>
      </c>
      <c r="V15" s="1360" t="s">
        <v>1481</v>
      </c>
      <c r="W15" s="1361">
        <f t="shared" si="2"/>
        <v>100</v>
      </c>
      <c r="X15" s="1354"/>
      <c r="Y15" s="3862"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58"/>
      <c r="Q16" s="739"/>
      <c r="R16" s="1360"/>
      <c r="S16" s="1361"/>
      <c r="T16" s="1360"/>
      <c r="U16" s="1361"/>
      <c r="V16" s="1360"/>
      <c r="W16" s="1361"/>
      <c r="X16" s="1354"/>
      <c r="Y16" s="3863"/>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58"/>
      <c r="Q18" s="739"/>
      <c r="R18" s="1360"/>
      <c r="S18" s="1361"/>
      <c r="T18" s="1360"/>
      <c r="U18" s="1361"/>
      <c r="V18" s="1360"/>
      <c r="W18" s="1361"/>
      <c r="X18" s="1354"/>
      <c r="Y18" s="3863"/>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58"/>
      <c r="Q20" s="739"/>
      <c r="R20" s="1360"/>
      <c r="S20" s="1361"/>
      <c r="T20" s="1360"/>
      <c r="U20" s="1361"/>
      <c r="V20" s="1360"/>
      <c r="W20" s="1361"/>
      <c r="X20" s="1354"/>
      <c r="Y20" s="3863"/>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58"/>
      <c r="Q22" s="739"/>
      <c r="R22" s="1360"/>
      <c r="S22" s="1361"/>
      <c r="T22" s="1360"/>
      <c r="U22" s="1361"/>
      <c r="V22" s="1360"/>
      <c r="W22" s="1361"/>
      <c r="X22" s="1354"/>
      <c r="Y22" s="3863"/>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58"/>
      <c r="Q23" s="739" t="str">
        <f>B23</f>
        <v>环境质量</v>
      </c>
      <c r="R23" s="1360" t="s">
        <v>1481</v>
      </c>
      <c r="S23" s="1361">
        <f>F23</f>
        <v>100</v>
      </c>
      <c r="T23" s="1360" t="s">
        <v>1481</v>
      </c>
      <c r="U23" s="1361">
        <f>H23</f>
        <v>100</v>
      </c>
      <c r="V23" s="1360" t="s">
        <v>1481</v>
      </c>
      <c r="W23" s="1361">
        <f>J23</f>
        <v>100</v>
      </c>
      <c r="X23" s="1354"/>
      <c r="Y23" s="3863"/>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58"/>
      <c r="Q24" s="739"/>
      <c r="R24" s="1360"/>
      <c r="S24" s="1361"/>
      <c r="T24" s="1360"/>
      <c r="U24" s="1361"/>
      <c r="V24" s="1360"/>
      <c r="W24" s="1361"/>
      <c r="X24" s="1354"/>
      <c r="Y24" s="3863"/>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58"/>
      <c r="Q25" s="739" t="str">
        <f>B25</f>
        <v>毗邻道路的类型与等级</v>
      </c>
      <c r="R25" s="1360" t="s">
        <v>1481</v>
      </c>
      <c r="S25" s="1361">
        <f>F25</f>
        <v>100</v>
      </c>
      <c r="T25" s="1360" t="s">
        <v>1481</v>
      </c>
      <c r="U25" s="1361">
        <f>H25</f>
        <v>100</v>
      </c>
      <c r="V25" s="1360" t="s">
        <v>1481</v>
      </c>
      <c r="W25" s="1361">
        <f>J25</f>
        <v>100</v>
      </c>
      <c r="X25" s="1354"/>
      <c r="Y25" s="3863"/>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58"/>
      <c r="Q26" s="739"/>
      <c r="R26" s="1360"/>
      <c r="S26" s="1361"/>
      <c r="T26" s="1360"/>
      <c r="U26" s="1361"/>
      <c r="V26" s="1360"/>
      <c r="W26" s="1361"/>
      <c r="X26" s="1354"/>
      <c r="Y26" s="3863"/>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58"/>
      <c r="Q27" s="739" t="str">
        <f t="shared" ref="Q27:Q47" si="11">B27</f>
        <v>楼层</v>
      </c>
      <c r="R27" s="1360" t="s">
        <v>1481</v>
      </c>
      <c r="S27" s="1361">
        <f>F27</f>
        <v>100</v>
      </c>
      <c r="T27" s="1360" t="s">
        <v>1481</v>
      </c>
      <c r="U27" s="1361">
        <f>H27</f>
        <v>100</v>
      </c>
      <c r="V27" s="1360" t="s">
        <v>1481</v>
      </c>
      <c r="W27" s="1361">
        <f>J27</f>
        <v>100</v>
      </c>
      <c r="X27" s="1354"/>
      <c r="Y27" s="3863"/>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58"/>
      <c r="Q28" s="1359" t="str">
        <f t="shared" si="11"/>
        <v>朝向</v>
      </c>
      <c r="R28" s="1355" t="s">
        <v>1481</v>
      </c>
      <c r="S28" s="1356">
        <f>F28</f>
        <v>100</v>
      </c>
      <c r="T28" s="1355" t="s">
        <v>1481</v>
      </c>
      <c r="U28" s="1356">
        <f>H28</f>
        <v>100</v>
      </c>
      <c r="V28" s="1355" t="s">
        <v>1481</v>
      </c>
      <c r="W28" s="1356">
        <f>J28</f>
        <v>100</v>
      </c>
      <c r="X28" s="1357"/>
      <c r="Y28" s="3863"/>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58"/>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63"/>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58"/>
      <c r="Q32" s="739">
        <f t="shared" si="11"/>
        <v>111</v>
      </c>
      <c r="R32" s="1360" t="s">
        <v>1481</v>
      </c>
      <c r="S32" s="1361">
        <f t="shared" si="12"/>
        <v>100</v>
      </c>
      <c r="T32" s="1360" t="s">
        <v>1481</v>
      </c>
      <c r="U32" s="1361">
        <f t="shared" si="13"/>
        <v>100</v>
      </c>
      <c r="V32" s="1360" t="s">
        <v>1481</v>
      </c>
      <c r="W32" s="1361">
        <f t="shared" si="14"/>
        <v>100</v>
      </c>
      <c r="X32" s="1354"/>
      <c r="Y32" s="3863"/>
      <c r="Z32" s="1344">
        <f t="shared" si="15"/>
        <v>111</v>
      </c>
      <c r="AA32" s="1371">
        <f t="shared" si="3"/>
        <v>1</v>
      </c>
      <c r="AB32" s="1371">
        <f t="shared" si="4"/>
        <v>1</v>
      </c>
      <c r="AC32" s="1715">
        <f t="shared" si="5"/>
        <v>1</v>
      </c>
    </row>
    <row r="33" spans="1:29" ht="15">
      <c r="A33" s="1199" t="s">
        <v>1507</v>
      </c>
      <c r="B33" s="1178" t="s">
        <v>1508</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59" t="s">
        <v>1509</v>
      </c>
      <c r="Q33" s="739" t="str">
        <f t="shared" si="11"/>
        <v>建筑类型</v>
      </c>
      <c r="R33" s="1360" t="s">
        <v>1481</v>
      </c>
      <c r="S33" s="1361">
        <f t="shared" si="12"/>
        <v>100</v>
      </c>
      <c r="T33" s="1360" t="s">
        <v>1481</v>
      </c>
      <c r="U33" s="1361">
        <f t="shared" si="13"/>
        <v>100</v>
      </c>
      <c r="V33" s="1360" t="s">
        <v>1481</v>
      </c>
      <c r="W33" s="1361">
        <f t="shared" si="14"/>
        <v>100</v>
      </c>
      <c r="X33" s="1354"/>
      <c r="Y33" s="3864"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60"/>
      <c r="Q34" s="1588" t="str">
        <f t="shared" si="11"/>
        <v>项目建筑规模</v>
      </c>
      <c r="R34" s="1362" t="s">
        <v>1481</v>
      </c>
      <c r="S34" s="1363" t="e">
        <f t="shared" si="12"/>
        <v>#N/A</v>
      </c>
      <c r="T34" s="1362" t="s">
        <v>1481</v>
      </c>
      <c r="U34" s="1363" t="e">
        <f t="shared" si="13"/>
        <v>#N/A</v>
      </c>
      <c r="V34" s="1362" t="s">
        <v>1481</v>
      </c>
      <c r="W34" s="1363" t="e">
        <f t="shared" si="14"/>
        <v>#N/A</v>
      </c>
      <c r="X34" s="1364"/>
      <c r="Y34" s="3864"/>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60"/>
      <c r="Q35" s="739" t="str">
        <f t="shared" si="11"/>
        <v>建筑结构</v>
      </c>
      <c r="R35" s="1360" t="s">
        <v>1481</v>
      </c>
      <c r="S35" s="1361">
        <f t="shared" si="12"/>
        <v>100</v>
      </c>
      <c r="T35" s="1360" t="s">
        <v>1481</v>
      </c>
      <c r="U35" s="1361">
        <f t="shared" si="13"/>
        <v>100</v>
      </c>
      <c r="V35" s="1360" t="s">
        <v>1481</v>
      </c>
      <c r="W35" s="1361">
        <f t="shared" si="14"/>
        <v>100</v>
      </c>
      <c r="X35" s="1354"/>
      <c r="Y35" s="3864"/>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60"/>
      <c r="Q36" s="739" t="str">
        <f t="shared" si="11"/>
        <v>公共部分装修</v>
      </c>
      <c r="R36" s="1360" t="s">
        <v>1481</v>
      </c>
      <c r="S36" s="1361">
        <f t="shared" si="12"/>
        <v>100</v>
      </c>
      <c r="T36" s="1360" t="s">
        <v>1481</v>
      </c>
      <c r="U36" s="1361">
        <f t="shared" si="13"/>
        <v>100</v>
      </c>
      <c r="V36" s="1360" t="s">
        <v>1481</v>
      </c>
      <c r="W36" s="1361">
        <f t="shared" si="14"/>
        <v>100</v>
      </c>
      <c r="X36" s="1354"/>
      <c r="Y36" s="3864"/>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60"/>
      <c r="Q37" s="739" t="str">
        <f t="shared" si="11"/>
        <v>成新度</v>
      </c>
      <c r="R37" s="1360" t="s">
        <v>1481</v>
      </c>
      <c r="S37" s="1361" t="e">
        <f t="shared" si="12"/>
        <v>#N/A</v>
      </c>
      <c r="T37" s="1360" t="s">
        <v>1481</v>
      </c>
      <c r="U37" s="1361" t="e">
        <f t="shared" si="13"/>
        <v>#N/A</v>
      </c>
      <c r="V37" s="1360" t="s">
        <v>1481</v>
      </c>
      <c r="W37" s="1361" t="e">
        <f t="shared" si="14"/>
        <v>#N/A</v>
      </c>
      <c r="X37" s="1354"/>
      <c r="Y37" s="3864"/>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60"/>
      <c r="Q38" s="1359" t="str">
        <f t="shared" si="11"/>
        <v>写字楼等级</v>
      </c>
      <c r="R38" s="1355" t="s">
        <v>1481</v>
      </c>
      <c r="S38" s="1356">
        <f t="shared" si="12"/>
        <v>100</v>
      </c>
      <c r="T38" s="1355" t="s">
        <v>1481</v>
      </c>
      <c r="U38" s="1356">
        <f t="shared" si="13"/>
        <v>100</v>
      </c>
      <c r="V38" s="1355" t="s">
        <v>1481</v>
      </c>
      <c r="W38" s="1356">
        <f t="shared" si="14"/>
        <v>100</v>
      </c>
      <c r="X38" s="1357"/>
      <c r="Y38" s="3864"/>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60" t="s">
        <v>1509</v>
      </c>
      <c r="Q39" s="739" t="str">
        <f t="shared" si="11"/>
        <v>物业管理</v>
      </c>
      <c r="R39" s="1360" t="s">
        <v>1481</v>
      </c>
      <c r="S39" s="1361">
        <f t="shared" si="12"/>
        <v>100</v>
      </c>
      <c r="T39" s="1360" t="s">
        <v>1481</v>
      </c>
      <c r="U39" s="1361">
        <f t="shared" si="13"/>
        <v>100</v>
      </c>
      <c r="V39" s="1360" t="s">
        <v>1481</v>
      </c>
      <c r="W39" s="1361">
        <f t="shared" si="14"/>
        <v>100</v>
      </c>
      <c r="X39" s="1354"/>
      <c r="Y39" s="3864"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60"/>
      <c r="Q40" s="739" t="str">
        <f t="shared" si="11"/>
        <v>市政基础设施</v>
      </c>
      <c r="R40" s="1360" t="s">
        <v>1481</v>
      </c>
      <c r="S40" s="1361">
        <f t="shared" si="12"/>
        <v>100</v>
      </c>
      <c r="T40" s="1360" t="s">
        <v>1481</v>
      </c>
      <c r="U40" s="1361">
        <f t="shared" si="13"/>
        <v>100</v>
      </c>
      <c r="V40" s="1360" t="s">
        <v>1481</v>
      </c>
      <c r="W40" s="1361">
        <f t="shared" si="14"/>
        <v>100</v>
      </c>
      <c r="X40" s="1354"/>
      <c r="Y40" s="3864"/>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60"/>
      <c r="Q41" s="739" t="str">
        <f t="shared" si="11"/>
        <v>层高</v>
      </c>
      <c r="R41" s="1360" t="s">
        <v>1481</v>
      </c>
      <c r="S41" s="1361">
        <f t="shared" si="12"/>
        <v>100</v>
      </c>
      <c r="T41" s="1360" t="s">
        <v>1481</v>
      </c>
      <c r="U41" s="1361">
        <f t="shared" si="13"/>
        <v>100</v>
      </c>
      <c r="V41" s="1360" t="s">
        <v>1481</v>
      </c>
      <c r="W41" s="1361">
        <f t="shared" si="14"/>
        <v>100</v>
      </c>
      <c r="X41" s="1354"/>
      <c r="Y41" s="3864"/>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60"/>
      <c r="Q42" s="1588" t="str">
        <f t="shared" si="11"/>
        <v>单套建筑面积</v>
      </c>
      <c r="R42" s="1362" t="s">
        <v>1481</v>
      </c>
      <c r="S42" s="1363">
        <f t="shared" si="12"/>
        <v>100</v>
      </c>
      <c r="T42" s="1362" t="s">
        <v>1481</v>
      </c>
      <c r="U42" s="1363">
        <f t="shared" si="13"/>
        <v>100</v>
      </c>
      <c r="V42" s="1362" t="s">
        <v>1481</v>
      </c>
      <c r="W42" s="1363">
        <f t="shared" si="14"/>
        <v>100</v>
      </c>
      <c r="X42" s="1364"/>
      <c r="Y42" s="3864"/>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60"/>
      <c r="Q43" s="739" t="str">
        <f t="shared" si="11"/>
        <v>内部装修</v>
      </c>
      <c r="R43" s="1360" t="s">
        <v>1481</v>
      </c>
      <c r="S43" s="1361">
        <f t="shared" si="12"/>
        <v>100</v>
      </c>
      <c r="T43" s="1360" t="s">
        <v>1481</v>
      </c>
      <c r="U43" s="1361">
        <f t="shared" si="13"/>
        <v>100</v>
      </c>
      <c r="V43" s="1360" t="s">
        <v>1481</v>
      </c>
      <c r="W43" s="1361">
        <f t="shared" si="14"/>
        <v>100</v>
      </c>
      <c r="X43" s="1354"/>
      <c r="Y43" s="3864"/>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60"/>
      <c r="Q44" s="739" t="str">
        <f t="shared" si="11"/>
        <v>内部装修维护情况</v>
      </c>
      <c r="R44" s="1360" t="s">
        <v>1481</v>
      </c>
      <c r="S44" s="1361">
        <f t="shared" si="12"/>
        <v>100</v>
      </c>
      <c r="T44" s="1360" t="s">
        <v>1481</v>
      </c>
      <c r="U44" s="1361">
        <f t="shared" si="13"/>
        <v>100</v>
      </c>
      <c r="V44" s="1360" t="s">
        <v>1481</v>
      </c>
      <c r="W44" s="1361">
        <f t="shared" si="14"/>
        <v>100</v>
      </c>
      <c r="X44" s="1354"/>
      <c r="Y44" s="3864"/>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60"/>
      <c r="Q45" s="1359">
        <f t="shared" si="11"/>
        <v>111</v>
      </c>
      <c r="R45" s="1355" t="s">
        <v>1481</v>
      </c>
      <c r="S45" s="1356">
        <f t="shared" si="12"/>
        <v>100</v>
      </c>
      <c r="T45" s="1355" t="s">
        <v>1481</v>
      </c>
      <c r="U45" s="1356">
        <f t="shared" si="13"/>
        <v>100</v>
      </c>
      <c r="V45" s="1355" t="s">
        <v>1481</v>
      </c>
      <c r="W45" s="1356">
        <f t="shared" si="14"/>
        <v>100</v>
      </c>
      <c r="X45" s="1357"/>
      <c r="Y45" s="3864"/>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60"/>
      <c r="Q46" s="739">
        <f t="shared" si="11"/>
        <v>111</v>
      </c>
      <c r="R46" s="1360" t="s">
        <v>1481</v>
      </c>
      <c r="S46" s="1361">
        <f t="shared" si="12"/>
        <v>100</v>
      </c>
      <c r="T46" s="1360" t="s">
        <v>1481</v>
      </c>
      <c r="U46" s="1361">
        <f t="shared" si="13"/>
        <v>100</v>
      </c>
      <c r="V46" s="1360" t="s">
        <v>1481</v>
      </c>
      <c r="W46" s="1361">
        <f t="shared" si="14"/>
        <v>100</v>
      </c>
      <c r="X46" s="1354"/>
      <c r="Y46" s="3864"/>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61"/>
      <c r="Q47" s="739">
        <f t="shared" si="11"/>
        <v>111</v>
      </c>
      <c r="R47" s="1360" t="s">
        <v>1481</v>
      </c>
      <c r="S47" s="1361">
        <f t="shared" si="12"/>
        <v>100</v>
      </c>
      <c r="T47" s="1360" t="s">
        <v>1481</v>
      </c>
      <c r="U47" s="1361">
        <f t="shared" si="13"/>
        <v>100</v>
      </c>
      <c r="V47" s="1360" t="s">
        <v>1481</v>
      </c>
      <c r="W47" s="1361">
        <f t="shared" si="14"/>
        <v>100</v>
      </c>
      <c r="X47" s="1354"/>
      <c r="Y47" s="3865"/>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56" t="str">
        <f>A48</f>
        <v>成交单价（元/平方米）</v>
      </c>
      <c r="Q48" s="3849"/>
      <c r="R48" s="3850">
        <f>E48</f>
        <v>0</v>
      </c>
      <c r="S48" s="3850"/>
      <c r="T48" s="3850">
        <f>G48</f>
        <v>0</v>
      </c>
      <c r="U48" s="3850"/>
      <c r="V48" s="3850">
        <f>I48</f>
        <v>0</v>
      </c>
      <c r="W48" s="3850"/>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56" t="str">
        <f>A49</f>
        <v>比较价值（元/平方米）</v>
      </c>
      <c r="Q49" s="3849"/>
      <c r="R49" s="3850" t="e">
        <f>IF(F1="售价",ROUND(PRODUCT(R48,AA7:AA47),0),ROUND(PRODUCT(R48,AA7:AA47),1))</f>
        <v>#DIV/0!</v>
      </c>
      <c r="S49" s="3850"/>
      <c r="T49" s="3850" t="e">
        <f>IF(F1="售价",ROUND(PRODUCT(T48,AB7:AB47),0),ROUND(PRODUCT(T48,AB7:AB47),1))</f>
        <v>#DIV/0!</v>
      </c>
      <c r="U49" s="3850"/>
      <c r="V49" s="3850" t="e">
        <f>IF(F1="售价",ROUND(PRODUCT(V48,AC7:AC47),0),ROUND(PRODUCT(V48,AC7:AC47),1))</f>
        <v>#DIV/0!</v>
      </c>
      <c r="W49" s="3850"/>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93" t="str">
        <f>A50</f>
        <v>估价对象XX用房的比较价值（楼面单价，元/平方米）</v>
      </c>
      <c r="Q50" s="3894"/>
      <c r="R50" s="3895" t="e">
        <f>IF(F1="售价",ROUND(IF(D49="简单平均",AVERAGE(R49:V49),R49*F49+T49*H49+V49*J49),0),ROUND(IF(D49="简单平均",AVERAGE(R49:V49),R49*F49+T49*H49+V49*J49),1))</f>
        <v>#DIV/0!</v>
      </c>
      <c r="S50" s="3895"/>
      <c r="T50" s="3895"/>
      <c r="U50" s="3895"/>
      <c r="V50" s="3895"/>
      <c r="W50" s="3895"/>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2008-11</v>
      </c>
      <c r="D59" s="1578">
        <f>EDATE(C59,-1)</f>
        <v>39722</v>
      </c>
      <c r="E59" s="1578">
        <f>EDATE(D59,-1)</f>
        <v>39692</v>
      </c>
      <c r="F59" s="1578">
        <f t="shared" ref="F59:O59" si="16">EDATE(E59,-1)</f>
        <v>39661</v>
      </c>
      <c r="G59" s="1578">
        <f t="shared" si="16"/>
        <v>39630</v>
      </c>
      <c r="H59" s="1578">
        <f t="shared" si="16"/>
        <v>39600</v>
      </c>
      <c r="I59" s="1578">
        <f t="shared" si="16"/>
        <v>39569</v>
      </c>
      <c r="J59" s="1578">
        <f t="shared" si="16"/>
        <v>39539</v>
      </c>
      <c r="K59" s="1578">
        <f t="shared" si="16"/>
        <v>39508</v>
      </c>
      <c r="L59" s="1578">
        <f t="shared" si="16"/>
        <v>39479</v>
      </c>
      <c r="M59" s="1578">
        <f t="shared" si="16"/>
        <v>39448</v>
      </c>
      <c r="N59" s="1578">
        <f t="shared" si="16"/>
        <v>39417</v>
      </c>
      <c r="O59" s="1578">
        <f t="shared" si="16"/>
        <v>39387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1507</v>
      </c>
      <c r="B101" s="1391" t="s">
        <v>1508</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估价对象为北京市房地产，为所有。根据《国有土地使用证》[]，估价对象（分摊）出让国有建设用地使用权面积为0平方米，建筑面积为63.08平方米。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估价对象为北京市房地产,属开发建设的，该项目尚在开发建设中。根据《国有土地使用证》[]，估价对象（分摊）出让国有建设用地使用权面积为0平方米，规划建筑面积为63.08平方米。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2008年11月27日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本次估价的“房地产价值”是指在正常市场情况下，在价值时点2008年11月27日，估价对象规划用途为，土地取得方式为划拨，假定未设立法定优先受偿款下的房地产市场价值。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63.08</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665"/>
      <c r="M4" s="1666"/>
      <c r="N4" s="1666"/>
      <c r="O4" s="1666"/>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665"/>
      <c r="M5" s="1666"/>
      <c r="N5" s="1666"/>
      <c r="O5" s="1666"/>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665"/>
      <c r="M6" s="1666"/>
      <c r="N6" s="1666"/>
      <c r="O6" s="1666"/>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49"/>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62" t="s">
        <v>1493</v>
      </c>
      <c r="Q15" s="739" t="str">
        <f t="shared" si="6"/>
        <v>产业集聚程度</v>
      </c>
      <c r="R15" s="1360" t="s">
        <v>1481</v>
      </c>
      <c r="S15" s="1361">
        <f t="shared" si="0"/>
        <v>100</v>
      </c>
      <c r="T15" s="1360" t="s">
        <v>1481</v>
      </c>
      <c r="U15" s="1361">
        <f t="shared" si="1"/>
        <v>100</v>
      </c>
      <c r="V15" s="1360" t="s">
        <v>1481</v>
      </c>
      <c r="W15" s="1361">
        <f t="shared" si="2"/>
        <v>100</v>
      </c>
      <c r="X15" s="1354"/>
      <c r="Y15" s="3862"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63"/>
      <c r="Q16" s="739"/>
      <c r="R16" s="1360"/>
      <c r="S16" s="1361"/>
      <c r="T16" s="1360"/>
      <c r="U16" s="1361"/>
      <c r="V16" s="1360"/>
      <c r="W16" s="1361"/>
      <c r="X16" s="1354"/>
      <c r="Y16" s="3863"/>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63"/>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63"/>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63"/>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63"/>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63"/>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63"/>
      <c r="Q22" s="739"/>
      <c r="R22" s="1360"/>
      <c r="S22" s="1361"/>
      <c r="T22" s="1360"/>
      <c r="U22" s="1361"/>
      <c r="V22" s="1360"/>
      <c r="W22" s="1361"/>
      <c r="X22" s="1354"/>
      <c r="Y22" s="3863"/>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63"/>
      <c r="Q23" s="739" t="str">
        <f>B23</f>
        <v>环境质量</v>
      </c>
      <c r="R23" s="1360" t="s">
        <v>1481</v>
      </c>
      <c r="S23" s="1361">
        <f>F23</f>
        <v>100</v>
      </c>
      <c r="T23" s="1360" t="s">
        <v>1481</v>
      </c>
      <c r="U23" s="1361">
        <f>H23</f>
        <v>100</v>
      </c>
      <c r="V23" s="1360" t="s">
        <v>1481</v>
      </c>
      <c r="W23" s="1361">
        <f>J23</f>
        <v>100</v>
      </c>
      <c r="X23" s="1354"/>
      <c r="Y23" s="3863"/>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63"/>
      <c r="Q24" s="739"/>
      <c r="R24" s="1360"/>
      <c r="S24" s="1361"/>
      <c r="T24" s="1360"/>
      <c r="U24" s="1361"/>
      <c r="V24" s="1360"/>
      <c r="W24" s="1361"/>
      <c r="X24" s="1354"/>
      <c r="Y24" s="3863"/>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63"/>
      <c r="Q25" s="739">
        <f>B25</f>
        <v>111</v>
      </c>
      <c r="R25" s="1360" t="s">
        <v>1481</v>
      </c>
      <c r="S25" s="1361">
        <f>F25</f>
        <v>100</v>
      </c>
      <c r="T25" s="1360" t="s">
        <v>1481</v>
      </c>
      <c r="U25" s="1361">
        <f>H25</f>
        <v>100</v>
      </c>
      <c r="V25" s="1360" t="s">
        <v>1481</v>
      </c>
      <c r="W25" s="1361">
        <f>J25</f>
        <v>100</v>
      </c>
      <c r="X25" s="1354"/>
      <c r="Y25" s="3863"/>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63"/>
      <c r="Q26" s="739">
        <f t="shared" ref="Q26:Q40" si="11">B26</f>
        <v>111</v>
      </c>
      <c r="R26" s="1360" t="s">
        <v>1481</v>
      </c>
      <c r="S26" s="1361">
        <f>F26</f>
        <v>100</v>
      </c>
      <c r="T26" s="1360" t="s">
        <v>1481</v>
      </c>
      <c r="U26" s="1361">
        <f>H26</f>
        <v>100</v>
      </c>
      <c r="V26" s="1360" t="s">
        <v>1481</v>
      </c>
      <c r="W26" s="1361">
        <f>J26</f>
        <v>100</v>
      </c>
      <c r="X26" s="1354"/>
      <c r="Y26" s="3863"/>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63"/>
      <c r="Q27" s="1359">
        <f t="shared" si="11"/>
        <v>111</v>
      </c>
      <c r="R27" s="1355" t="s">
        <v>1481</v>
      </c>
      <c r="S27" s="1356">
        <f>F27</f>
        <v>100</v>
      </c>
      <c r="T27" s="1355" t="s">
        <v>1481</v>
      </c>
      <c r="U27" s="1356">
        <f>H27</f>
        <v>100</v>
      </c>
      <c r="V27" s="1355" t="s">
        <v>1481</v>
      </c>
      <c r="W27" s="1356">
        <f>J27</f>
        <v>100</v>
      </c>
      <c r="X27" s="1357"/>
      <c r="Y27" s="3863"/>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63"/>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63"/>
      <c r="Z28" s="1344">
        <f t="shared" ref="Z28:Z40" si="15">Q28</f>
        <v>111</v>
      </c>
      <c r="AA28" s="1371">
        <f t="shared" si="3"/>
        <v>1</v>
      </c>
      <c r="AB28" s="1371">
        <f t="shared" si="4"/>
        <v>1</v>
      </c>
      <c r="AC28" s="1371">
        <f t="shared" si="5"/>
        <v>1</v>
      </c>
    </row>
    <row r="29" spans="1:29" ht="28.5">
      <c r="A29" s="1553" t="s">
        <v>1507</v>
      </c>
      <c r="B29" s="1178" t="s">
        <v>1508</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97" t="s">
        <v>1509</v>
      </c>
      <c r="Q29" s="739" t="str">
        <f t="shared" si="11"/>
        <v>建筑类型</v>
      </c>
      <c r="R29" s="1360" t="s">
        <v>1481</v>
      </c>
      <c r="S29" s="1361">
        <f t="shared" si="12"/>
        <v>100</v>
      </c>
      <c r="T29" s="1360" t="s">
        <v>1481</v>
      </c>
      <c r="U29" s="1361">
        <f t="shared" si="13"/>
        <v>100</v>
      </c>
      <c r="V29" s="1360" t="s">
        <v>1481</v>
      </c>
      <c r="W29" s="1361">
        <f t="shared" si="14"/>
        <v>100</v>
      </c>
      <c r="X29" s="1354"/>
      <c r="Y29" s="3864"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64"/>
      <c r="Q30" s="1588" t="str">
        <f t="shared" si="11"/>
        <v>项目建筑规模</v>
      </c>
      <c r="R30" s="1362" t="s">
        <v>1481</v>
      </c>
      <c r="S30" s="1363" t="e">
        <f t="shared" si="12"/>
        <v>#N/A</v>
      </c>
      <c r="T30" s="1362" t="s">
        <v>1481</v>
      </c>
      <c r="U30" s="1363" t="e">
        <f t="shared" si="13"/>
        <v>#N/A</v>
      </c>
      <c r="V30" s="1362" t="s">
        <v>1481</v>
      </c>
      <c r="W30" s="1363" t="e">
        <f t="shared" si="14"/>
        <v>#N/A</v>
      </c>
      <c r="X30" s="1364"/>
      <c r="Y30" s="3864"/>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64"/>
      <c r="Q31" s="739" t="str">
        <f t="shared" si="11"/>
        <v>建筑结构</v>
      </c>
      <c r="R31" s="1360" t="s">
        <v>1481</v>
      </c>
      <c r="S31" s="1361">
        <f t="shared" si="12"/>
        <v>100</v>
      </c>
      <c r="T31" s="1360" t="s">
        <v>1481</v>
      </c>
      <c r="U31" s="1361">
        <f t="shared" si="13"/>
        <v>100</v>
      </c>
      <c r="V31" s="1360" t="s">
        <v>1481</v>
      </c>
      <c r="W31" s="1361">
        <f t="shared" si="14"/>
        <v>100</v>
      </c>
      <c r="X31" s="1354"/>
      <c r="Y31" s="3864"/>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64"/>
      <c r="Q32" s="739" t="str">
        <f t="shared" si="11"/>
        <v>公共部分装修</v>
      </c>
      <c r="R32" s="1360" t="s">
        <v>1481</v>
      </c>
      <c r="S32" s="1361">
        <f t="shared" si="12"/>
        <v>100</v>
      </c>
      <c r="T32" s="1360" t="s">
        <v>1481</v>
      </c>
      <c r="U32" s="1361">
        <f t="shared" si="13"/>
        <v>100</v>
      </c>
      <c r="V32" s="1360" t="s">
        <v>1481</v>
      </c>
      <c r="W32" s="1361">
        <f t="shared" si="14"/>
        <v>100</v>
      </c>
      <c r="X32" s="1354"/>
      <c r="Y32" s="3864"/>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64"/>
      <c r="Q33" s="739" t="str">
        <f t="shared" si="11"/>
        <v>成新度</v>
      </c>
      <c r="R33" s="1360" t="s">
        <v>1481</v>
      </c>
      <c r="S33" s="1361" t="e">
        <f t="shared" si="12"/>
        <v>#N/A</v>
      </c>
      <c r="T33" s="1360" t="s">
        <v>1481</v>
      </c>
      <c r="U33" s="1361" t="e">
        <f t="shared" si="13"/>
        <v>#N/A</v>
      </c>
      <c r="V33" s="1360" t="s">
        <v>1481</v>
      </c>
      <c r="W33" s="1361" t="e">
        <f t="shared" si="14"/>
        <v>#N/A</v>
      </c>
      <c r="X33" s="1354"/>
      <c r="Y33" s="3864"/>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64"/>
      <c r="Q34" s="1359" t="str">
        <f t="shared" si="11"/>
        <v>物业管理</v>
      </c>
      <c r="R34" s="1355" t="s">
        <v>1481</v>
      </c>
      <c r="S34" s="1356">
        <f t="shared" si="12"/>
        <v>100</v>
      </c>
      <c r="T34" s="1355" t="s">
        <v>1481</v>
      </c>
      <c r="U34" s="1356">
        <f t="shared" si="13"/>
        <v>100</v>
      </c>
      <c r="V34" s="1355" t="s">
        <v>1481</v>
      </c>
      <c r="W34" s="1356">
        <f t="shared" si="14"/>
        <v>100</v>
      </c>
      <c r="X34" s="1357"/>
      <c r="Y34" s="3864"/>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64" t="s">
        <v>1509</v>
      </c>
      <c r="Q35" s="739" t="str">
        <f t="shared" si="11"/>
        <v>市政基础设施</v>
      </c>
      <c r="R35" s="1360" t="s">
        <v>1481</v>
      </c>
      <c r="S35" s="1361">
        <f t="shared" si="12"/>
        <v>100</v>
      </c>
      <c r="T35" s="1360" t="s">
        <v>1481</v>
      </c>
      <c r="U35" s="1361">
        <f t="shared" si="13"/>
        <v>100</v>
      </c>
      <c r="V35" s="1360" t="s">
        <v>1481</v>
      </c>
      <c r="W35" s="1361">
        <f t="shared" si="14"/>
        <v>100</v>
      </c>
      <c r="X35" s="1354"/>
      <c r="Y35" s="3864"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64"/>
      <c r="Q36" s="739" t="str">
        <f t="shared" si="11"/>
        <v>内部装修</v>
      </c>
      <c r="R36" s="1360" t="s">
        <v>1481</v>
      </c>
      <c r="S36" s="1361">
        <f t="shared" si="12"/>
        <v>100</v>
      </c>
      <c r="T36" s="1360" t="s">
        <v>1481</v>
      </c>
      <c r="U36" s="1361">
        <f t="shared" si="13"/>
        <v>100</v>
      </c>
      <c r="V36" s="1360" t="s">
        <v>1481</v>
      </c>
      <c r="W36" s="1361">
        <f t="shared" si="14"/>
        <v>100</v>
      </c>
      <c r="X36" s="1354"/>
      <c r="Y36" s="3864"/>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64"/>
      <c r="Q37" s="739" t="str">
        <f t="shared" si="11"/>
        <v>内部装修状况</v>
      </c>
      <c r="R37" s="1360" t="s">
        <v>1481</v>
      </c>
      <c r="S37" s="1361">
        <f t="shared" si="12"/>
        <v>100</v>
      </c>
      <c r="T37" s="1360" t="s">
        <v>1481</v>
      </c>
      <c r="U37" s="1361">
        <f t="shared" si="13"/>
        <v>100</v>
      </c>
      <c r="V37" s="1360" t="s">
        <v>1481</v>
      </c>
      <c r="W37" s="1361">
        <f t="shared" si="14"/>
        <v>100</v>
      </c>
      <c r="X37" s="1354"/>
      <c r="Y37" s="3864"/>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64"/>
      <c r="Q38" s="1588">
        <f t="shared" si="11"/>
        <v>111</v>
      </c>
      <c r="R38" s="1362" t="s">
        <v>1481</v>
      </c>
      <c r="S38" s="1363">
        <f t="shared" si="12"/>
        <v>100</v>
      </c>
      <c r="T38" s="1362" t="s">
        <v>1481</v>
      </c>
      <c r="U38" s="1363">
        <f t="shared" si="13"/>
        <v>100</v>
      </c>
      <c r="V38" s="1362" t="s">
        <v>1481</v>
      </c>
      <c r="W38" s="1363">
        <f t="shared" si="14"/>
        <v>100</v>
      </c>
      <c r="X38" s="1364"/>
      <c r="Y38" s="3864"/>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64"/>
      <c r="Q39" s="739">
        <f t="shared" si="11"/>
        <v>111</v>
      </c>
      <c r="R39" s="1360" t="s">
        <v>1481</v>
      </c>
      <c r="S39" s="1361">
        <f t="shared" si="12"/>
        <v>100</v>
      </c>
      <c r="T39" s="1360" t="s">
        <v>1481</v>
      </c>
      <c r="U39" s="1361">
        <f t="shared" si="13"/>
        <v>100</v>
      </c>
      <c r="V39" s="1360" t="s">
        <v>1481</v>
      </c>
      <c r="W39" s="1361">
        <f t="shared" si="14"/>
        <v>100</v>
      </c>
      <c r="X39" s="1354"/>
      <c r="Y39" s="3864"/>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65"/>
      <c r="Q40" s="739">
        <f t="shared" si="11"/>
        <v>111</v>
      </c>
      <c r="R40" s="1360" t="s">
        <v>1481</v>
      </c>
      <c r="S40" s="1361">
        <f t="shared" si="12"/>
        <v>100</v>
      </c>
      <c r="T40" s="1360" t="s">
        <v>1481</v>
      </c>
      <c r="U40" s="1361">
        <f t="shared" si="13"/>
        <v>100</v>
      </c>
      <c r="V40" s="1360" t="s">
        <v>1481</v>
      </c>
      <c r="W40" s="1361">
        <f t="shared" si="14"/>
        <v>100</v>
      </c>
      <c r="X40" s="1354"/>
      <c r="Y40" s="3865"/>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49" t="str">
        <f>A41</f>
        <v>成交单价（元/平方米）</v>
      </c>
      <c r="Q41" s="3849"/>
      <c r="R41" s="3850">
        <f>E41</f>
        <v>0</v>
      </c>
      <c r="S41" s="3850"/>
      <c r="T41" s="3850">
        <f>G41</f>
        <v>0</v>
      </c>
      <c r="U41" s="3850"/>
      <c r="V41" s="3850">
        <f>I41</f>
        <v>0</v>
      </c>
      <c r="W41" s="3850"/>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2008-11</v>
      </c>
      <c r="D52" s="1578">
        <f>EDATE(C52,-1)</f>
        <v>39722</v>
      </c>
      <c r="E52" s="1578">
        <f t="shared" ref="E52:O52" si="16">EDATE(D52,-1)</f>
        <v>39692</v>
      </c>
      <c r="F52" s="1578">
        <f t="shared" si="16"/>
        <v>39661</v>
      </c>
      <c r="G52" s="1578">
        <f t="shared" si="16"/>
        <v>39630</v>
      </c>
      <c r="H52" s="1578">
        <f t="shared" si="16"/>
        <v>39600</v>
      </c>
      <c r="I52" s="1578">
        <f t="shared" si="16"/>
        <v>39569</v>
      </c>
      <c r="J52" s="1578">
        <f t="shared" si="16"/>
        <v>39539</v>
      </c>
      <c r="K52" s="1578">
        <f t="shared" si="16"/>
        <v>39508</v>
      </c>
      <c r="L52" s="1578">
        <f t="shared" si="16"/>
        <v>39479</v>
      </c>
      <c r="M52" s="1578">
        <f t="shared" si="16"/>
        <v>39448</v>
      </c>
      <c r="N52" s="1578">
        <f t="shared" si="16"/>
        <v>39417</v>
      </c>
      <c r="O52" s="1578">
        <f t="shared" si="16"/>
        <v>39387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1507</v>
      </c>
      <c r="B88" s="1391" t="s">
        <v>1508</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54" t="s">
        <v>1480</v>
      </c>
      <c r="Q7" s="3870"/>
      <c r="R7" s="1355" t="s">
        <v>1481</v>
      </c>
      <c r="S7" s="1356">
        <f t="shared" ref="S7:S14" si="0">F7</f>
        <v>0</v>
      </c>
      <c r="T7" s="1355" t="s">
        <v>1481</v>
      </c>
      <c r="U7" s="1356">
        <f t="shared" ref="U7:U14" si="1">H7</f>
        <v>0</v>
      </c>
      <c r="V7" s="1355" t="s">
        <v>1481</v>
      </c>
      <c r="W7" s="1356">
        <f t="shared" ref="W7:W14"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49" t="s">
        <v>1487</v>
      </c>
      <c r="Q9" s="1359" t="str">
        <f t="shared" ref="Q9:Q14" si="6">B9</f>
        <v>用途</v>
      </c>
      <c r="R9" s="1355" t="s">
        <v>1481</v>
      </c>
      <c r="S9" s="1356">
        <f t="shared" si="0"/>
        <v>100</v>
      </c>
      <c r="T9" s="1355" t="s">
        <v>1481</v>
      </c>
      <c r="U9" s="1356">
        <f t="shared" si="1"/>
        <v>100</v>
      </c>
      <c r="V9" s="1355" t="s">
        <v>1481</v>
      </c>
      <c r="W9" s="1356">
        <f t="shared" si="2"/>
        <v>100</v>
      </c>
      <c r="X9" s="1357"/>
      <c r="Y9" s="3719"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49"/>
      <c r="Q11" s="1359">
        <f t="shared" si="6"/>
        <v>111</v>
      </c>
      <c r="R11" s="1355" t="s">
        <v>1481</v>
      </c>
      <c r="S11" s="1356">
        <f t="shared" si="0"/>
        <v>100</v>
      </c>
      <c r="T11" s="1355" t="s">
        <v>1481</v>
      </c>
      <c r="U11" s="1356">
        <f t="shared" si="1"/>
        <v>100</v>
      </c>
      <c r="V11" s="1355" t="s">
        <v>1481</v>
      </c>
      <c r="W11" s="1356">
        <f t="shared" si="2"/>
        <v>100</v>
      </c>
      <c r="X11" s="1357"/>
      <c r="Y11" s="3719"/>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62" t="s">
        <v>1493</v>
      </c>
      <c r="Q14" s="739" t="str">
        <f t="shared" si="6"/>
        <v>交通便捷度</v>
      </c>
      <c r="R14" s="1360" t="s">
        <v>1481</v>
      </c>
      <c r="S14" s="1361">
        <f t="shared" si="0"/>
        <v>100</v>
      </c>
      <c r="T14" s="1360" t="s">
        <v>1481</v>
      </c>
      <c r="U14" s="1361">
        <f t="shared" si="1"/>
        <v>100</v>
      </c>
      <c r="V14" s="1360" t="s">
        <v>1481</v>
      </c>
      <c r="W14" s="1361">
        <f t="shared" si="2"/>
        <v>100</v>
      </c>
      <c r="X14" s="1354"/>
      <c r="Y14" s="3862"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63"/>
      <c r="Q15" s="739"/>
      <c r="R15" s="1360"/>
      <c r="S15" s="1361"/>
      <c r="T15" s="1360"/>
      <c r="U15" s="1361"/>
      <c r="V15" s="1360"/>
      <c r="W15" s="1361"/>
      <c r="X15" s="1354"/>
      <c r="Y15" s="3863"/>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63"/>
      <c r="Q16" s="739" t="str">
        <f>B16</f>
        <v>公共配套设施</v>
      </c>
      <c r="R16" s="1360" t="s">
        <v>1481</v>
      </c>
      <c r="S16" s="1361">
        <f>F16</f>
        <v>100</v>
      </c>
      <c r="T16" s="1360" t="s">
        <v>1481</v>
      </c>
      <c r="U16" s="1361">
        <f>H16</f>
        <v>100</v>
      </c>
      <c r="V16" s="1360" t="s">
        <v>1481</v>
      </c>
      <c r="W16" s="1361">
        <f>J16</f>
        <v>100</v>
      </c>
      <c r="X16" s="1354"/>
      <c r="Y16" s="3863"/>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63"/>
      <c r="Q17" s="739"/>
      <c r="R17" s="1360"/>
      <c r="S17" s="1361"/>
      <c r="T17" s="1360"/>
      <c r="U17" s="1361"/>
      <c r="V17" s="1360"/>
      <c r="W17" s="1361"/>
      <c r="X17" s="1354"/>
      <c r="Y17" s="3863"/>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63"/>
      <c r="Q18" s="739" t="str">
        <f>B18</f>
        <v>基础设施水平</v>
      </c>
      <c r="R18" s="1360" t="s">
        <v>1481</v>
      </c>
      <c r="S18" s="1361">
        <f>F18</f>
        <v>100</v>
      </c>
      <c r="T18" s="1360" t="s">
        <v>1481</v>
      </c>
      <c r="U18" s="1361">
        <f>H18</f>
        <v>100</v>
      </c>
      <c r="V18" s="1360" t="s">
        <v>1481</v>
      </c>
      <c r="W18" s="1361">
        <f>J18</f>
        <v>100</v>
      </c>
      <c r="X18" s="1354"/>
      <c r="Y18" s="3863"/>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63"/>
      <c r="Q19" s="739"/>
      <c r="R19" s="1360"/>
      <c r="S19" s="1361"/>
      <c r="T19" s="1360"/>
      <c r="U19" s="1361"/>
      <c r="V19" s="1360"/>
      <c r="W19" s="1361"/>
      <c r="X19" s="1354"/>
      <c r="Y19" s="3863"/>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63"/>
      <c r="Q20" s="739" t="str">
        <f>B20</f>
        <v>自然及人文环境</v>
      </c>
      <c r="R20" s="1360" t="s">
        <v>1481</v>
      </c>
      <c r="S20" s="1361">
        <f>F20</f>
        <v>100</v>
      </c>
      <c r="T20" s="1360" t="s">
        <v>1481</v>
      </c>
      <c r="U20" s="1361">
        <f>H20</f>
        <v>100</v>
      </c>
      <c r="V20" s="1360" t="s">
        <v>1481</v>
      </c>
      <c r="W20" s="1361">
        <f>J20</f>
        <v>100</v>
      </c>
      <c r="X20" s="1354"/>
      <c r="Y20" s="3863"/>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63"/>
      <c r="Q21" s="739"/>
      <c r="R21" s="1360"/>
      <c r="S21" s="1361"/>
      <c r="T21" s="1360"/>
      <c r="U21" s="1361"/>
      <c r="V21" s="1360"/>
      <c r="W21" s="1361"/>
      <c r="X21" s="1354"/>
      <c r="Y21" s="3863"/>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63"/>
      <c r="Q22" s="739" t="str">
        <f>B22</f>
        <v>楼层</v>
      </c>
      <c r="R22" s="1360" t="s">
        <v>1481</v>
      </c>
      <c r="S22" s="1361">
        <f>F22</f>
        <v>100</v>
      </c>
      <c r="T22" s="1360" t="s">
        <v>1481</v>
      </c>
      <c r="U22" s="1361">
        <f>H22</f>
        <v>100</v>
      </c>
      <c r="V22" s="1360" t="s">
        <v>1481</v>
      </c>
      <c r="W22" s="1361">
        <f>J22</f>
        <v>100</v>
      </c>
      <c r="X22" s="1354"/>
      <c r="Y22" s="3863"/>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63"/>
      <c r="Q23" s="739">
        <f>B23</f>
        <v>111</v>
      </c>
      <c r="R23" s="1360" t="s">
        <v>1481</v>
      </c>
      <c r="S23" s="1361">
        <f>F23</f>
        <v>100</v>
      </c>
      <c r="T23" s="1360" t="s">
        <v>1481</v>
      </c>
      <c r="U23" s="1361">
        <f>H23</f>
        <v>100</v>
      </c>
      <c r="V23" s="1360" t="s">
        <v>1481</v>
      </c>
      <c r="W23" s="1361">
        <f>J23</f>
        <v>100</v>
      </c>
      <c r="X23" s="1354"/>
      <c r="Y23" s="3863"/>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63"/>
      <c r="Q24" s="739">
        <f t="shared" ref="Q24:Q36" si="11">B24</f>
        <v>111</v>
      </c>
      <c r="R24" s="1360" t="s">
        <v>1481</v>
      </c>
      <c r="S24" s="1361">
        <f>F24</f>
        <v>100</v>
      </c>
      <c r="T24" s="1360" t="s">
        <v>1481</v>
      </c>
      <c r="U24" s="1361">
        <f>H24</f>
        <v>100</v>
      </c>
      <c r="V24" s="1360" t="s">
        <v>1481</v>
      </c>
      <c r="W24" s="1361">
        <f>J24</f>
        <v>100</v>
      </c>
      <c r="X24" s="1354"/>
      <c r="Y24" s="3863"/>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63"/>
      <c r="Q25" s="1359">
        <f t="shared" si="11"/>
        <v>111</v>
      </c>
      <c r="R25" s="1355" t="s">
        <v>1481</v>
      </c>
      <c r="S25" s="1356">
        <f>F25</f>
        <v>100</v>
      </c>
      <c r="T25" s="1355" t="s">
        <v>1481</v>
      </c>
      <c r="U25" s="1356">
        <f>H25</f>
        <v>100</v>
      </c>
      <c r="V25" s="1355" t="s">
        <v>1481</v>
      </c>
      <c r="W25" s="1356">
        <f>J25</f>
        <v>100</v>
      </c>
      <c r="X25" s="1357"/>
      <c r="Y25" s="3863"/>
      <c r="Z25" s="1370">
        <f>Q25</f>
        <v>111</v>
      </c>
      <c r="AA25" s="1371">
        <f t="shared" si="3"/>
        <v>1</v>
      </c>
      <c r="AB25" s="1371">
        <f t="shared" si="4"/>
        <v>1</v>
      </c>
      <c r="AC25" s="1371">
        <f t="shared" si="5"/>
        <v>1</v>
      </c>
    </row>
    <row r="26" spans="1:29" ht="28.5">
      <c r="A26" s="1621" t="s">
        <v>1507</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97"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64"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64"/>
      <c r="Q27" s="1588" t="str">
        <f t="shared" si="11"/>
        <v>项目停车位配比</v>
      </c>
      <c r="R27" s="1362" t="s">
        <v>1481</v>
      </c>
      <c r="S27" s="1363">
        <f t="shared" si="12"/>
        <v>100</v>
      </c>
      <c r="T27" s="1362" t="s">
        <v>1481</v>
      </c>
      <c r="U27" s="1363">
        <f t="shared" si="13"/>
        <v>100</v>
      </c>
      <c r="V27" s="1362" t="s">
        <v>1481</v>
      </c>
      <c r="W27" s="1363">
        <f t="shared" si="14"/>
        <v>100</v>
      </c>
      <c r="X27" s="1364"/>
      <c r="Y27" s="3864"/>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64"/>
      <c r="Q28" s="739" t="str">
        <f t="shared" si="11"/>
        <v>公共部分装修</v>
      </c>
      <c r="R28" s="1360" t="s">
        <v>1481</v>
      </c>
      <c r="S28" s="1361">
        <f t="shared" si="12"/>
        <v>100</v>
      </c>
      <c r="T28" s="1360" t="s">
        <v>1481</v>
      </c>
      <c r="U28" s="1361">
        <f t="shared" si="13"/>
        <v>100</v>
      </c>
      <c r="V28" s="1360" t="s">
        <v>1481</v>
      </c>
      <c r="W28" s="1361">
        <f t="shared" si="14"/>
        <v>100</v>
      </c>
      <c r="X28" s="1354"/>
      <c r="Y28" s="3864"/>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64"/>
      <c r="Q29" s="739" t="str">
        <f t="shared" si="11"/>
        <v>成新率</v>
      </c>
      <c r="R29" s="1360" t="s">
        <v>1481</v>
      </c>
      <c r="S29" s="1361" t="e">
        <f t="shared" si="12"/>
        <v>#N/A</v>
      </c>
      <c r="T29" s="1360" t="s">
        <v>1481</v>
      </c>
      <c r="U29" s="1361" t="e">
        <f t="shared" si="13"/>
        <v>#N/A</v>
      </c>
      <c r="V29" s="1360" t="s">
        <v>1481</v>
      </c>
      <c r="W29" s="1361" t="e">
        <f t="shared" si="14"/>
        <v>#N/A</v>
      </c>
      <c r="X29" s="1354"/>
      <c r="Y29" s="3864"/>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64"/>
      <c r="Q30" s="739" t="str">
        <f t="shared" si="11"/>
        <v>物业等级</v>
      </c>
      <c r="R30" s="1360" t="s">
        <v>1481</v>
      </c>
      <c r="S30" s="1361">
        <f t="shared" si="12"/>
        <v>100</v>
      </c>
      <c r="T30" s="1360" t="s">
        <v>1481</v>
      </c>
      <c r="U30" s="1361">
        <f t="shared" si="13"/>
        <v>100</v>
      </c>
      <c r="V30" s="1360" t="s">
        <v>1481</v>
      </c>
      <c r="W30" s="1361">
        <f t="shared" si="14"/>
        <v>100</v>
      </c>
      <c r="X30" s="1354"/>
      <c r="Y30" s="3864"/>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64"/>
      <c r="Q31" s="1359" t="str">
        <f t="shared" si="11"/>
        <v>停车位面积</v>
      </c>
      <c r="R31" s="1355" t="s">
        <v>1481</v>
      </c>
      <c r="S31" s="1356" t="e">
        <f t="shared" si="12"/>
        <v>#N/A</v>
      </c>
      <c r="T31" s="1355" t="s">
        <v>1481</v>
      </c>
      <c r="U31" s="1356" t="e">
        <f t="shared" si="13"/>
        <v>#N/A</v>
      </c>
      <c r="V31" s="1355" t="s">
        <v>1481</v>
      </c>
      <c r="W31" s="1356" t="e">
        <f t="shared" si="14"/>
        <v>#N/A</v>
      </c>
      <c r="X31" s="1357"/>
      <c r="Y31" s="3864"/>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64" t="s">
        <v>1509</v>
      </c>
      <c r="Q32" s="739" t="str">
        <f t="shared" si="11"/>
        <v>车位类型</v>
      </c>
      <c r="R32" s="1360" t="s">
        <v>1481</v>
      </c>
      <c r="S32" s="1361">
        <f t="shared" si="12"/>
        <v>100</v>
      </c>
      <c r="T32" s="1360" t="s">
        <v>1481</v>
      </c>
      <c r="U32" s="1361">
        <f t="shared" si="13"/>
        <v>100</v>
      </c>
      <c r="V32" s="1360" t="s">
        <v>1481</v>
      </c>
      <c r="W32" s="1361">
        <f t="shared" si="14"/>
        <v>100</v>
      </c>
      <c r="X32" s="1354"/>
      <c r="Y32" s="3864"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64"/>
      <c r="Q33" s="739" t="str">
        <f t="shared" si="11"/>
        <v>是否直接入户</v>
      </c>
      <c r="R33" s="1360" t="s">
        <v>1481</v>
      </c>
      <c r="S33" s="1361">
        <f t="shared" si="12"/>
        <v>100</v>
      </c>
      <c r="T33" s="1360" t="s">
        <v>1481</v>
      </c>
      <c r="U33" s="1361">
        <f t="shared" si="13"/>
        <v>100</v>
      </c>
      <c r="V33" s="1360" t="s">
        <v>1481</v>
      </c>
      <c r="W33" s="1361">
        <f t="shared" si="14"/>
        <v>100</v>
      </c>
      <c r="X33" s="1354"/>
      <c r="Y33" s="3864"/>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64"/>
      <c r="Q34" s="739">
        <f t="shared" si="11"/>
        <v>111</v>
      </c>
      <c r="R34" s="1360" t="s">
        <v>1481</v>
      </c>
      <c r="S34" s="1361">
        <f t="shared" si="12"/>
        <v>100</v>
      </c>
      <c r="T34" s="1360" t="s">
        <v>1481</v>
      </c>
      <c r="U34" s="1361">
        <f t="shared" si="13"/>
        <v>100</v>
      </c>
      <c r="V34" s="1360" t="s">
        <v>1481</v>
      </c>
      <c r="W34" s="1361">
        <f t="shared" si="14"/>
        <v>100</v>
      </c>
      <c r="X34" s="1354"/>
      <c r="Y34" s="3864"/>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64"/>
      <c r="Q35" s="1588">
        <f t="shared" si="11"/>
        <v>111</v>
      </c>
      <c r="R35" s="1362" t="s">
        <v>1481</v>
      </c>
      <c r="S35" s="1363">
        <f t="shared" si="12"/>
        <v>100</v>
      </c>
      <c r="T35" s="1362" t="s">
        <v>1481</v>
      </c>
      <c r="U35" s="1363">
        <f t="shared" si="13"/>
        <v>100</v>
      </c>
      <c r="V35" s="1362" t="s">
        <v>1481</v>
      </c>
      <c r="W35" s="1363">
        <f t="shared" si="14"/>
        <v>100</v>
      </c>
      <c r="X35" s="1364"/>
      <c r="Y35" s="3864"/>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64"/>
      <c r="Q36" s="739">
        <f t="shared" si="11"/>
        <v>111</v>
      </c>
      <c r="R36" s="1360" t="s">
        <v>1481</v>
      </c>
      <c r="S36" s="1361">
        <f t="shared" si="12"/>
        <v>100</v>
      </c>
      <c r="T36" s="1360" t="s">
        <v>1481</v>
      </c>
      <c r="U36" s="1361">
        <f t="shared" si="13"/>
        <v>100</v>
      </c>
      <c r="V36" s="1360" t="s">
        <v>1481</v>
      </c>
      <c r="W36" s="1361">
        <f t="shared" si="14"/>
        <v>100</v>
      </c>
      <c r="X36" s="1354"/>
      <c r="Y36" s="3864"/>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49" t="str">
        <f>A37</f>
        <v>成交单价</v>
      </c>
      <c r="Q37" s="3849"/>
      <c r="R37" s="3850">
        <f>E37</f>
        <v>0</v>
      </c>
      <c r="S37" s="3850"/>
      <c r="T37" s="3850">
        <f>G37</f>
        <v>0</v>
      </c>
      <c r="U37" s="3850"/>
      <c r="V37" s="3850">
        <f>I37</f>
        <v>0</v>
      </c>
      <c r="W37" s="3850"/>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51" t="str">
        <f>A39</f>
        <v>估价对象XX用房的比较价值（楼面单价，元/平方米）</v>
      </c>
      <c r="Q39" s="3852"/>
      <c r="R39" s="3898" t="e">
        <f>IF(F1="售价",ROUND(IF(D38="简单平均",AVERAGE(R38:W38),R38*F38+T38*H38+V38*J38),0),ROUND(IF(D38="简单平均",AVERAGE(R38:V38),R38*F38+T38*H38+V38*J38),1))</f>
        <v>#DIV/0!</v>
      </c>
      <c r="S39" s="3898"/>
      <c r="T39" s="3898"/>
      <c r="U39" s="3898"/>
      <c r="V39" s="3898"/>
      <c r="W39" s="3898"/>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2008-11</v>
      </c>
      <c r="D48" s="1578">
        <f>EDATE(C48,-1)</f>
        <v>39722</v>
      </c>
      <c r="E48" s="1578">
        <f t="shared" ref="E48:O48" si="16">EDATE(D48,-1)</f>
        <v>39692</v>
      </c>
      <c r="F48" s="1578">
        <f t="shared" si="16"/>
        <v>39661</v>
      </c>
      <c r="G48" s="1578">
        <f t="shared" si="16"/>
        <v>39630</v>
      </c>
      <c r="H48" s="1578">
        <f t="shared" si="16"/>
        <v>39600</v>
      </c>
      <c r="I48" s="1578">
        <f t="shared" si="16"/>
        <v>39569</v>
      </c>
      <c r="J48" s="1578">
        <f t="shared" si="16"/>
        <v>39539</v>
      </c>
      <c r="K48" s="1578">
        <f t="shared" si="16"/>
        <v>39508</v>
      </c>
      <c r="L48" s="1578">
        <f t="shared" si="16"/>
        <v>39479</v>
      </c>
      <c r="M48" s="1578">
        <f t="shared" si="16"/>
        <v>39448</v>
      </c>
      <c r="N48" s="1578">
        <f t="shared" si="16"/>
        <v>39417</v>
      </c>
      <c r="O48" s="1578">
        <f t="shared" si="16"/>
        <v>39387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1507</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54" t="s">
        <v>1480</v>
      </c>
      <c r="Q7" s="3870"/>
      <c r="R7" s="1355" t="s">
        <v>1481</v>
      </c>
      <c r="S7" s="1356">
        <f t="shared" ref="S7:S14" si="0">F7</f>
        <v>0</v>
      </c>
      <c r="T7" s="1355" t="s">
        <v>1481</v>
      </c>
      <c r="U7" s="1356">
        <f t="shared" ref="U7:U14" si="1">H7</f>
        <v>0</v>
      </c>
      <c r="V7" s="1355" t="s">
        <v>1481</v>
      </c>
      <c r="W7" s="1356">
        <f t="shared" ref="W7:W14"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49" t="s">
        <v>1487</v>
      </c>
      <c r="Q9" s="1359" t="str">
        <f t="shared" ref="Q9:Q14" si="6">B9</f>
        <v>用途</v>
      </c>
      <c r="R9" s="1355" t="s">
        <v>1481</v>
      </c>
      <c r="S9" s="1356">
        <f t="shared" si="0"/>
        <v>100</v>
      </c>
      <c r="T9" s="1355" t="s">
        <v>1481</v>
      </c>
      <c r="U9" s="1356">
        <f t="shared" si="1"/>
        <v>100</v>
      </c>
      <c r="V9" s="1355" t="s">
        <v>1481</v>
      </c>
      <c r="W9" s="1356">
        <f t="shared" si="2"/>
        <v>100</v>
      </c>
      <c r="X9" s="1357"/>
      <c r="Y9" s="3719"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49"/>
      <c r="Q11" s="1359">
        <f t="shared" si="6"/>
        <v>111</v>
      </c>
      <c r="R11" s="1355" t="s">
        <v>1481</v>
      </c>
      <c r="S11" s="1356">
        <f t="shared" si="0"/>
        <v>100</v>
      </c>
      <c r="T11" s="1355" t="s">
        <v>1481</v>
      </c>
      <c r="U11" s="1356">
        <f t="shared" si="1"/>
        <v>100</v>
      </c>
      <c r="V11" s="1355" t="s">
        <v>1481</v>
      </c>
      <c r="W11" s="1356">
        <f t="shared" si="2"/>
        <v>100</v>
      </c>
      <c r="X11" s="1357"/>
      <c r="Y11" s="3719"/>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62" t="s">
        <v>1493</v>
      </c>
      <c r="Q14" s="739" t="str">
        <f t="shared" si="6"/>
        <v>交通便捷度</v>
      </c>
      <c r="R14" s="1360" t="s">
        <v>1481</v>
      </c>
      <c r="S14" s="1361">
        <f t="shared" si="0"/>
        <v>100</v>
      </c>
      <c r="T14" s="1360" t="s">
        <v>1481</v>
      </c>
      <c r="U14" s="1361">
        <f t="shared" si="1"/>
        <v>100</v>
      </c>
      <c r="V14" s="1360" t="s">
        <v>1481</v>
      </c>
      <c r="W14" s="1361">
        <f t="shared" si="2"/>
        <v>100</v>
      </c>
      <c r="X14" s="1354"/>
      <c r="Y14" s="3862"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63"/>
      <c r="Q15" s="739"/>
      <c r="R15" s="1360"/>
      <c r="S15" s="1361"/>
      <c r="T15" s="1360"/>
      <c r="U15" s="1361"/>
      <c r="V15" s="1360"/>
      <c r="W15" s="1361"/>
      <c r="X15" s="1354"/>
      <c r="Y15" s="3863"/>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63"/>
      <c r="Q16" s="739" t="str">
        <f>B16</f>
        <v>公共配套设施</v>
      </c>
      <c r="R16" s="1360" t="s">
        <v>1481</v>
      </c>
      <c r="S16" s="1361">
        <f>F16</f>
        <v>100</v>
      </c>
      <c r="T16" s="1360" t="s">
        <v>1481</v>
      </c>
      <c r="U16" s="1361">
        <f>H16</f>
        <v>100</v>
      </c>
      <c r="V16" s="1360" t="s">
        <v>1481</v>
      </c>
      <c r="W16" s="1361">
        <f>J16</f>
        <v>100</v>
      </c>
      <c r="X16" s="1354"/>
      <c r="Y16" s="3863"/>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63"/>
      <c r="Q17" s="739"/>
      <c r="R17" s="1360"/>
      <c r="S17" s="1361"/>
      <c r="T17" s="1360"/>
      <c r="U17" s="1361"/>
      <c r="V17" s="1360"/>
      <c r="W17" s="1361"/>
      <c r="X17" s="1354"/>
      <c r="Y17" s="3863"/>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63"/>
      <c r="Q18" s="739" t="str">
        <f>B18</f>
        <v>基础设施水平</v>
      </c>
      <c r="R18" s="1360" t="s">
        <v>1481</v>
      </c>
      <c r="S18" s="1361">
        <f>F18</f>
        <v>100</v>
      </c>
      <c r="T18" s="1360" t="s">
        <v>1481</v>
      </c>
      <c r="U18" s="1361">
        <f>H18</f>
        <v>100</v>
      </c>
      <c r="V18" s="1360" t="s">
        <v>1481</v>
      </c>
      <c r="W18" s="1361">
        <f>J18</f>
        <v>100</v>
      </c>
      <c r="X18" s="1354"/>
      <c r="Y18" s="3863"/>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63"/>
      <c r="Q19" s="739"/>
      <c r="R19" s="1360"/>
      <c r="S19" s="1361"/>
      <c r="T19" s="1360"/>
      <c r="U19" s="1361"/>
      <c r="V19" s="1360"/>
      <c r="W19" s="1361"/>
      <c r="X19" s="1354"/>
      <c r="Y19" s="3863"/>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63"/>
      <c r="Q20" s="739" t="str">
        <f>B20</f>
        <v>自然及人文环境</v>
      </c>
      <c r="R20" s="1360" t="s">
        <v>1481</v>
      </c>
      <c r="S20" s="1361">
        <f>F20</f>
        <v>100</v>
      </c>
      <c r="T20" s="1360" t="s">
        <v>1481</v>
      </c>
      <c r="U20" s="1361">
        <f>H20</f>
        <v>100</v>
      </c>
      <c r="V20" s="1360" t="s">
        <v>1481</v>
      </c>
      <c r="W20" s="1361">
        <f>J20</f>
        <v>100</v>
      </c>
      <c r="X20" s="1354"/>
      <c r="Y20" s="3863"/>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63"/>
      <c r="Q21" s="739"/>
      <c r="R21" s="1360"/>
      <c r="S21" s="1361"/>
      <c r="T21" s="1360"/>
      <c r="U21" s="1361"/>
      <c r="V21" s="1360"/>
      <c r="W21" s="1361"/>
      <c r="X21" s="1354"/>
      <c r="Y21" s="3863"/>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63"/>
      <c r="Q22" s="739" t="str">
        <f>B22</f>
        <v>楼层</v>
      </c>
      <c r="R22" s="1360" t="s">
        <v>1481</v>
      </c>
      <c r="S22" s="1361">
        <f>F22</f>
        <v>100</v>
      </c>
      <c r="T22" s="1360" t="s">
        <v>1481</v>
      </c>
      <c r="U22" s="1361">
        <f>H22</f>
        <v>100</v>
      </c>
      <c r="V22" s="1360" t="s">
        <v>1481</v>
      </c>
      <c r="W22" s="1361">
        <f>J22</f>
        <v>100</v>
      </c>
      <c r="X22" s="1354"/>
      <c r="Y22" s="3863"/>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63"/>
      <c r="Q23" s="739">
        <f>B23</f>
        <v>111</v>
      </c>
      <c r="R23" s="1360" t="s">
        <v>1481</v>
      </c>
      <c r="S23" s="1361">
        <f>F23</f>
        <v>100</v>
      </c>
      <c r="T23" s="1360" t="s">
        <v>1481</v>
      </c>
      <c r="U23" s="1361">
        <f>H23</f>
        <v>100</v>
      </c>
      <c r="V23" s="1360" t="s">
        <v>1481</v>
      </c>
      <c r="W23" s="1361">
        <f>J23</f>
        <v>100</v>
      </c>
      <c r="X23" s="1354"/>
      <c r="Y23" s="3863"/>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63"/>
      <c r="Q24" s="739">
        <f t="shared" ref="Q24:Q34" si="11">B24</f>
        <v>111</v>
      </c>
      <c r="R24" s="1360" t="s">
        <v>1481</v>
      </c>
      <c r="S24" s="1361">
        <f>F24</f>
        <v>100</v>
      </c>
      <c r="T24" s="1360" t="s">
        <v>1481</v>
      </c>
      <c r="U24" s="1361">
        <f>H24</f>
        <v>100</v>
      </c>
      <c r="V24" s="1360" t="s">
        <v>1481</v>
      </c>
      <c r="W24" s="1361">
        <f>J24</f>
        <v>100</v>
      </c>
      <c r="X24" s="1354"/>
      <c r="Y24" s="3863"/>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63"/>
      <c r="Q25" s="1359">
        <f t="shared" si="11"/>
        <v>111</v>
      </c>
      <c r="R25" s="1355" t="s">
        <v>1481</v>
      </c>
      <c r="S25" s="1356">
        <f>F25</f>
        <v>100</v>
      </c>
      <c r="T25" s="1355" t="s">
        <v>1481</v>
      </c>
      <c r="U25" s="1356">
        <f>H25</f>
        <v>100</v>
      </c>
      <c r="V25" s="1355" t="s">
        <v>1481</v>
      </c>
      <c r="W25" s="1356">
        <f>J25</f>
        <v>100</v>
      </c>
      <c r="X25" s="1357"/>
      <c r="Y25" s="3863"/>
      <c r="Z25" s="1370">
        <f>Q25</f>
        <v>111</v>
      </c>
      <c r="AA25" s="1371">
        <f t="shared" si="3"/>
        <v>1</v>
      </c>
      <c r="AB25" s="1371">
        <f t="shared" si="4"/>
        <v>1</v>
      </c>
      <c r="AC25" s="1371">
        <f t="shared" si="5"/>
        <v>1</v>
      </c>
    </row>
    <row r="26" spans="1:29" ht="28.5">
      <c r="A26" s="1553" t="s">
        <v>1507</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97"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64"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64"/>
      <c r="Q27" s="1588" t="str">
        <f t="shared" si="11"/>
        <v>成新率</v>
      </c>
      <c r="R27" s="1362" t="s">
        <v>1481</v>
      </c>
      <c r="S27" s="1363" t="e">
        <f t="shared" si="12"/>
        <v>#N/A</v>
      </c>
      <c r="T27" s="1362" t="s">
        <v>1481</v>
      </c>
      <c r="U27" s="1363" t="e">
        <f t="shared" si="13"/>
        <v>#N/A</v>
      </c>
      <c r="V27" s="1362" t="s">
        <v>1481</v>
      </c>
      <c r="W27" s="1363" t="e">
        <f t="shared" si="14"/>
        <v>#N/A</v>
      </c>
      <c r="X27" s="1364"/>
      <c r="Y27" s="3864"/>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64"/>
      <c r="Q28" s="739" t="str">
        <f t="shared" si="11"/>
        <v>物业等级</v>
      </c>
      <c r="R28" s="1360" t="s">
        <v>1481</v>
      </c>
      <c r="S28" s="1361">
        <f t="shared" si="12"/>
        <v>100</v>
      </c>
      <c r="T28" s="1360" t="s">
        <v>1481</v>
      </c>
      <c r="U28" s="1361">
        <f t="shared" si="13"/>
        <v>100</v>
      </c>
      <c r="V28" s="1360" t="s">
        <v>1481</v>
      </c>
      <c r="W28" s="1361">
        <f t="shared" si="14"/>
        <v>100</v>
      </c>
      <c r="X28" s="1354"/>
      <c r="Y28" s="3864"/>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64"/>
      <c r="Q29" s="739" t="str">
        <f t="shared" si="11"/>
        <v>有无电梯</v>
      </c>
      <c r="R29" s="1360" t="s">
        <v>1481</v>
      </c>
      <c r="S29" s="1361">
        <f t="shared" si="12"/>
        <v>100</v>
      </c>
      <c r="T29" s="1360" t="s">
        <v>1481</v>
      </c>
      <c r="U29" s="1361">
        <f t="shared" si="13"/>
        <v>100</v>
      </c>
      <c r="V29" s="1360" t="s">
        <v>1481</v>
      </c>
      <c r="W29" s="1361">
        <f t="shared" si="14"/>
        <v>100</v>
      </c>
      <c r="X29" s="1354"/>
      <c r="Y29" s="3864"/>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64"/>
      <c r="Q30" s="739" t="str">
        <f t="shared" si="11"/>
        <v>建筑面积</v>
      </c>
      <c r="R30" s="1360" t="s">
        <v>1481</v>
      </c>
      <c r="S30" s="1361" t="e">
        <f t="shared" si="12"/>
        <v>#N/A</v>
      </c>
      <c r="T30" s="1360" t="s">
        <v>1481</v>
      </c>
      <c r="U30" s="1361" t="e">
        <f t="shared" si="13"/>
        <v>#N/A</v>
      </c>
      <c r="V30" s="1360" t="s">
        <v>1481</v>
      </c>
      <c r="W30" s="1361" t="e">
        <f t="shared" si="14"/>
        <v>#N/A</v>
      </c>
      <c r="X30" s="1354"/>
      <c r="Y30" s="3864"/>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64"/>
      <c r="Q31" s="1359" t="str">
        <f t="shared" si="11"/>
        <v>是否封闭</v>
      </c>
      <c r="R31" s="1355" t="s">
        <v>1481</v>
      </c>
      <c r="S31" s="1356">
        <f t="shared" si="12"/>
        <v>100</v>
      </c>
      <c r="T31" s="1355" t="s">
        <v>1481</v>
      </c>
      <c r="U31" s="1356">
        <f t="shared" si="13"/>
        <v>100</v>
      </c>
      <c r="V31" s="1355" t="s">
        <v>1481</v>
      </c>
      <c r="W31" s="1356">
        <f t="shared" si="14"/>
        <v>100</v>
      </c>
      <c r="X31" s="1357"/>
      <c r="Y31" s="3864"/>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64" t="s">
        <v>1509</v>
      </c>
      <c r="Q32" s="739">
        <f t="shared" si="11"/>
        <v>111</v>
      </c>
      <c r="R32" s="1360" t="s">
        <v>1481</v>
      </c>
      <c r="S32" s="1361">
        <f t="shared" si="12"/>
        <v>100</v>
      </c>
      <c r="T32" s="1360" t="s">
        <v>1481</v>
      </c>
      <c r="U32" s="1361">
        <f t="shared" si="13"/>
        <v>100</v>
      </c>
      <c r="V32" s="1360" t="s">
        <v>1481</v>
      </c>
      <c r="W32" s="1361">
        <f t="shared" si="14"/>
        <v>100</v>
      </c>
      <c r="X32" s="1354"/>
      <c r="Y32" s="3864"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64"/>
      <c r="Q33" s="739">
        <f t="shared" si="11"/>
        <v>111</v>
      </c>
      <c r="R33" s="1360" t="s">
        <v>1481</v>
      </c>
      <c r="S33" s="1361">
        <f t="shared" si="12"/>
        <v>100</v>
      </c>
      <c r="T33" s="1360" t="s">
        <v>1481</v>
      </c>
      <c r="U33" s="1361">
        <f t="shared" si="13"/>
        <v>100</v>
      </c>
      <c r="V33" s="1360" t="s">
        <v>1481</v>
      </c>
      <c r="W33" s="1361">
        <f t="shared" si="14"/>
        <v>100</v>
      </c>
      <c r="X33" s="1354"/>
      <c r="Y33" s="3864"/>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64"/>
      <c r="Q34" s="739">
        <f t="shared" si="11"/>
        <v>111</v>
      </c>
      <c r="R34" s="1360" t="s">
        <v>1481</v>
      </c>
      <c r="S34" s="1361">
        <f t="shared" si="12"/>
        <v>100</v>
      </c>
      <c r="T34" s="1360" t="s">
        <v>1481</v>
      </c>
      <c r="U34" s="1361">
        <f t="shared" si="13"/>
        <v>100</v>
      </c>
      <c r="V34" s="1360" t="s">
        <v>1481</v>
      </c>
      <c r="W34" s="1361">
        <f t="shared" si="14"/>
        <v>100</v>
      </c>
      <c r="X34" s="1354"/>
      <c r="Y34" s="3864"/>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49" t="str">
        <f>A35</f>
        <v>成交单价（元/平方米）</v>
      </c>
      <c r="Q35" s="3849"/>
      <c r="R35" s="3850">
        <f>E35</f>
        <v>0</v>
      </c>
      <c r="S35" s="3850"/>
      <c r="T35" s="3850">
        <f>G35</f>
        <v>0</v>
      </c>
      <c r="U35" s="3850"/>
      <c r="V35" s="3850">
        <f>I35</f>
        <v>0</v>
      </c>
      <c r="W35" s="3850"/>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51" t="str">
        <f>A37</f>
        <v>估价对象XX用房的比较价值（楼面单价，元/平方米）</v>
      </c>
      <c r="Q37" s="3852"/>
      <c r="R37" s="3898" t="e">
        <f>IF(F1="售价",ROUND(IF(D36="简单平均",AVERAGE(R36:W36),R36*F36+T36*H36+V36*J36),0),ROUND(IF(D36="简单平均",AVERAGE(R36:V36),R36*F36+T36*H36+V36*J36),1))</f>
        <v>#DIV/0!</v>
      </c>
      <c r="S37" s="3898"/>
      <c r="T37" s="3898"/>
      <c r="U37" s="3898"/>
      <c r="V37" s="3898"/>
      <c r="W37" s="3898"/>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2008-11</v>
      </c>
      <c r="D46" s="1578">
        <f>EDATE(C46,-1)</f>
        <v>39722</v>
      </c>
      <c r="E46" s="1578">
        <f t="shared" ref="E46:O46" si="16">EDATE(D46,-1)</f>
        <v>39692</v>
      </c>
      <c r="F46" s="1578">
        <f t="shared" si="16"/>
        <v>39661</v>
      </c>
      <c r="G46" s="1578">
        <f t="shared" si="16"/>
        <v>39630</v>
      </c>
      <c r="H46" s="1578">
        <f t="shared" si="16"/>
        <v>39600</v>
      </c>
      <c r="I46" s="1578">
        <f t="shared" si="16"/>
        <v>39569</v>
      </c>
      <c r="J46" s="1578">
        <f t="shared" si="16"/>
        <v>39539</v>
      </c>
      <c r="K46" s="1578">
        <f t="shared" si="16"/>
        <v>39508</v>
      </c>
      <c r="L46" s="1578">
        <f t="shared" si="16"/>
        <v>39479</v>
      </c>
      <c r="M46" s="1578">
        <f t="shared" si="16"/>
        <v>39448</v>
      </c>
      <c r="N46" s="1578">
        <f t="shared" si="16"/>
        <v>39417</v>
      </c>
      <c r="O46" s="1578">
        <f t="shared" si="16"/>
        <v>39387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1507</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30"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30"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30" s="1144" customFormat="1" ht="15">
      <c r="A7" s="1169" t="s">
        <v>1479</v>
      </c>
      <c r="B7" s="1170"/>
      <c r="C7" s="1171">
        <f>'数据-取费表'!B2</f>
        <v>39779</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54" t="s">
        <v>1484</v>
      </c>
      <c r="Q8" s="3855"/>
      <c r="R8" s="1355" t="s">
        <v>1481</v>
      </c>
      <c r="S8" s="1356">
        <f t="shared" si="0"/>
        <v>0</v>
      </c>
      <c r="T8" s="1355" t="s">
        <v>1481</v>
      </c>
      <c r="U8" s="1356">
        <f t="shared" si="1"/>
        <v>0</v>
      </c>
      <c r="V8" s="1355" t="s">
        <v>1481</v>
      </c>
      <c r="W8" s="1356">
        <f t="shared" si="2"/>
        <v>0</v>
      </c>
      <c r="X8" s="1357"/>
      <c r="Y8" s="3854" t="s">
        <v>1484</v>
      </c>
      <c r="Z8" s="3855"/>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49"/>
      <c r="Q12" s="1359" t="str">
        <f t="shared" si="6"/>
        <v>配建</v>
      </c>
      <c r="R12" s="1355" t="s">
        <v>1481</v>
      </c>
      <c r="S12" s="1356">
        <f t="shared" si="0"/>
        <v>100</v>
      </c>
      <c r="T12" s="1355" t="s">
        <v>1481</v>
      </c>
      <c r="U12" s="1356">
        <f t="shared" si="1"/>
        <v>100</v>
      </c>
      <c r="V12" s="1355" t="s">
        <v>1481</v>
      </c>
      <c r="W12" s="1356">
        <f t="shared" si="2"/>
        <v>100</v>
      </c>
      <c r="X12" s="1357"/>
      <c r="Y12" s="3719"/>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62" t="s">
        <v>1493</v>
      </c>
      <c r="Q15" s="739" t="str">
        <f t="shared" si="6"/>
        <v>居住社区成熟度</v>
      </c>
      <c r="R15" s="1360" t="s">
        <v>1481</v>
      </c>
      <c r="S15" s="1361">
        <f t="shared" si="0"/>
        <v>100</v>
      </c>
      <c r="T15" s="1360" t="s">
        <v>1481</v>
      </c>
      <c r="U15" s="1361">
        <f t="shared" si="1"/>
        <v>100</v>
      </c>
      <c r="V15" s="1360" t="s">
        <v>1481</v>
      </c>
      <c r="W15" s="1361">
        <f t="shared" si="2"/>
        <v>100</v>
      </c>
      <c r="X15" s="1354"/>
      <c r="Y15" s="3862"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63"/>
      <c r="Q16" s="739"/>
      <c r="R16" s="1360"/>
      <c r="S16" s="1361"/>
      <c r="T16" s="1360"/>
      <c r="U16" s="1361"/>
      <c r="V16" s="1360"/>
      <c r="W16" s="1361"/>
      <c r="X16" s="1354"/>
      <c r="Y16" s="3863"/>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63"/>
      <c r="Q17" s="739" t="str">
        <f>B17</f>
        <v>商业繁华度</v>
      </c>
      <c r="R17" s="1360" t="s">
        <v>1481</v>
      </c>
      <c r="S17" s="1361">
        <f>F17</f>
        <v>100</v>
      </c>
      <c r="T17" s="1360" t="s">
        <v>1481</v>
      </c>
      <c r="U17" s="1361">
        <f>H17</f>
        <v>100</v>
      </c>
      <c r="V17" s="1360" t="s">
        <v>1481</v>
      </c>
      <c r="W17" s="1361">
        <f>J17</f>
        <v>100</v>
      </c>
      <c r="X17" s="1354"/>
      <c r="Y17" s="3863"/>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63"/>
      <c r="Q18" s="739"/>
      <c r="R18" s="1360"/>
      <c r="S18" s="1361"/>
      <c r="T18" s="1360"/>
      <c r="U18" s="1361"/>
      <c r="V18" s="1360"/>
      <c r="W18" s="1361"/>
      <c r="X18" s="1354"/>
      <c r="Y18" s="3863"/>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63"/>
      <c r="Q19" s="739" t="str">
        <f>B19</f>
        <v>办公集聚程度</v>
      </c>
      <c r="R19" s="1360" t="s">
        <v>1481</v>
      </c>
      <c r="S19" s="1361">
        <f>F19</f>
        <v>100</v>
      </c>
      <c r="T19" s="1360" t="s">
        <v>1481</v>
      </c>
      <c r="U19" s="1361">
        <f>H19</f>
        <v>100</v>
      </c>
      <c r="V19" s="1360" t="s">
        <v>1481</v>
      </c>
      <c r="W19" s="1361">
        <f>J19</f>
        <v>100</v>
      </c>
      <c r="X19" s="1354"/>
      <c r="Y19" s="3863"/>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63"/>
      <c r="Q20" s="739"/>
      <c r="R20" s="1360"/>
      <c r="S20" s="1361"/>
      <c r="T20" s="1360"/>
      <c r="U20" s="1361"/>
      <c r="V20" s="1360"/>
      <c r="W20" s="1361"/>
      <c r="X20" s="1354"/>
      <c r="Y20" s="3863"/>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63"/>
      <c r="Q21" s="739" t="str">
        <f>B21</f>
        <v>交通便捷度</v>
      </c>
      <c r="R21" s="1360" t="s">
        <v>1481</v>
      </c>
      <c r="S21" s="1361">
        <f>F21</f>
        <v>100</v>
      </c>
      <c r="T21" s="1360" t="s">
        <v>1481</v>
      </c>
      <c r="U21" s="1361">
        <f>H21</f>
        <v>100</v>
      </c>
      <c r="V21" s="1360" t="s">
        <v>1481</v>
      </c>
      <c r="W21" s="1361">
        <f>J21</f>
        <v>100</v>
      </c>
      <c r="X21" s="1354"/>
      <c r="Y21" s="3863"/>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63"/>
      <c r="Q22" s="739"/>
      <c r="R22" s="1360"/>
      <c r="S22" s="1361"/>
      <c r="T22" s="1360"/>
      <c r="U22" s="1361"/>
      <c r="V22" s="1360"/>
      <c r="W22" s="1361"/>
      <c r="X22" s="1354"/>
      <c r="Y22" s="3863"/>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63"/>
      <c r="Q23" s="739" t="str">
        <f t="shared" ref="Q23:Q38" si="8">B23</f>
        <v>区域土地利用方向</v>
      </c>
      <c r="R23" s="1360" t="s">
        <v>1481</v>
      </c>
      <c r="S23" s="1361">
        <f>F23</f>
        <v>100</v>
      </c>
      <c r="T23" s="1360" t="s">
        <v>1481</v>
      </c>
      <c r="U23" s="1361">
        <f>H23</f>
        <v>100</v>
      </c>
      <c r="V23" s="1360" t="s">
        <v>1481</v>
      </c>
      <c r="W23" s="1361">
        <f>J23</f>
        <v>100</v>
      </c>
      <c r="X23" s="1354"/>
      <c r="Y23" s="3863"/>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63"/>
      <c r="Q24" s="739"/>
      <c r="R24" s="1360"/>
      <c r="S24" s="1361"/>
      <c r="T24" s="1360"/>
      <c r="U24" s="1361"/>
      <c r="V24" s="1360"/>
      <c r="W24" s="1361"/>
      <c r="X24" s="1354"/>
      <c r="Y24" s="3863"/>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63"/>
      <c r="Q25" s="739" t="str">
        <f t="shared" si="8"/>
        <v>自然及人文环境状况</v>
      </c>
      <c r="R25" s="1360" t="s">
        <v>1481</v>
      </c>
      <c r="S25" s="1361">
        <f>F25</f>
        <v>100</v>
      </c>
      <c r="T25" s="1360" t="s">
        <v>1481</v>
      </c>
      <c r="U25" s="1361">
        <f>H25</f>
        <v>100</v>
      </c>
      <c r="V25" s="1360" t="s">
        <v>1481</v>
      </c>
      <c r="W25" s="1361">
        <f>J25</f>
        <v>100</v>
      </c>
      <c r="X25" s="1354"/>
      <c r="Y25" s="3863"/>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63"/>
      <c r="Q26" s="739"/>
      <c r="R26" s="1360"/>
      <c r="S26" s="1361"/>
      <c r="T26" s="1360"/>
      <c r="U26" s="1361"/>
      <c r="V26" s="1360"/>
      <c r="W26" s="1361"/>
      <c r="X26" s="1354"/>
      <c r="Y26" s="3863"/>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63"/>
      <c r="Q27" s="1359" t="str">
        <f t="shared" si="8"/>
        <v>公共配套设施</v>
      </c>
      <c r="R27" s="1355" t="s">
        <v>1481</v>
      </c>
      <c r="S27" s="1356">
        <f>F27</f>
        <v>100</v>
      </c>
      <c r="T27" s="1355" t="s">
        <v>1481</v>
      </c>
      <c r="U27" s="1356">
        <f>H27</f>
        <v>100</v>
      </c>
      <c r="V27" s="1355" t="s">
        <v>1481</v>
      </c>
      <c r="W27" s="1356">
        <f>J27</f>
        <v>100</v>
      </c>
      <c r="X27" s="1357"/>
      <c r="Y27" s="3863"/>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63"/>
      <c r="Q28" s="1359"/>
      <c r="R28" s="1355"/>
      <c r="S28" s="1356"/>
      <c r="T28" s="1355"/>
      <c r="U28" s="1356"/>
      <c r="V28" s="1355"/>
      <c r="W28" s="1356"/>
      <c r="X28" s="1357"/>
      <c r="Y28" s="3863"/>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63"/>
      <c r="Q29" s="1359" t="str">
        <f t="shared" ref="Q29" si="9">B29</f>
        <v>基础设施水平</v>
      </c>
      <c r="R29" s="1355" t="s">
        <v>1481</v>
      </c>
      <c r="S29" s="1356">
        <f>F29</f>
        <v>100</v>
      </c>
      <c r="T29" s="1355" t="s">
        <v>1481</v>
      </c>
      <c r="U29" s="1356">
        <f>H29</f>
        <v>100</v>
      </c>
      <c r="V29" s="1355" t="s">
        <v>1481</v>
      </c>
      <c r="W29" s="1356">
        <f>J29</f>
        <v>100</v>
      </c>
      <c r="X29" s="1357"/>
      <c r="Y29" s="3863"/>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63"/>
      <c r="Q30" s="1359"/>
      <c r="R30" s="1355"/>
      <c r="S30" s="1356"/>
      <c r="T30" s="1355"/>
      <c r="U30" s="1356"/>
      <c r="V30" s="1355"/>
      <c r="W30" s="1356"/>
      <c r="X30" s="1357"/>
      <c r="Y30" s="3863"/>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63"/>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63"/>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63"/>
      <c r="Q32" s="739" t="str">
        <f t="shared" si="8"/>
        <v>毗邻道路的类型与等级</v>
      </c>
      <c r="R32" s="1360" t="s">
        <v>1481</v>
      </c>
      <c r="S32" s="1361">
        <f t="shared" si="10"/>
        <v>100</v>
      </c>
      <c r="T32" s="1360" t="s">
        <v>1481</v>
      </c>
      <c r="U32" s="1361">
        <f t="shared" si="11"/>
        <v>100</v>
      </c>
      <c r="V32" s="1360" t="s">
        <v>1481</v>
      </c>
      <c r="W32" s="1361">
        <f t="shared" si="12"/>
        <v>100</v>
      </c>
      <c r="X32" s="1354"/>
      <c r="Y32" s="3863"/>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63"/>
      <c r="Q33" s="739"/>
      <c r="R33" s="1360"/>
      <c r="S33" s="1361"/>
      <c r="T33" s="1360"/>
      <c r="U33" s="1361"/>
      <c r="V33" s="1360"/>
      <c r="W33" s="1361"/>
      <c r="X33" s="1354"/>
      <c r="Y33" s="3863"/>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63"/>
      <c r="Q34" s="739" t="str">
        <f t="shared" si="8"/>
        <v>土地级别</v>
      </c>
      <c r="R34" s="1360" t="s">
        <v>1481</v>
      </c>
      <c r="S34" s="1361">
        <f t="shared" si="10"/>
        <v>100</v>
      </c>
      <c r="T34" s="1360" t="s">
        <v>1481</v>
      </c>
      <c r="U34" s="1361">
        <f t="shared" si="11"/>
        <v>100</v>
      </c>
      <c r="V34" s="1360" t="s">
        <v>1481</v>
      </c>
      <c r="W34" s="1361">
        <f t="shared" si="12"/>
        <v>100</v>
      </c>
      <c r="X34" s="1354"/>
      <c r="Y34" s="3863"/>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63"/>
      <c r="Q35" s="739">
        <f t="shared" si="8"/>
        <v>111</v>
      </c>
      <c r="R35" s="1360" t="s">
        <v>1481</v>
      </c>
      <c r="S35" s="1361">
        <f t="shared" si="10"/>
        <v>100</v>
      </c>
      <c r="T35" s="1360" t="s">
        <v>1481</v>
      </c>
      <c r="U35" s="1361">
        <f t="shared" si="11"/>
        <v>100</v>
      </c>
      <c r="V35" s="1360" t="s">
        <v>1481</v>
      </c>
      <c r="W35" s="1361">
        <f t="shared" si="12"/>
        <v>100</v>
      </c>
      <c r="X35" s="1354"/>
      <c r="Y35" s="3863"/>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97" t="s">
        <v>1509</v>
      </c>
      <c r="Q36" s="739">
        <f t="shared" si="8"/>
        <v>111</v>
      </c>
      <c r="R36" s="1360" t="s">
        <v>1481</v>
      </c>
      <c r="S36" s="1361">
        <f t="shared" si="10"/>
        <v>100</v>
      </c>
      <c r="T36" s="1360" t="s">
        <v>1481</v>
      </c>
      <c r="U36" s="1361">
        <f t="shared" si="11"/>
        <v>100</v>
      </c>
      <c r="V36" s="1360" t="s">
        <v>1481</v>
      </c>
      <c r="W36" s="1361">
        <f t="shared" si="12"/>
        <v>100</v>
      </c>
      <c r="X36" s="1354"/>
      <c r="Y36" s="3864"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64"/>
      <c r="Q37" s="739">
        <f t="shared" si="8"/>
        <v>111</v>
      </c>
      <c r="R37" s="1362" t="s">
        <v>1481</v>
      </c>
      <c r="S37" s="1363">
        <f t="shared" si="10"/>
        <v>100</v>
      </c>
      <c r="T37" s="1362" t="s">
        <v>1481</v>
      </c>
      <c r="U37" s="1363">
        <f t="shared" si="11"/>
        <v>100</v>
      </c>
      <c r="V37" s="1362" t="s">
        <v>1481</v>
      </c>
      <c r="W37" s="1363">
        <f t="shared" si="12"/>
        <v>100</v>
      </c>
      <c r="X37" s="1364"/>
      <c r="Y37" s="3864"/>
      <c r="Z37" s="1372">
        <f t="shared" si="13"/>
        <v>111</v>
      </c>
      <c r="AA37" s="1371">
        <f t="shared" si="3"/>
        <v>1</v>
      </c>
      <c r="AB37" s="1371">
        <f t="shared" si="4"/>
        <v>1</v>
      </c>
      <c r="AC37" s="1371">
        <f t="shared" si="5"/>
        <v>1</v>
      </c>
    </row>
    <row r="38" spans="1:29" ht="15">
      <c r="A38" s="1236" t="s">
        <v>1507</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64"/>
      <c r="Q38" s="739" t="str">
        <f t="shared" si="8"/>
        <v>宗地面积</v>
      </c>
      <c r="R38" s="1360" t="s">
        <v>1481</v>
      </c>
      <c r="S38" s="1361" t="e">
        <f t="shared" si="10"/>
        <v>#N/A</v>
      </c>
      <c r="T38" s="1360" t="s">
        <v>1481</v>
      </c>
      <c r="U38" s="1361" t="e">
        <f t="shared" si="11"/>
        <v>#N/A</v>
      </c>
      <c r="V38" s="1360" t="s">
        <v>1481</v>
      </c>
      <c r="W38" s="1361" t="e">
        <f t="shared" si="12"/>
        <v>#N/A</v>
      </c>
      <c r="X38" s="1354"/>
      <c r="Y38" s="3864"/>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64"/>
      <c r="Q39" s="739" t="str">
        <f t="shared" ref="Q39:Q45" si="14">B39</f>
        <v>宗地形状</v>
      </c>
      <c r="R39" s="1360" t="s">
        <v>1481</v>
      </c>
      <c r="S39" s="1361">
        <f t="shared" si="10"/>
        <v>100</v>
      </c>
      <c r="T39" s="1360" t="s">
        <v>1481</v>
      </c>
      <c r="U39" s="1361">
        <f t="shared" si="11"/>
        <v>100</v>
      </c>
      <c r="V39" s="1360" t="s">
        <v>1481</v>
      </c>
      <c r="W39" s="1361">
        <f t="shared" si="12"/>
        <v>100</v>
      </c>
      <c r="X39" s="1354"/>
      <c r="Y39" s="3864"/>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64"/>
      <c r="Q40" s="739" t="str">
        <f t="shared" si="14"/>
        <v>临街宽度及深度</v>
      </c>
      <c r="R40" s="1360" t="s">
        <v>1481</v>
      </c>
      <c r="S40" s="1361">
        <f t="shared" si="10"/>
        <v>100</v>
      </c>
      <c r="T40" s="1360" t="s">
        <v>1481</v>
      </c>
      <c r="U40" s="1361">
        <f t="shared" si="11"/>
        <v>100</v>
      </c>
      <c r="V40" s="1360" t="s">
        <v>1481</v>
      </c>
      <c r="W40" s="1361">
        <f t="shared" si="12"/>
        <v>100</v>
      </c>
      <c r="X40" s="1354"/>
      <c r="Y40" s="3864"/>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64"/>
      <c r="Q41" s="739" t="str">
        <f t="shared" si="14"/>
        <v>宗地开发程度</v>
      </c>
      <c r="R41" s="1355" t="s">
        <v>1481</v>
      </c>
      <c r="S41" s="1356">
        <f t="shared" si="10"/>
        <v>100</v>
      </c>
      <c r="T41" s="1355" t="s">
        <v>1481</v>
      </c>
      <c r="U41" s="1356">
        <f t="shared" si="11"/>
        <v>100</v>
      </c>
      <c r="V41" s="1355" t="s">
        <v>1481</v>
      </c>
      <c r="W41" s="1356">
        <f t="shared" si="12"/>
        <v>100</v>
      </c>
      <c r="X41" s="1357"/>
      <c r="Y41" s="3864"/>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64" t="s">
        <v>1509</v>
      </c>
      <c r="Q42" s="739" t="str">
        <f t="shared" si="14"/>
        <v>工程地质条件</v>
      </c>
      <c r="R42" s="1360" t="s">
        <v>1481</v>
      </c>
      <c r="S42" s="1361">
        <f t="shared" si="10"/>
        <v>100</v>
      </c>
      <c r="T42" s="1360" t="s">
        <v>1481</v>
      </c>
      <c r="U42" s="1361">
        <f t="shared" si="11"/>
        <v>100</v>
      </c>
      <c r="V42" s="1360" t="s">
        <v>1481</v>
      </c>
      <c r="W42" s="1361">
        <f t="shared" si="12"/>
        <v>100</v>
      </c>
      <c r="X42" s="1354"/>
      <c r="Y42" s="3864"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64"/>
      <c r="Q43" s="739">
        <f t="shared" si="14"/>
        <v>111</v>
      </c>
      <c r="R43" s="1360" t="s">
        <v>1481</v>
      </c>
      <c r="S43" s="1361">
        <f t="shared" si="10"/>
        <v>100</v>
      </c>
      <c r="T43" s="1360" t="s">
        <v>1481</v>
      </c>
      <c r="U43" s="1361">
        <f t="shared" si="11"/>
        <v>100</v>
      </c>
      <c r="V43" s="1360" t="s">
        <v>1481</v>
      </c>
      <c r="W43" s="1361">
        <f t="shared" si="12"/>
        <v>100</v>
      </c>
      <c r="X43" s="1354"/>
      <c r="Y43" s="3864"/>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64"/>
      <c r="Q44" s="739">
        <f t="shared" si="14"/>
        <v>111</v>
      </c>
      <c r="R44" s="1360" t="s">
        <v>1481</v>
      </c>
      <c r="S44" s="1361">
        <f t="shared" si="10"/>
        <v>100</v>
      </c>
      <c r="T44" s="1360" t="s">
        <v>1481</v>
      </c>
      <c r="U44" s="1361">
        <f t="shared" si="11"/>
        <v>100</v>
      </c>
      <c r="V44" s="1360" t="s">
        <v>1481</v>
      </c>
      <c r="W44" s="1361">
        <f t="shared" si="12"/>
        <v>100</v>
      </c>
      <c r="X44" s="1354"/>
      <c r="Y44" s="3864"/>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64"/>
      <c r="Q45" s="739">
        <f t="shared" si="14"/>
        <v>111</v>
      </c>
      <c r="R45" s="1362" t="s">
        <v>1481</v>
      </c>
      <c r="S45" s="1363">
        <f t="shared" si="10"/>
        <v>100</v>
      </c>
      <c r="T45" s="1362" t="s">
        <v>1481</v>
      </c>
      <c r="U45" s="1363">
        <f t="shared" si="11"/>
        <v>100</v>
      </c>
      <c r="V45" s="1362" t="s">
        <v>1481</v>
      </c>
      <c r="W45" s="1363">
        <f t="shared" si="12"/>
        <v>100</v>
      </c>
      <c r="X45" s="1364"/>
      <c r="Y45" s="3864"/>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49" t="str">
        <f>A46</f>
        <v>成交单价</v>
      </c>
      <c r="Q46" s="3849"/>
      <c r="R46" s="3848">
        <f>E46</f>
        <v>0</v>
      </c>
      <c r="S46" s="3848"/>
      <c r="T46" s="3848">
        <f>G46</f>
        <v>0</v>
      </c>
      <c r="U46" s="3848"/>
      <c r="V46" s="3848">
        <f>I46</f>
        <v>0</v>
      </c>
      <c r="W46" s="3848"/>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49" t="str">
        <f>A47</f>
        <v>比较价值（元/平方米）</v>
      </c>
      <c r="Q47" s="3849"/>
      <c r="R47" s="3900" t="e">
        <f>ROUND(PRODUCT(R46,AA7:AA45),0)</f>
        <v>#DIV/0!</v>
      </c>
      <c r="S47" s="3900"/>
      <c r="T47" s="3900" t="e">
        <f>ROUND(PRODUCT(T46,AB7:AB45),0)</f>
        <v>#DIV/0!</v>
      </c>
      <c r="U47" s="3900"/>
      <c r="V47" s="3900" t="e">
        <f>ROUND(PRODUCT(V46,AC7:AC45),0)</f>
        <v>#DIV/0!</v>
      </c>
      <c r="W47" s="3900"/>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51" t="str">
        <f>A48</f>
        <v>估价对象XX用房的比较价值（楼面单价，元/平方米）</v>
      </c>
      <c r="Q48" s="3852"/>
      <c r="R48" s="3901" t="e">
        <f>ROUND(IF(D47="简单平均",AVERAGE(R47:W47),R47*F47+T47*H47+V47*J47),0)</f>
        <v>#DIV/0!</v>
      </c>
      <c r="S48" s="3901"/>
      <c r="T48" s="3901"/>
      <c r="U48" s="3901"/>
      <c r="V48" s="3901"/>
      <c r="W48" s="3901"/>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871" t="s">
        <v>1845</v>
      </c>
      <c r="H55" s="3899"/>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63.08</v>
      </c>
      <c r="F56" s="1504" t="e">
        <f t="shared" ref="F56:F64" si="15">ROUND(B56*E56/10000,0)</f>
        <v>#DIV/0!</v>
      </c>
      <c r="G56" s="3856"/>
      <c r="H56" s="3849"/>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63.08</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2008-11-1</v>
      </c>
      <c r="D67" s="1298">
        <f>EDATE(C67,-3)</f>
        <v>39661</v>
      </c>
      <c r="E67" s="1298">
        <f>EDATE(D67,-3)</f>
        <v>39569</v>
      </c>
      <c r="F67" s="1298">
        <f t="shared" ref="F67:O67" si="18">EDATE(E67,-3)</f>
        <v>39479</v>
      </c>
      <c r="G67" s="1298">
        <f t="shared" si="18"/>
        <v>39387</v>
      </c>
      <c r="H67" s="1298">
        <f t="shared" si="18"/>
        <v>39295</v>
      </c>
      <c r="I67" s="1298">
        <f t="shared" si="18"/>
        <v>39203</v>
      </c>
      <c r="J67" s="1298">
        <f t="shared" si="18"/>
        <v>39114</v>
      </c>
      <c r="K67" s="1298">
        <f t="shared" si="18"/>
        <v>39022</v>
      </c>
      <c r="L67" s="1298">
        <f t="shared" si="18"/>
        <v>38930</v>
      </c>
      <c r="M67" s="1298">
        <f t="shared" si="18"/>
        <v>38838</v>
      </c>
      <c r="N67" s="1298">
        <f t="shared" si="18"/>
        <v>38749</v>
      </c>
      <c r="O67" s="1298">
        <f t="shared" si="18"/>
        <v>38657</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2008-4</v>
      </c>
      <c r="D69" s="1376" t="str">
        <f>YEAR(D67)&amp;"-"&amp;ROUNDUP(MONTH(D67)/3,0)</f>
        <v>2008-3</v>
      </c>
      <c r="E69" s="1376" t="str">
        <f t="shared" ref="E69:O69" si="19">YEAR(E67)&amp;"-"&amp;ROUNDUP(MONTH(E67)/3,0)</f>
        <v>2008-2</v>
      </c>
      <c r="F69" s="1376" t="str">
        <f t="shared" si="19"/>
        <v>2008-1</v>
      </c>
      <c r="G69" s="1376" t="str">
        <f t="shared" si="19"/>
        <v>2007-4</v>
      </c>
      <c r="H69" s="1376" t="str">
        <f t="shared" si="19"/>
        <v>2007-3</v>
      </c>
      <c r="I69" s="1376" t="str">
        <f t="shared" si="19"/>
        <v>2007-2</v>
      </c>
      <c r="J69" s="1376" t="str">
        <f t="shared" si="19"/>
        <v>2007-1</v>
      </c>
      <c r="K69" s="1376" t="str">
        <f t="shared" si="19"/>
        <v>2006-4</v>
      </c>
      <c r="L69" s="1376" t="str">
        <f t="shared" si="19"/>
        <v>2006-3</v>
      </c>
      <c r="M69" s="1376" t="str">
        <f t="shared" si="19"/>
        <v>2006-2</v>
      </c>
      <c r="N69" s="1376" t="str">
        <f t="shared" si="19"/>
        <v>2006-1</v>
      </c>
      <c r="O69" s="1376" t="str">
        <f t="shared" si="19"/>
        <v>2005-4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1507</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902" t="s">
        <v>1869</v>
      </c>
      <c r="D6" s="3903"/>
      <c r="E6" s="3904" t="s">
        <v>1869</v>
      </c>
      <c r="F6" s="3905"/>
      <c r="G6" s="3902" t="s">
        <v>1869</v>
      </c>
      <c r="H6" s="3903"/>
      <c r="I6" s="3902" t="s">
        <v>1869</v>
      </c>
      <c r="J6" s="3903"/>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54" t="s">
        <v>1484</v>
      </c>
      <c r="Q8" s="3855"/>
      <c r="R8" s="1355" t="s">
        <v>1481</v>
      </c>
      <c r="S8" s="1356">
        <f t="shared" si="0"/>
        <v>0</v>
      </c>
      <c r="T8" s="1355" t="s">
        <v>1481</v>
      </c>
      <c r="U8" s="1356">
        <f t="shared" si="1"/>
        <v>0</v>
      </c>
      <c r="V8" s="1355" t="s">
        <v>1481</v>
      </c>
      <c r="W8" s="1356">
        <f t="shared" si="2"/>
        <v>0</v>
      </c>
      <c r="X8" s="1357"/>
      <c r="Y8" s="3854" t="s">
        <v>1484</v>
      </c>
      <c r="Z8" s="3855"/>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62" t="s">
        <v>1493</v>
      </c>
      <c r="Q15" s="739" t="str">
        <f t="shared" si="6"/>
        <v>产业集聚程度</v>
      </c>
      <c r="R15" s="1360" t="s">
        <v>1481</v>
      </c>
      <c r="S15" s="1361">
        <f t="shared" si="0"/>
        <v>100</v>
      </c>
      <c r="T15" s="1360" t="s">
        <v>1481</v>
      </c>
      <c r="U15" s="1361">
        <f t="shared" si="1"/>
        <v>100</v>
      </c>
      <c r="V15" s="1360" t="s">
        <v>1481</v>
      </c>
      <c r="W15" s="1361">
        <f t="shared" si="2"/>
        <v>100</v>
      </c>
      <c r="X15" s="1354"/>
      <c r="Y15" s="3862"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63"/>
      <c r="Q16" s="739"/>
      <c r="R16" s="1360"/>
      <c r="S16" s="1361"/>
      <c r="T16" s="1360"/>
      <c r="U16" s="1361"/>
      <c r="V16" s="1360"/>
      <c r="W16" s="1361"/>
      <c r="X16" s="1354"/>
      <c r="Y16" s="3863"/>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63"/>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63"/>
      <c r="Q18" s="739"/>
      <c r="R18" s="1360"/>
      <c r="S18" s="1361"/>
      <c r="T18" s="1360"/>
      <c r="U18" s="1361"/>
      <c r="V18" s="1360"/>
      <c r="W18" s="1361"/>
      <c r="X18" s="1354"/>
      <c r="Y18" s="3863"/>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63"/>
      <c r="Q19" s="739" t="str">
        <f t="shared" ref="Q19:Q34" si="8">B19</f>
        <v>区域土地利用方向</v>
      </c>
      <c r="R19" s="1360" t="s">
        <v>1481</v>
      </c>
      <c r="S19" s="1361">
        <f>F19</f>
        <v>100</v>
      </c>
      <c r="T19" s="1360" t="s">
        <v>1481</v>
      </c>
      <c r="U19" s="1361">
        <f>H19</f>
        <v>100</v>
      </c>
      <c r="V19" s="1360" t="s">
        <v>1481</v>
      </c>
      <c r="W19" s="1361">
        <f>J19</f>
        <v>100</v>
      </c>
      <c r="X19" s="1354"/>
      <c r="Y19" s="3863"/>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63"/>
      <c r="Q20" s="739"/>
      <c r="R20" s="1360"/>
      <c r="S20" s="1361"/>
      <c r="T20" s="1360"/>
      <c r="U20" s="1361"/>
      <c r="V20" s="1360"/>
      <c r="W20" s="1361"/>
      <c r="X20" s="1354"/>
      <c r="Y20" s="3863"/>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63"/>
      <c r="Q21" s="739" t="str">
        <f t="shared" si="8"/>
        <v>环境状况</v>
      </c>
      <c r="R21" s="1360" t="s">
        <v>1481</v>
      </c>
      <c r="S21" s="1361">
        <f>F21</f>
        <v>100</v>
      </c>
      <c r="T21" s="1360" t="s">
        <v>1481</v>
      </c>
      <c r="U21" s="1361">
        <f>H21</f>
        <v>100</v>
      </c>
      <c r="V21" s="1360" t="s">
        <v>1481</v>
      </c>
      <c r="W21" s="1361">
        <f>J21</f>
        <v>100</v>
      </c>
      <c r="X21" s="1354"/>
      <c r="Y21" s="3863"/>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63"/>
      <c r="Q22" s="739"/>
      <c r="R22" s="1360"/>
      <c r="S22" s="1361"/>
      <c r="T22" s="1360"/>
      <c r="U22" s="1361"/>
      <c r="V22" s="1360"/>
      <c r="W22" s="1361"/>
      <c r="X22" s="1354"/>
      <c r="Y22" s="3863"/>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63"/>
      <c r="Q23" s="1359" t="str">
        <f t="shared" si="8"/>
        <v>公共配套设施</v>
      </c>
      <c r="R23" s="1355" t="s">
        <v>1481</v>
      </c>
      <c r="S23" s="1356">
        <f>F23</f>
        <v>100</v>
      </c>
      <c r="T23" s="1355" t="s">
        <v>1481</v>
      </c>
      <c r="U23" s="1356">
        <f>H23</f>
        <v>100</v>
      </c>
      <c r="V23" s="1355" t="s">
        <v>1481</v>
      </c>
      <c r="W23" s="1356">
        <f>J23</f>
        <v>100</v>
      </c>
      <c r="X23" s="1357"/>
      <c r="Y23" s="3863"/>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63"/>
      <c r="Q24" s="1359"/>
      <c r="R24" s="1355"/>
      <c r="S24" s="1356"/>
      <c r="T24" s="1355"/>
      <c r="U24" s="1356"/>
      <c r="V24" s="1355"/>
      <c r="W24" s="1356"/>
      <c r="X24" s="1357"/>
      <c r="Y24" s="3863"/>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63"/>
      <c r="Q25" s="1359" t="str">
        <f t="shared" ref="Q25" si="9">B25</f>
        <v>基础设施水平</v>
      </c>
      <c r="R25" s="1355" t="s">
        <v>1481</v>
      </c>
      <c r="S25" s="1356">
        <f>F25</f>
        <v>100</v>
      </c>
      <c r="T25" s="1355" t="s">
        <v>1481</v>
      </c>
      <c r="U25" s="1356">
        <f>H25</f>
        <v>100</v>
      </c>
      <c r="V25" s="1355" t="s">
        <v>1481</v>
      </c>
      <c r="W25" s="1356">
        <f>J25</f>
        <v>100</v>
      </c>
      <c r="X25" s="1357"/>
      <c r="Y25" s="3863"/>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63"/>
      <c r="Q26" s="1359"/>
      <c r="R26" s="1355"/>
      <c r="S26" s="1356"/>
      <c r="T26" s="1355"/>
      <c r="U26" s="1356"/>
      <c r="V26" s="1355"/>
      <c r="W26" s="1356"/>
      <c r="X26" s="1357"/>
      <c r="Y26" s="3863"/>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63"/>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63"/>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63"/>
      <c r="Q28" s="739" t="str">
        <f t="shared" si="8"/>
        <v>毗邻道路的类型与等级</v>
      </c>
      <c r="R28" s="1360" t="s">
        <v>1481</v>
      </c>
      <c r="S28" s="1361">
        <f t="shared" si="10"/>
        <v>100</v>
      </c>
      <c r="T28" s="1360" t="s">
        <v>1481</v>
      </c>
      <c r="U28" s="1361">
        <f t="shared" si="11"/>
        <v>100</v>
      </c>
      <c r="V28" s="1360" t="s">
        <v>1481</v>
      </c>
      <c r="W28" s="1361">
        <f t="shared" si="12"/>
        <v>100</v>
      </c>
      <c r="X28" s="1354"/>
      <c r="Y28" s="3863"/>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63"/>
      <c r="Q29" s="739"/>
      <c r="R29" s="1360"/>
      <c r="S29" s="1361"/>
      <c r="T29" s="1360"/>
      <c r="U29" s="1361"/>
      <c r="V29" s="1360"/>
      <c r="W29" s="1361"/>
      <c r="X29" s="1354"/>
      <c r="Y29" s="3863"/>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63"/>
      <c r="Q30" s="739" t="str">
        <f t="shared" si="8"/>
        <v>土地级别</v>
      </c>
      <c r="R30" s="1360" t="s">
        <v>1481</v>
      </c>
      <c r="S30" s="1361">
        <f t="shared" si="10"/>
        <v>100</v>
      </c>
      <c r="T30" s="1360" t="s">
        <v>1481</v>
      </c>
      <c r="U30" s="1361">
        <f t="shared" si="11"/>
        <v>100</v>
      </c>
      <c r="V30" s="1360" t="s">
        <v>1481</v>
      </c>
      <c r="W30" s="1361">
        <f t="shared" si="12"/>
        <v>100</v>
      </c>
      <c r="X30" s="1354"/>
      <c r="Y30" s="3863"/>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63"/>
      <c r="Q31" s="739">
        <f t="shared" si="8"/>
        <v>111</v>
      </c>
      <c r="R31" s="1360" t="s">
        <v>1481</v>
      </c>
      <c r="S31" s="1361">
        <f t="shared" si="10"/>
        <v>100</v>
      </c>
      <c r="T31" s="1360" t="s">
        <v>1481</v>
      </c>
      <c r="U31" s="1361">
        <f t="shared" si="11"/>
        <v>100</v>
      </c>
      <c r="V31" s="1360" t="s">
        <v>1481</v>
      </c>
      <c r="W31" s="1361">
        <f t="shared" si="12"/>
        <v>100</v>
      </c>
      <c r="X31" s="1354"/>
      <c r="Y31" s="3863"/>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97" t="s">
        <v>1509</v>
      </c>
      <c r="Q32" s="739">
        <f t="shared" si="8"/>
        <v>111</v>
      </c>
      <c r="R32" s="1360" t="s">
        <v>1481</v>
      </c>
      <c r="S32" s="1361">
        <f t="shared" si="10"/>
        <v>100</v>
      </c>
      <c r="T32" s="1360" t="s">
        <v>1481</v>
      </c>
      <c r="U32" s="1361">
        <f t="shared" si="11"/>
        <v>100</v>
      </c>
      <c r="V32" s="1360" t="s">
        <v>1481</v>
      </c>
      <c r="W32" s="1361">
        <f t="shared" si="12"/>
        <v>100</v>
      </c>
      <c r="X32" s="1354"/>
      <c r="Y32" s="3864"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64"/>
      <c r="Q33" s="739">
        <f t="shared" si="8"/>
        <v>111</v>
      </c>
      <c r="R33" s="1362" t="s">
        <v>1481</v>
      </c>
      <c r="S33" s="1363">
        <f t="shared" si="10"/>
        <v>100</v>
      </c>
      <c r="T33" s="1362" t="s">
        <v>1481</v>
      </c>
      <c r="U33" s="1363">
        <f t="shared" si="11"/>
        <v>100</v>
      </c>
      <c r="V33" s="1362" t="s">
        <v>1481</v>
      </c>
      <c r="W33" s="1363">
        <f t="shared" si="12"/>
        <v>100</v>
      </c>
      <c r="X33" s="1364"/>
      <c r="Y33" s="3864"/>
      <c r="Z33" s="1372">
        <f t="shared" si="13"/>
        <v>111</v>
      </c>
      <c r="AA33" s="1371">
        <f t="shared" si="3"/>
        <v>1</v>
      </c>
      <c r="AB33" s="1371">
        <f t="shared" si="4"/>
        <v>1</v>
      </c>
      <c r="AC33" s="1371">
        <f t="shared" si="5"/>
        <v>1</v>
      </c>
    </row>
    <row r="34" spans="1:31" ht="15">
      <c r="A34" s="1199" t="s">
        <v>1507</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64"/>
      <c r="Q34" s="739" t="str">
        <f t="shared" si="8"/>
        <v>宗地面积</v>
      </c>
      <c r="R34" s="1360" t="s">
        <v>1481</v>
      </c>
      <c r="S34" s="1361" t="e">
        <f t="shared" si="10"/>
        <v>#N/A</v>
      </c>
      <c r="T34" s="1360" t="s">
        <v>1481</v>
      </c>
      <c r="U34" s="1361" t="e">
        <f t="shared" si="11"/>
        <v>#N/A</v>
      </c>
      <c r="V34" s="1360" t="s">
        <v>1481</v>
      </c>
      <c r="W34" s="1361" t="e">
        <f t="shared" si="12"/>
        <v>#N/A</v>
      </c>
      <c r="X34" s="1354"/>
      <c r="Y34" s="3864"/>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64"/>
      <c r="Q35" s="739" t="str">
        <f t="shared" ref="Q35:Q40" si="14">B35</f>
        <v>宗地形状</v>
      </c>
      <c r="R35" s="1360" t="s">
        <v>1481</v>
      </c>
      <c r="S35" s="1361">
        <f t="shared" si="10"/>
        <v>100</v>
      </c>
      <c r="T35" s="1360" t="s">
        <v>1481</v>
      </c>
      <c r="U35" s="1361">
        <f t="shared" si="11"/>
        <v>100</v>
      </c>
      <c r="V35" s="1360" t="s">
        <v>1481</v>
      </c>
      <c r="W35" s="1361">
        <f t="shared" si="12"/>
        <v>100</v>
      </c>
      <c r="X35" s="1354"/>
      <c r="Y35" s="3864"/>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64"/>
      <c r="Q36" s="739" t="str">
        <f t="shared" si="14"/>
        <v>宗地开发程度</v>
      </c>
      <c r="R36" s="1355" t="s">
        <v>1481</v>
      </c>
      <c r="S36" s="1356">
        <f t="shared" si="10"/>
        <v>100</v>
      </c>
      <c r="T36" s="1355" t="s">
        <v>1481</v>
      </c>
      <c r="U36" s="1356">
        <f t="shared" si="11"/>
        <v>100</v>
      </c>
      <c r="V36" s="1355" t="s">
        <v>1481</v>
      </c>
      <c r="W36" s="1356">
        <f t="shared" si="12"/>
        <v>100</v>
      </c>
      <c r="X36" s="1357"/>
      <c r="Y36" s="3864"/>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64" t="s">
        <v>1509</v>
      </c>
      <c r="Q37" s="739" t="str">
        <f t="shared" si="14"/>
        <v>工程地质条件</v>
      </c>
      <c r="R37" s="1360" t="s">
        <v>1481</v>
      </c>
      <c r="S37" s="1361">
        <f t="shared" si="10"/>
        <v>100</v>
      </c>
      <c r="T37" s="1360" t="s">
        <v>1481</v>
      </c>
      <c r="U37" s="1361">
        <f t="shared" si="11"/>
        <v>100</v>
      </c>
      <c r="V37" s="1360" t="s">
        <v>1481</v>
      </c>
      <c r="W37" s="1361">
        <f t="shared" si="12"/>
        <v>100</v>
      </c>
      <c r="X37" s="1354"/>
      <c r="Y37" s="3864"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64"/>
      <c r="Q38" s="739">
        <f t="shared" si="14"/>
        <v>111</v>
      </c>
      <c r="R38" s="1360" t="s">
        <v>1481</v>
      </c>
      <c r="S38" s="1361">
        <f t="shared" si="10"/>
        <v>100</v>
      </c>
      <c r="T38" s="1360" t="s">
        <v>1481</v>
      </c>
      <c r="U38" s="1361">
        <f t="shared" si="11"/>
        <v>100</v>
      </c>
      <c r="V38" s="1360" t="s">
        <v>1481</v>
      </c>
      <c r="W38" s="1361">
        <f t="shared" si="12"/>
        <v>100</v>
      </c>
      <c r="X38" s="1354"/>
      <c r="Y38" s="3864"/>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64"/>
      <c r="Q39" s="739">
        <f t="shared" si="14"/>
        <v>111</v>
      </c>
      <c r="R39" s="1360" t="s">
        <v>1481</v>
      </c>
      <c r="S39" s="1361">
        <f t="shared" si="10"/>
        <v>100</v>
      </c>
      <c r="T39" s="1360" t="s">
        <v>1481</v>
      </c>
      <c r="U39" s="1361">
        <f t="shared" si="11"/>
        <v>100</v>
      </c>
      <c r="V39" s="1360" t="s">
        <v>1481</v>
      </c>
      <c r="W39" s="1361">
        <f t="shared" si="12"/>
        <v>100</v>
      </c>
      <c r="X39" s="1354"/>
      <c r="Y39" s="3864"/>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64"/>
      <c r="Q40" s="739">
        <f t="shared" si="14"/>
        <v>111</v>
      </c>
      <c r="R40" s="1362" t="s">
        <v>1481</v>
      </c>
      <c r="S40" s="1363">
        <f t="shared" si="10"/>
        <v>100</v>
      </c>
      <c r="T40" s="1362" t="s">
        <v>1481</v>
      </c>
      <c r="U40" s="1363">
        <f t="shared" si="11"/>
        <v>100</v>
      </c>
      <c r="V40" s="1362" t="s">
        <v>1481</v>
      </c>
      <c r="W40" s="1363">
        <f t="shared" si="12"/>
        <v>100</v>
      </c>
      <c r="X40" s="1364"/>
      <c r="Y40" s="3864"/>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49" t="str">
        <f>A41</f>
        <v>成交单价</v>
      </c>
      <c r="Q41" s="3849"/>
      <c r="R41" s="3848">
        <f>E41</f>
        <v>0</v>
      </c>
      <c r="S41" s="3848"/>
      <c r="T41" s="3848">
        <f>G41</f>
        <v>0</v>
      </c>
      <c r="U41" s="3848"/>
      <c r="V41" s="3848">
        <f>I41</f>
        <v>0</v>
      </c>
      <c r="W41" s="3848"/>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49" t="str">
        <f>A42</f>
        <v>比较价值（元/平方米）</v>
      </c>
      <c r="Q42" s="3849"/>
      <c r="R42" s="3900" t="e">
        <f>ROUND(PRODUCT(R41,AA7:AA40),0)</f>
        <v>#DIV/0!</v>
      </c>
      <c r="S42" s="3900"/>
      <c r="T42" s="3900" t="e">
        <f>ROUND(PRODUCT(T41,AB7:AB40),0)</f>
        <v>#DIV/0!</v>
      </c>
      <c r="U42" s="3900"/>
      <c r="V42" s="3900" t="e">
        <f>ROUND(PRODUCT(V41,AC7:AC40),0)</f>
        <v>#DIV/0!</v>
      </c>
      <c r="W42" s="3900"/>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51" t="str">
        <f>A43</f>
        <v>估价对象XX用房的比较价值（楼面单价，元/平方米）</v>
      </c>
      <c r="Q43" s="3852"/>
      <c r="R43" s="3901" t="e">
        <f>ROUND(IF(D42="简单平均",AVERAGE(R42:W42),R42*F42+T42*H42+V42*J42),0)</f>
        <v>#DIV/0!</v>
      </c>
      <c r="S43" s="3901"/>
      <c r="T43" s="3901"/>
      <c r="U43" s="3901"/>
      <c r="V43" s="3901"/>
      <c r="W43" s="3901"/>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871" t="s">
        <v>1845</v>
      </c>
      <c r="H50" s="3899"/>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63.08</v>
      </c>
      <c r="F51" s="1279" t="e">
        <f t="shared" ref="F51:F60" si="15">ROUND(B51*E51/10000,0)</f>
        <v>#DIV/0!</v>
      </c>
      <c r="G51" s="3856"/>
      <c r="H51" s="3849"/>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2008-11-1</v>
      </c>
      <c r="D63" s="1298">
        <f>EDATE(C63,-3)</f>
        <v>39661</v>
      </c>
      <c r="E63" s="1298">
        <f>EDATE(D63,-3)</f>
        <v>39569</v>
      </c>
      <c r="F63" s="1298">
        <f t="shared" ref="F63:O63" si="18">EDATE(E63,-3)</f>
        <v>39479</v>
      </c>
      <c r="G63" s="1298">
        <f t="shared" si="18"/>
        <v>39387</v>
      </c>
      <c r="H63" s="1298">
        <f t="shared" si="18"/>
        <v>39295</v>
      </c>
      <c r="I63" s="1298">
        <f t="shared" si="18"/>
        <v>39203</v>
      </c>
      <c r="J63" s="1298">
        <f t="shared" si="18"/>
        <v>39114</v>
      </c>
      <c r="K63" s="1298">
        <f t="shared" si="18"/>
        <v>39022</v>
      </c>
      <c r="L63" s="1298">
        <f t="shared" si="18"/>
        <v>38930</v>
      </c>
      <c r="M63" s="1298">
        <f t="shared" si="18"/>
        <v>38838</v>
      </c>
      <c r="N63" s="1298">
        <f t="shared" si="18"/>
        <v>38749</v>
      </c>
      <c r="O63" s="1298">
        <f t="shared" si="18"/>
        <v>38657</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2008-4</v>
      </c>
      <c r="D65" s="1376" t="str">
        <f t="shared" ref="D65:O65" si="19">YEAR(D63)&amp;"-"&amp;ROUNDUP(MONTH(D63)/3,0)</f>
        <v>2008-3</v>
      </c>
      <c r="E65" s="1376" t="str">
        <f t="shared" si="19"/>
        <v>2008-2</v>
      </c>
      <c r="F65" s="1376" t="str">
        <f t="shared" si="19"/>
        <v>2008-1</v>
      </c>
      <c r="G65" s="1376" t="str">
        <f t="shared" si="19"/>
        <v>2007-4</v>
      </c>
      <c r="H65" s="1376" t="str">
        <f t="shared" si="19"/>
        <v>2007-3</v>
      </c>
      <c r="I65" s="1376" t="str">
        <f t="shared" si="19"/>
        <v>2007-2</v>
      </c>
      <c r="J65" s="1376" t="str">
        <f t="shared" si="19"/>
        <v>2007-1</v>
      </c>
      <c r="K65" s="1376" t="str">
        <f t="shared" si="19"/>
        <v>2006-4</v>
      </c>
      <c r="L65" s="1376" t="str">
        <f t="shared" si="19"/>
        <v>2006-3</v>
      </c>
      <c r="M65" s="1376" t="str">
        <f t="shared" si="19"/>
        <v>2006-2</v>
      </c>
      <c r="N65" s="1376" t="str">
        <f t="shared" si="19"/>
        <v>2006-1</v>
      </c>
      <c r="O65" s="1376" t="str">
        <f t="shared" si="19"/>
        <v>2005-4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1507</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906" t="s">
        <v>1875</v>
      </c>
      <c r="D1" s="3907"/>
      <c r="E1" s="3907"/>
      <c r="F1" s="3907"/>
      <c r="G1" s="3907"/>
      <c r="H1" s="3907"/>
      <c r="I1" s="3907"/>
      <c r="J1" s="3907"/>
      <c r="K1" s="3907"/>
      <c r="L1" s="3907"/>
      <c r="M1" s="3907"/>
      <c r="N1" s="3907"/>
      <c r="O1" s="3907"/>
      <c r="P1" s="3907"/>
      <c r="Q1" s="3907"/>
      <c r="R1" s="3907"/>
      <c r="S1" s="3908"/>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909" t="s">
        <v>124</v>
      </c>
      <c r="D22" s="3910"/>
      <c r="E22" s="3910"/>
      <c r="F22" s="3910"/>
      <c r="G22" s="3910"/>
      <c r="H22" s="3910"/>
      <c r="I22" s="3910"/>
      <c r="J22" s="3910"/>
      <c r="K22" s="3910"/>
      <c r="L22" s="3910"/>
      <c r="M22" s="3910"/>
      <c r="N22" s="3910"/>
      <c r="O22" s="3910"/>
      <c r="P22" s="3910"/>
      <c r="Q22" s="3911"/>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912"/>
      <c r="B4" s="3913"/>
      <c r="C4" s="3913"/>
      <c r="D4" s="3914"/>
      <c r="E4" s="3914"/>
      <c r="F4" s="3914"/>
      <c r="G4" s="3914"/>
      <c r="H4" s="3914"/>
      <c r="I4" s="3914"/>
      <c r="J4" s="3915"/>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916" t="s">
        <v>1932</v>
      </c>
      <c r="X8" s="3917"/>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930"/>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930"/>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922" t="s">
        <v>1981</v>
      </c>
      <c r="B20" s="703" t="s">
        <v>1982</v>
      </c>
      <c r="C20" s="704" t="e">
        <f>ROUND(IF(F21="与级别开发程度一致",0,(G21-E21)/C21),0)</f>
        <v>#DIV/0!</v>
      </c>
      <c r="D20" s="705" t="s">
        <v>1983</v>
      </c>
      <c r="E20" s="706"/>
      <c r="F20" s="3918" t="s">
        <v>1984</v>
      </c>
      <c r="G20" s="3919"/>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923"/>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39779</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6.3E-2</v>
      </c>
      <c r="M36" s="904">
        <f>ROUND($L$36*(1+M31),3)</f>
        <v>7.9000000000000001E-2</v>
      </c>
      <c r="N36" s="904">
        <f>ROUND($L$36*(1+N31),3)</f>
        <v>7.5999999999999998E-2</v>
      </c>
      <c r="O36" s="904">
        <f>ROUND($L$36*(1+O31),3)</f>
        <v>7.1999999999999995E-2</v>
      </c>
      <c r="P36" s="904">
        <f>ROUND($L$36*(1+P31),3)</f>
        <v>6.9000000000000006E-2</v>
      </c>
      <c r="Q36" s="904">
        <f>ROUND($L$36*(1+Q31),3)</f>
        <v>7.1999999999999995E-2</v>
      </c>
      <c r="R36" s="614"/>
      <c r="S36" s="614"/>
      <c r="T36" s="614"/>
      <c r="U36" s="614"/>
      <c r="V36" s="614"/>
      <c r="W36" s="614"/>
      <c r="X36" s="614"/>
      <c r="Y36" s="614"/>
      <c r="Z36" s="790"/>
      <c r="AA36" s="790"/>
      <c r="AB36" s="790"/>
      <c r="AC36" s="790"/>
      <c r="AD36" s="790"/>
      <c r="AE36" s="790"/>
      <c r="AF36" s="790"/>
      <c r="AG36" s="945"/>
      <c r="AH36" s="945"/>
      <c r="AI36" s="945"/>
      <c r="AJ36" s="945"/>
    </row>
    <row r="37" spans="1:37" ht="24">
      <c r="A37" s="3924"/>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6.8000000000000005E-2</v>
      </c>
      <c r="M37" s="904">
        <f>ROUND($L$37*(1+M31),3)</f>
        <v>8.5000000000000006E-2</v>
      </c>
      <c r="N37" s="904">
        <f t="shared" ref="N37:Q37" si="3">ROUND($L$37*(1+N31),3)</f>
        <v>8.2000000000000003E-2</v>
      </c>
      <c r="O37" s="904">
        <f t="shared" si="3"/>
        <v>7.8E-2</v>
      </c>
      <c r="P37" s="904">
        <f t="shared" si="3"/>
        <v>7.4999999999999997E-2</v>
      </c>
      <c r="Q37" s="904">
        <f t="shared" si="3"/>
        <v>7.8E-2</v>
      </c>
      <c r="R37" s="614"/>
      <c r="S37" s="614"/>
      <c r="T37" s="614"/>
      <c r="U37" s="614"/>
      <c r="V37" s="614"/>
      <c r="W37" s="614"/>
      <c r="X37" s="614"/>
      <c r="Y37" s="614"/>
      <c r="Z37" s="790"/>
      <c r="AA37" s="790"/>
      <c r="AB37" s="790"/>
      <c r="AC37" s="790"/>
      <c r="AD37" s="790"/>
      <c r="AE37" s="790"/>
      <c r="AF37" s="790"/>
      <c r="AG37" s="945"/>
      <c r="AH37" s="945"/>
      <c r="AI37" s="945"/>
      <c r="AJ37" s="945"/>
    </row>
    <row r="38" spans="1:37">
      <c r="A38" s="3925"/>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925"/>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920" t="s">
        <v>2081</v>
      </c>
      <c r="B103" s="3920"/>
      <c r="C103" s="3920"/>
      <c r="D103" s="3920"/>
      <c r="E103" s="3920"/>
      <c r="F103" s="3920"/>
      <c r="G103" s="3920"/>
      <c r="H103" s="3920"/>
      <c r="I103" s="3920"/>
      <c r="J103" s="3920"/>
      <c r="K103" s="974"/>
      <c r="L103" s="974"/>
      <c r="M103" s="974"/>
      <c r="N103" s="974"/>
    </row>
    <row r="104" spans="1:14">
      <c r="A104" s="3926" t="s">
        <v>2082</v>
      </c>
      <c r="B104" s="3926" t="s">
        <v>2083</v>
      </c>
      <c r="C104" s="976" t="s">
        <v>2084</v>
      </c>
      <c r="D104" s="977"/>
      <c r="E104" s="977"/>
      <c r="F104" s="977"/>
      <c r="G104" s="977"/>
      <c r="H104" s="977"/>
      <c r="I104" s="977"/>
      <c r="J104" s="997"/>
      <c r="K104" s="998"/>
      <c r="L104" s="998"/>
      <c r="M104" s="998"/>
      <c r="N104" s="998"/>
    </row>
    <row r="105" spans="1:14">
      <c r="A105" s="3926"/>
      <c r="B105" s="3926"/>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927"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928"/>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928"/>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928"/>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928"/>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928"/>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929"/>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921" t="s">
        <v>2086</v>
      </c>
      <c r="B113" s="3921"/>
      <c r="C113" s="3921"/>
      <c r="D113" s="3921"/>
      <c r="E113" s="3921"/>
      <c r="F113" s="3921"/>
      <c r="G113" s="3921"/>
      <c r="H113" s="3921"/>
      <c r="I113" s="3921"/>
      <c r="J113" s="3921"/>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935" t="s">
        <v>2101</v>
      </c>
      <c r="B20" s="3941" t="s">
        <v>2111</v>
      </c>
      <c r="C20" s="579" t="s">
        <v>2112</v>
      </c>
      <c r="D20" s="580"/>
      <c r="E20" s="581">
        <v>1</v>
      </c>
      <c r="F20" s="582" t="s">
        <v>2113</v>
      </c>
      <c r="G20" s="582"/>
    </row>
    <row r="21" spans="1:13" ht="19.5" customHeight="1">
      <c r="A21" s="3936"/>
      <c r="B21" s="3934"/>
      <c r="C21" s="583" t="s">
        <v>2114</v>
      </c>
      <c r="D21" s="584"/>
      <c r="E21" s="585">
        <v>1</v>
      </c>
      <c r="F21" s="582" t="s">
        <v>2115</v>
      </c>
      <c r="G21" s="582"/>
    </row>
    <row r="22" spans="1:13" ht="19.5" customHeight="1">
      <c r="A22" s="3936"/>
      <c r="B22" s="3934"/>
      <c r="C22" s="583" t="s">
        <v>2116</v>
      </c>
      <c r="D22" s="584"/>
      <c r="E22" s="585">
        <v>0.9</v>
      </c>
      <c r="F22" s="582" t="s">
        <v>2117</v>
      </c>
      <c r="G22" s="582"/>
    </row>
    <row r="23" spans="1:13" ht="19.5" customHeight="1">
      <c r="A23" s="3936"/>
      <c r="B23" s="3934"/>
      <c r="C23" s="583" t="s">
        <v>2118</v>
      </c>
      <c r="D23" s="584"/>
      <c r="E23" s="585">
        <v>0.9</v>
      </c>
      <c r="F23" s="582" t="s">
        <v>2119</v>
      </c>
      <c r="G23" s="582"/>
    </row>
    <row r="24" spans="1:13" ht="19.5" customHeight="1">
      <c r="A24" s="3936"/>
      <c r="B24" s="3934"/>
      <c r="C24" s="583" t="s">
        <v>2120</v>
      </c>
      <c r="D24" s="584"/>
      <c r="E24" s="585">
        <v>0.8</v>
      </c>
      <c r="F24" s="582" t="s">
        <v>2121</v>
      </c>
      <c r="G24" s="582"/>
    </row>
    <row r="25" spans="1:13" ht="19.5" customHeight="1">
      <c r="A25" s="3937"/>
      <c r="B25" s="3942"/>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938" t="s">
        <v>280</v>
      </c>
      <c r="B27" s="3941" t="s">
        <v>280</v>
      </c>
      <c r="C27" s="579" t="s">
        <v>2126</v>
      </c>
      <c r="D27" s="580"/>
      <c r="E27" s="581">
        <v>1</v>
      </c>
      <c r="F27" s="582" t="s">
        <v>2127</v>
      </c>
      <c r="G27" s="582"/>
    </row>
    <row r="28" spans="1:13" ht="19.5" customHeight="1">
      <c r="A28" s="3939"/>
      <c r="B28" s="3934"/>
      <c r="C28" s="583" t="s">
        <v>2128</v>
      </c>
      <c r="D28" s="584"/>
      <c r="E28" s="585">
        <v>1</v>
      </c>
      <c r="F28" s="582" t="s">
        <v>2129</v>
      </c>
      <c r="G28" s="582"/>
    </row>
    <row r="29" spans="1:13" ht="19.5" customHeight="1">
      <c r="A29" s="3939"/>
      <c r="B29" s="3934"/>
      <c r="C29" s="583" t="s">
        <v>2130</v>
      </c>
      <c r="D29" s="584"/>
      <c r="E29" s="585">
        <v>0.8</v>
      </c>
      <c r="F29" s="582" t="s">
        <v>2131</v>
      </c>
      <c r="G29" s="582"/>
    </row>
    <row r="30" spans="1:13" ht="19.5" customHeight="1">
      <c r="A30" s="3939"/>
      <c r="B30" s="3934"/>
      <c r="C30" s="583" t="s">
        <v>2132</v>
      </c>
      <c r="D30" s="584"/>
      <c r="E30" s="585">
        <v>0.8</v>
      </c>
      <c r="F30" s="582" t="s">
        <v>2133</v>
      </c>
      <c r="G30" s="582"/>
    </row>
    <row r="31" spans="1:13" ht="19.5" customHeight="1">
      <c r="A31" s="3939"/>
      <c r="B31" s="3934"/>
      <c r="C31" s="583" t="s">
        <v>2134</v>
      </c>
      <c r="D31" s="584"/>
      <c r="E31" s="585">
        <v>0.8</v>
      </c>
      <c r="F31" s="582" t="s">
        <v>2135</v>
      </c>
      <c r="G31" s="582"/>
    </row>
    <row r="32" spans="1:13" ht="19.5" customHeight="1">
      <c r="A32" s="3939"/>
      <c r="B32" s="3934"/>
      <c r="C32" s="583" t="s">
        <v>2136</v>
      </c>
      <c r="D32" s="584"/>
      <c r="E32" s="585">
        <v>0.7</v>
      </c>
      <c r="F32" s="582" t="s">
        <v>2137</v>
      </c>
      <c r="G32" s="582"/>
    </row>
    <row r="33" spans="1:7" ht="19.5" customHeight="1">
      <c r="A33" s="3939"/>
      <c r="B33" s="3934"/>
      <c r="C33" s="583" t="s">
        <v>2138</v>
      </c>
      <c r="D33" s="584"/>
      <c r="E33" s="585">
        <v>0.8</v>
      </c>
      <c r="F33" s="582" t="s">
        <v>2139</v>
      </c>
      <c r="G33" s="582"/>
    </row>
    <row r="34" spans="1:7" ht="19.5" customHeight="1">
      <c r="A34" s="3939"/>
      <c r="B34" s="3934"/>
      <c r="C34" s="583" t="s">
        <v>2140</v>
      </c>
      <c r="D34" s="584"/>
      <c r="E34" s="585">
        <v>0.6</v>
      </c>
      <c r="F34" s="582" t="s">
        <v>2141</v>
      </c>
      <c r="G34" s="582"/>
    </row>
    <row r="35" spans="1:7" ht="19.5" customHeight="1">
      <c r="A35" s="3939"/>
      <c r="B35" s="3934"/>
      <c r="C35" s="583" t="s">
        <v>2142</v>
      </c>
      <c r="D35" s="584"/>
      <c r="E35" s="585">
        <v>0.2</v>
      </c>
      <c r="F35" s="582" t="s">
        <v>2143</v>
      </c>
      <c r="G35" s="582"/>
    </row>
    <row r="36" spans="1:7" ht="19.5" customHeight="1">
      <c r="A36" s="3939"/>
      <c r="B36" s="3934"/>
      <c r="C36" s="583" t="s">
        <v>2144</v>
      </c>
      <c r="D36" s="584"/>
      <c r="E36" s="585">
        <v>0.2</v>
      </c>
      <c r="F36" s="582" t="s">
        <v>2145</v>
      </c>
      <c r="G36" s="582"/>
    </row>
    <row r="37" spans="1:7" ht="19.5" customHeight="1">
      <c r="A37" s="3939"/>
      <c r="B37" s="3932" t="s">
        <v>2146</v>
      </c>
      <c r="C37" s="583" t="s">
        <v>2147</v>
      </c>
      <c r="D37" s="584"/>
      <c r="E37" s="585">
        <v>0.6</v>
      </c>
      <c r="F37" s="582" t="s">
        <v>2148</v>
      </c>
      <c r="G37" s="582"/>
    </row>
    <row r="38" spans="1:7" ht="19.5" customHeight="1">
      <c r="A38" s="3939"/>
      <c r="B38" s="3934"/>
      <c r="C38" s="583" t="s">
        <v>2149</v>
      </c>
      <c r="D38" s="584"/>
      <c r="E38" s="585">
        <v>0.6</v>
      </c>
      <c r="F38" s="582" t="s">
        <v>2150</v>
      </c>
      <c r="G38" s="582"/>
    </row>
    <row r="39" spans="1:7" ht="19.5" customHeight="1">
      <c r="A39" s="3940"/>
      <c r="B39" s="3942"/>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935" t="s">
        <v>408</v>
      </c>
      <c r="B41" s="3941" t="s">
        <v>2155</v>
      </c>
      <c r="C41" s="579" t="s">
        <v>2156</v>
      </c>
      <c r="D41" s="580"/>
      <c r="E41" s="581">
        <v>1</v>
      </c>
      <c r="F41" s="582" t="s">
        <v>2157</v>
      </c>
      <c r="G41" s="582"/>
    </row>
    <row r="42" spans="1:7" ht="19.5" customHeight="1">
      <c r="A42" s="3936"/>
      <c r="B42" s="3934"/>
      <c r="C42" s="583" t="s">
        <v>2158</v>
      </c>
      <c r="D42" s="584"/>
      <c r="E42" s="585">
        <v>1</v>
      </c>
      <c r="F42" s="582" t="s">
        <v>2159</v>
      </c>
      <c r="G42" s="582"/>
    </row>
    <row r="43" spans="1:7" ht="19.5" customHeight="1">
      <c r="A43" s="3936"/>
      <c r="B43" s="3933"/>
      <c r="C43" s="583" t="s">
        <v>2160</v>
      </c>
      <c r="D43" s="584"/>
      <c r="E43" s="585">
        <v>1.5</v>
      </c>
      <c r="F43" s="582" t="s">
        <v>2161</v>
      </c>
      <c r="G43" s="582"/>
    </row>
    <row r="44" spans="1:7" ht="19.5" customHeight="1">
      <c r="A44" s="3936"/>
      <c r="B44" s="595" t="s">
        <v>280</v>
      </c>
      <c r="C44" s="583" t="s">
        <v>2103</v>
      </c>
      <c r="D44" s="584"/>
      <c r="E44" s="585">
        <v>2</v>
      </c>
      <c r="F44" s="582" t="s">
        <v>2162</v>
      </c>
      <c r="G44" s="582"/>
    </row>
    <row r="45" spans="1:7" ht="19.5" customHeight="1">
      <c r="A45" s="3936"/>
      <c r="B45" s="3932" t="s">
        <v>2163</v>
      </c>
      <c r="C45" s="583" t="s">
        <v>2164</v>
      </c>
      <c r="D45" s="584"/>
      <c r="E45" s="585">
        <v>1</v>
      </c>
      <c r="F45" s="582" t="s">
        <v>2165</v>
      </c>
      <c r="G45" s="582"/>
    </row>
    <row r="46" spans="1:7" ht="19.5" customHeight="1">
      <c r="A46" s="3936"/>
      <c r="B46" s="3934"/>
      <c r="C46" s="583" t="s">
        <v>2166</v>
      </c>
      <c r="D46" s="584"/>
      <c r="E46" s="585">
        <v>1</v>
      </c>
      <c r="F46" s="582" t="s">
        <v>2167</v>
      </c>
      <c r="G46" s="582"/>
    </row>
    <row r="47" spans="1:7" ht="19.5" customHeight="1">
      <c r="A47" s="3936"/>
      <c r="B47" s="3934"/>
      <c r="C47" s="583" t="s">
        <v>2168</v>
      </c>
      <c r="D47" s="584"/>
      <c r="E47" s="585">
        <v>1</v>
      </c>
      <c r="F47" s="582" t="s">
        <v>2169</v>
      </c>
      <c r="G47" s="582"/>
    </row>
    <row r="48" spans="1:7" ht="19.5" customHeight="1">
      <c r="A48" s="3936"/>
      <c r="B48" s="3934"/>
      <c r="C48" s="583" t="s">
        <v>2170</v>
      </c>
      <c r="D48" s="584"/>
      <c r="E48" s="585">
        <v>1</v>
      </c>
      <c r="F48" s="582" t="s">
        <v>2171</v>
      </c>
      <c r="G48" s="582"/>
    </row>
    <row r="49" spans="1:7" ht="19.5" customHeight="1">
      <c r="A49" s="3936"/>
      <c r="B49" s="3934"/>
      <c r="C49" s="583" t="s">
        <v>2172</v>
      </c>
      <c r="D49" s="584"/>
      <c r="E49" s="585">
        <v>1</v>
      </c>
      <c r="F49" s="582" t="s">
        <v>2173</v>
      </c>
      <c r="G49" s="582"/>
    </row>
    <row r="50" spans="1:7" ht="19.5" customHeight="1">
      <c r="A50" s="3936"/>
      <c r="B50" s="3934"/>
      <c r="C50" s="583" t="s">
        <v>2174</v>
      </c>
      <c r="D50" s="584"/>
      <c r="E50" s="585">
        <v>1</v>
      </c>
      <c r="F50" s="582" t="s">
        <v>2175</v>
      </c>
      <c r="G50" s="582"/>
    </row>
    <row r="51" spans="1:7" ht="19.5" customHeight="1">
      <c r="A51" s="3937"/>
      <c r="B51" s="3942"/>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932" t="s">
        <v>2189</v>
      </c>
      <c r="C73" s="571" t="s">
        <v>2190</v>
      </c>
      <c r="D73" s="571" t="s">
        <v>2191</v>
      </c>
      <c r="E73" s="595">
        <v>0.2</v>
      </c>
      <c r="F73" s="595">
        <v>25</v>
      </c>
    </row>
    <row r="74" spans="1:7" ht="24">
      <c r="A74" s="595">
        <v>2</v>
      </c>
      <c r="B74" s="3934"/>
      <c r="C74" s="571" t="s">
        <v>2192</v>
      </c>
      <c r="D74" s="571" t="s">
        <v>2193</v>
      </c>
      <c r="E74" s="595">
        <v>0.2</v>
      </c>
      <c r="F74" s="595">
        <v>25</v>
      </c>
    </row>
    <row r="75" spans="1:7" ht="24">
      <c r="A75" s="595">
        <v>3</v>
      </c>
      <c r="B75" s="3934"/>
      <c r="C75" s="571" t="s">
        <v>2194</v>
      </c>
      <c r="D75" s="571" t="s">
        <v>2195</v>
      </c>
      <c r="E75" s="595">
        <v>0.2</v>
      </c>
      <c r="F75" s="595">
        <v>25</v>
      </c>
    </row>
    <row r="76" spans="1:7" ht="13.5">
      <c r="A76" s="595">
        <v>4</v>
      </c>
      <c r="B76" s="3934"/>
      <c r="C76" s="571" t="s">
        <v>2196</v>
      </c>
      <c r="D76" s="571" t="s">
        <v>2197</v>
      </c>
      <c r="E76" s="595">
        <v>0.15</v>
      </c>
      <c r="F76" s="595">
        <v>20</v>
      </c>
    </row>
    <row r="77" spans="1:7" ht="24">
      <c r="A77" s="595">
        <v>5</v>
      </c>
      <c r="B77" s="3934"/>
      <c r="C77" s="571" t="s">
        <v>2198</v>
      </c>
      <c r="D77" s="571" t="s">
        <v>2199</v>
      </c>
      <c r="E77" s="595">
        <v>0.15</v>
      </c>
      <c r="F77" s="595">
        <v>20</v>
      </c>
    </row>
    <row r="78" spans="1:7" ht="24">
      <c r="A78" s="595">
        <v>6</v>
      </c>
      <c r="B78" s="3934"/>
      <c r="C78" s="571" t="s">
        <v>2200</v>
      </c>
      <c r="D78" s="571" t="s">
        <v>2201</v>
      </c>
      <c r="E78" s="595">
        <v>0.15</v>
      </c>
      <c r="F78" s="595">
        <v>20</v>
      </c>
    </row>
    <row r="79" spans="1:7" ht="24">
      <c r="A79" s="595">
        <v>7</v>
      </c>
      <c r="B79" s="3934"/>
      <c r="C79" s="571" t="s">
        <v>2202</v>
      </c>
      <c r="D79" s="571" t="s">
        <v>2203</v>
      </c>
      <c r="E79" s="595">
        <v>0.15</v>
      </c>
      <c r="F79" s="595">
        <v>20</v>
      </c>
    </row>
    <row r="80" spans="1:7" ht="24">
      <c r="A80" s="595">
        <v>8</v>
      </c>
      <c r="B80" s="3934"/>
      <c r="C80" s="571" t="s">
        <v>2204</v>
      </c>
      <c r="D80" s="571" t="s">
        <v>2205</v>
      </c>
      <c r="E80" s="595">
        <v>0.1</v>
      </c>
      <c r="F80" s="595">
        <v>15</v>
      </c>
    </row>
    <row r="81" spans="1:6" ht="24">
      <c r="A81" s="595">
        <v>9</v>
      </c>
      <c r="B81" s="3934"/>
      <c r="C81" s="571" t="s">
        <v>2206</v>
      </c>
      <c r="D81" s="571" t="s">
        <v>2207</v>
      </c>
      <c r="E81" s="595">
        <v>0.1</v>
      </c>
      <c r="F81" s="595">
        <v>15</v>
      </c>
    </row>
    <row r="82" spans="1:6" ht="24">
      <c r="A82" s="595">
        <v>10</v>
      </c>
      <c r="B82" s="3934"/>
      <c r="C82" s="571" t="s">
        <v>2208</v>
      </c>
      <c r="D82" s="571" t="s">
        <v>2209</v>
      </c>
      <c r="E82" s="595">
        <v>0.1</v>
      </c>
      <c r="F82" s="595">
        <v>15</v>
      </c>
    </row>
    <row r="83" spans="1:6" ht="24">
      <c r="A83" s="595">
        <v>11</v>
      </c>
      <c r="B83" s="3934"/>
      <c r="C83" s="571" t="s">
        <v>2210</v>
      </c>
      <c r="D83" s="571" t="s">
        <v>2211</v>
      </c>
      <c r="E83" s="595">
        <v>0.1</v>
      </c>
      <c r="F83" s="595">
        <v>15</v>
      </c>
    </row>
    <row r="84" spans="1:6" ht="24">
      <c r="A84" s="595">
        <v>12</v>
      </c>
      <c r="B84" s="3934"/>
      <c r="C84" s="571" t="s">
        <v>2212</v>
      </c>
      <c r="D84" s="571" t="s">
        <v>2213</v>
      </c>
      <c r="E84" s="595">
        <v>0.1</v>
      </c>
      <c r="F84" s="595">
        <v>15</v>
      </c>
    </row>
    <row r="85" spans="1:6" ht="13.5">
      <c r="A85" s="595">
        <v>13</v>
      </c>
      <c r="B85" s="3934"/>
      <c r="C85" s="571" t="s">
        <v>2214</v>
      </c>
      <c r="D85" s="571" t="s">
        <v>2215</v>
      </c>
      <c r="E85" s="595">
        <v>0.1</v>
      </c>
      <c r="F85" s="595">
        <v>15</v>
      </c>
    </row>
    <row r="86" spans="1:6" ht="13.5">
      <c r="A86" s="595">
        <v>14</v>
      </c>
      <c r="B86" s="3934"/>
      <c r="C86" s="571" t="s">
        <v>2216</v>
      </c>
      <c r="D86" s="571" t="s">
        <v>2217</v>
      </c>
      <c r="E86" s="595">
        <v>0.1</v>
      </c>
      <c r="F86" s="595">
        <v>15</v>
      </c>
    </row>
    <row r="87" spans="1:6" ht="13.5">
      <c r="A87" s="595">
        <v>15</v>
      </c>
      <c r="B87" s="3934"/>
      <c r="C87" s="571" t="s">
        <v>2218</v>
      </c>
      <c r="D87" s="571" t="s">
        <v>2219</v>
      </c>
      <c r="E87" s="595">
        <v>0.1</v>
      </c>
      <c r="F87" s="595">
        <v>15</v>
      </c>
    </row>
    <row r="88" spans="1:6" ht="24">
      <c r="A88" s="595">
        <v>16</v>
      </c>
      <c r="B88" s="3934"/>
      <c r="C88" s="571" t="s">
        <v>2220</v>
      </c>
      <c r="D88" s="571" t="s">
        <v>2221</v>
      </c>
      <c r="E88" s="595">
        <v>0.1</v>
      </c>
      <c r="F88" s="595">
        <v>15</v>
      </c>
    </row>
    <row r="89" spans="1:6" ht="24">
      <c r="A89" s="595">
        <v>17</v>
      </c>
      <c r="B89" s="3933"/>
      <c r="C89" s="571" t="s">
        <v>2222</v>
      </c>
      <c r="D89" s="571" t="s">
        <v>2223</v>
      </c>
      <c r="E89" s="595">
        <v>0.1</v>
      </c>
      <c r="F89" s="595">
        <v>15</v>
      </c>
    </row>
    <row r="90" spans="1:6" ht="13.5">
      <c r="A90" s="595">
        <v>18</v>
      </c>
      <c r="B90" s="3932" t="s">
        <v>2224</v>
      </c>
      <c r="C90" s="571" t="s">
        <v>2225</v>
      </c>
      <c r="D90" s="571" t="s">
        <v>2226</v>
      </c>
      <c r="E90" s="595">
        <v>0.2</v>
      </c>
      <c r="F90" s="595">
        <v>25</v>
      </c>
    </row>
    <row r="91" spans="1:6" ht="24">
      <c r="A91" s="595">
        <v>19</v>
      </c>
      <c r="B91" s="3934"/>
      <c r="C91" s="571" t="s">
        <v>2227</v>
      </c>
      <c r="D91" s="571" t="s">
        <v>2228</v>
      </c>
      <c r="E91" s="595">
        <v>0.2</v>
      </c>
      <c r="F91" s="595">
        <v>25</v>
      </c>
    </row>
    <row r="92" spans="1:6" ht="13.5">
      <c r="A92" s="595">
        <v>20</v>
      </c>
      <c r="B92" s="3934"/>
      <c r="C92" s="571" t="s">
        <v>2229</v>
      </c>
      <c r="D92" s="571" t="s">
        <v>2230</v>
      </c>
      <c r="E92" s="595">
        <v>0.15</v>
      </c>
      <c r="F92" s="595">
        <v>20</v>
      </c>
    </row>
    <row r="93" spans="1:6" ht="13.5">
      <c r="A93" s="595">
        <v>21</v>
      </c>
      <c r="B93" s="3934"/>
      <c r="C93" s="571" t="s">
        <v>2231</v>
      </c>
      <c r="D93" s="571" t="s">
        <v>2232</v>
      </c>
      <c r="E93" s="595">
        <v>0.15</v>
      </c>
      <c r="F93" s="595">
        <v>20</v>
      </c>
    </row>
    <row r="94" spans="1:6" ht="13.5">
      <c r="A94" s="595">
        <v>22</v>
      </c>
      <c r="B94" s="3934"/>
      <c r="C94" s="571" t="s">
        <v>2233</v>
      </c>
      <c r="D94" s="571" t="s">
        <v>2234</v>
      </c>
      <c r="E94" s="595">
        <v>0.15</v>
      </c>
      <c r="F94" s="595">
        <v>20</v>
      </c>
    </row>
    <row r="95" spans="1:6" ht="36">
      <c r="A95" s="595">
        <v>23</v>
      </c>
      <c r="B95" s="3934"/>
      <c r="C95" s="571" t="s">
        <v>2235</v>
      </c>
      <c r="D95" s="571" t="s">
        <v>2236</v>
      </c>
      <c r="E95" s="595">
        <v>0.15</v>
      </c>
      <c r="F95" s="595">
        <v>20</v>
      </c>
    </row>
    <row r="96" spans="1:6" ht="13.5">
      <c r="A96" s="595">
        <v>24</v>
      </c>
      <c r="B96" s="3934"/>
      <c r="C96" s="571" t="s">
        <v>2237</v>
      </c>
      <c r="D96" s="571" t="s">
        <v>2238</v>
      </c>
      <c r="E96" s="595">
        <v>0.1</v>
      </c>
      <c r="F96" s="595">
        <v>15</v>
      </c>
    </row>
    <row r="97" spans="1:6" ht="13.5">
      <c r="A97" s="595">
        <v>25</v>
      </c>
      <c r="B97" s="3934"/>
      <c r="C97" s="571" t="s">
        <v>2239</v>
      </c>
      <c r="D97" s="571" t="s">
        <v>2240</v>
      </c>
      <c r="E97" s="595">
        <v>0.1</v>
      </c>
      <c r="F97" s="595">
        <v>15</v>
      </c>
    </row>
    <row r="98" spans="1:6" ht="24">
      <c r="A98" s="595">
        <v>26</v>
      </c>
      <c r="B98" s="3934"/>
      <c r="C98" s="571" t="s">
        <v>2241</v>
      </c>
      <c r="D98" s="571" t="s">
        <v>2242</v>
      </c>
      <c r="E98" s="595">
        <v>0.1</v>
      </c>
      <c r="F98" s="595">
        <v>15</v>
      </c>
    </row>
    <row r="99" spans="1:6" ht="24">
      <c r="A99" s="595">
        <v>27</v>
      </c>
      <c r="B99" s="3934"/>
      <c r="C99" s="571" t="s">
        <v>2243</v>
      </c>
      <c r="D99" s="571" t="s">
        <v>2244</v>
      </c>
      <c r="E99" s="595">
        <v>0.1</v>
      </c>
      <c r="F99" s="595">
        <v>15</v>
      </c>
    </row>
    <row r="100" spans="1:6" ht="13.5">
      <c r="A100" s="595">
        <v>28</v>
      </c>
      <c r="B100" s="3934"/>
      <c r="C100" s="571" t="s">
        <v>2245</v>
      </c>
      <c r="D100" s="571" t="s">
        <v>2246</v>
      </c>
      <c r="E100" s="595">
        <v>0.1</v>
      </c>
      <c r="F100" s="595">
        <v>15</v>
      </c>
    </row>
    <row r="101" spans="1:6" ht="13.5">
      <c r="A101" s="595">
        <v>29</v>
      </c>
      <c r="B101" s="3934"/>
      <c r="C101" s="571" t="s">
        <v>2247</v>
      </c>
      <c r="D101" s="571" t="s">
        <v>2248</v>
      </c>
      <c r="E101" s="595">
        <v>0.1</v>
      </c>
      <c r="F101" s="595">
        <v>15</v>
      </c>
    </row>
    <row r="102" spans="1:6" ht="13.5">
      <c r="A102" s="595">
        <v>30</v>
      </c>
      <c r="B102" s="3934"/>
      <c r="C102" s="571" t="s">
        <v>2249</v>
      </c>
      <c r="D102" s="571" t="s">
        <v>2250</v>
      </c>
      <c r="E102" s="595">
        <v>0.1</v>
      </c>
      <c r="F102" s="595">
        <v>15</v>
      </c>
    </row>
    <row r="103" spans="1:6" ht="24">
      <c r="A103" s="595">
        <v>31</v>
      </c>
      <c r="B103" s="3934"/>
      <c r="C103" s="571" t="s">
        <v>2251</v>
      </c>
      <c r="D103" s="571" t="s">
        <v>2252</v>
      </c>
      <c r="E103" s="595">
        <v>0.1</v>
      </c>
      <c r="F103" s="595">
        <v>15</v>
      </c>
    </row>
    <row r="104" spans="1:6" ht="24">
      <c r="A104" s="595">
        <v>32</v>
      </c>
      <c r="B104" s="3934"/>
      <c r="C104" s="571" t="s">
        <v>2253</v>
      </c>
      <c r="D104" s="571" t="s">
        <v>2254</v>
      </c>
      <c r="E104" s="595">
        <v>0.1</v>
      </c>
      <c r="F104" s="595">
        <v>15</v>
      </c>
    </row>
    <row r="105" spans="1:6" ht="24">
      <c r="A105" s="595">
        <v>33</v>
      </c>
      <c r="B105" s="3934"/>
      <c r="C105" s="571" t="s">
        <v>2255</v>
      </c>
      <c r="D105" s="571" t="s">
        <v>2256</v>
      </c>
      <c r="E105" s="595">
        <v>0.1</v>
      </c>
      <c r="F105" s="595">
        <v>15</v>
      </c>
    </row>
    <row r="106" spans="1:6" ht="24">
      <c r="A106" s="595">
        <v>34</v>
      </c>
      <c r="B106" s="3933"/>
      <c r="C106" s="571" t="s">
        <v>2257</v>
      </c>
      <c r="D106" s="571" t="s">
        <v>2258</v>
      </c>
      <c r="E106" s="595">
        <v>0.1</v>
      </c>
      <c r="F106" s="595">
        <v>15</v>
      </c>
    </row>
    <row r="107" spans="1:6" ht="24">
      <c r="A107" s="595">
        <v>35</v>
      </c>
      <c r="B107" s="3932" t="s">
        <v>1711</v>
      </c>
      <c r="C107" s="595" t="s">
        <v>2259</v>
      </c>
      <c r="D107" s="571" t="s">
        <v>2260</v>
      </c>
      <c r="E107" s="595">
        <v>0.15</v>
      </c>
      <c r="F107" s="595">
        <v>20</v>
      </c>
    </row>
    <row r="108" spans="1:6" ht="13.5">
      <c r="A108" s="595">
        <v>36</v>
      </c>
      <c r="B108" s="3934"/>
      <c r="C108" s="595" t="s">
        <v>2261</v>
      </c>
      <c r="D108" s="571" t="s">
        <v>2262</v>
      </c>
      <c r="E108" s="595">
        <v>0.15</v>
      </c>
      <c r="F108" s="595">
        <v>20</v>
      </c>
    </row>
    <row r="109" spans="1:6" ht="13.5">
      <c r="A109" s="595">
        <v>37</v>
      </c>
      <c r="B109" s="3934"/>
      <c r="C109" s="595" t="s">
        <v>2263</v>
      </c>
      <c r="D109" s="571" t="s">
        <v>2264</v>
      </c>
      <c r="E109" s="595">
        <v>0.15</v>
      </c>
      <c r="F109" s="595">
        <v>20</v>
      </c>
    </row>
    <row r="110" spans="1:6" ht="13.5">
      <c r="A110" s="595">
        <v>38</v>
      </c>
      <c r="B110" s="3934"/>
      <c r="C110" s="595" t="s">
        <v>2265</v>
      </c>
      <c r="D110" s="571" t="s">
        <v>2266</v>
      </c>
      <c r="E110" s="595">
        <v>0.1</v>
      </c>
      <c r="F110" s="595">
        <v>15</v>
      </c>
    </row>
    <row r="111" spans="1:6" ht="24">
      <c r="A111" s="595">
        <v>39</v>
      </c>
      <c r="B111" s="3934"/>
      <c r="C111" s="595" t="s">
        <v>2267</v>
      </c>
      <c r="D111" s="571" t="s">
        <v>2268</v>
      </c>
      <c r="E111" s="595">
        <v>0.1</v>
      </c>
      <c r="F111" s="595">
        <v>15</v>
      </c>
    </row>
    <row r="112" spans="1:6" ht="24">
      <c r="A112" s="595">
        <v>40</v>
      </c>
      <c r="B112" s="3933"/>
      <c r="C112" s="595" t="s">
        <v>2269</v>
      </c>
      <c r="D112" s="571" t="s">
        <v>2270</v>
      </c>
      <c r="E112" s="595">
        <v>0.1</v>
      </c>
      <c r="F112" s="595">
        <v>15</v>
      </c>
    </row>
    <row r="113" spans="1:6" ht="13.5">
      <c r="A113" s="595">
        <v>41</v>
      </c>
      <c r="B113" s="3931" t="s">
        <v>2271</v>
      </c>
      <c r="C113" s="595" t="s">
        <v>2272</v>
      </c>
      <c r="D113" s="571" t="s">
        <v>2273</v>
      </c>
      <c r="E113" s="595">
        <v>0.1</v>
      </c>
      <c r="F113" s="595">
        <v>15</v>
      </c>
    </row>
    <row r="114" spans="1:6" ht="13.5">
      <c r="A114" s="595">
        <v>42</v>
      </c>
      <c r="B114" s="3931"/>
      <c r="C114" s="595" t="s">
        <v>2274</v>
      </c>
      <c r="D114" s="571" t="s">
        <v>2275</v>
      </c>
      <c r="E114" s="595">
        <v>0.1</v>
      </c>
      <c r="F114" s="595">
        <v>15</v>
      </c>
    </row>
    <row r="115" spans="1:6" ht="24">
      <c r="A115" s="595">
        <v>43</v>
      </c>
      <c r="B115" s="3931"/>
      <c r="C115" s="595" t="s">
        <v>2276</v>
      </c>
      <c r="D115" s="571" t="s">
        <v>2277</v>
      </c>
      <c r="E115" s="595">
        <v>0.1</v>
      </c>
      <c r="F115" s="595">
        <v>15</v>
      </c>
    </row>
    <row r="116" spans="1:6" ht="13.5">
      <c r="A116" s="595">
        <v>44</v>
      </c>
      <c r="B116" s="3932" t="s">
        <v>2278</v>
      </c>
      <c r="C116" s="595" t="s">
        <v>2279</v>
      </c>
      <c r="D116" s="571" t="s">
        <v>2280</v>
      </c>
      <c r="E116" s="595">
        <v>0.1</v>
      </c>
      <c r="F116" s="595">
        <v>15</v>
      </c>
    </row>
    <row r="117" spans="1:6" ht="24">
      <c r="A117" s="595">
        <v>45</v>
      </c>
      <c r="B117" s="3933"/>
      <c r="C117" s="571" t="s">
        <v>2281</v>
      </c>
      <c r="D117" s="571" t="s">
        <v>2282</v>
      </c>
      <c r="E117" s="595">
        <v>0.1</v>
      </c>
      <c r="F117" s="595">
        <v>15</v>
      </c>
    </row>
    <row r="118" spans="1:6" ht="24">
      <c r="A118" s="595">
        <v>46</v>
      </c>
      <c r="B118" s="3932" t="s">
        <v>2283</v>
      </c>
      <c r="C118" s="595" t="s">
        <v>2284</v>
      </c>
      <c r="D118" s="571" t="s">
        <v>2285</v>
      </c>
      <c r="E118" s="595">
        <v>0.1</v>
      </c>
      <c r="F118" s="595">
        <v>15</v>
      </c>
    </row>
    <row r="119" spans="1:6" ht="24">
      <c r="A119" s="595">
        <v>47</v>
      </c>
      <c r="B119" s="3933"/>
      <c r="C119" s="595" t="s">
        <v>2286</v>
      </c>
      <c r="D119" s="571" t="s">
        <v>2287</v>
      </c>
      <c r="E119" s="595">
        <v>0.1</v>
      </c>
      <c r="F119" s="595">
        <v>15</v>
      </c>
    </row>
    <row r="120" spans="1:6" ht="13.5">
      <c r="A120" s="595">
        <v>48</v>
      </c>
      <c r="B120" s="3932" t="s">
        <v>2288</v>
      </c>
      <c r="C120" s="595" t="s">
        <v>2289</v>
      </c>
      <c r="D120" s="571" t="s">
        <v>2290</v>
      </c>
      <c r="E120" s="595">
        <v>0.1</v>
      </c>
      <c r="F120" s="595">
        <v>15</v>
      </c>
    </row>
    <row r="121" spans="1:6" ht="13.5">
      <c r="A121" s="595">
        <v>49</v>
      </c>
      <c r="B121" s="3933"/>
      <c r="C121" s="595" t="s">
        <v>2291</v>
      </c>
      <c r="D121" s="571" t="s">
        <v>2292</v>
      </c>
      <c r="E121" s="595">
        <v>0.1</v>
      </c>
      <c r="F121" s="595">
        <v>15</v>
      </c>
    </row>
    <row r="122" spans="1:6" ht="24">
      <c r="A122" s="595">
        <v>50</v>
      </c>
      <c r="B122" s="3931" t="s">
        <v>2293</v>
      </c>
      <c r="C122" s="595" t="s">
        <v>2294</v>
      </c>
      <c r="D122" s="571" t="s">
        <v>2295</v>
      </c>
      <c r="E122" s="595">
        <v>0.1</v>
      </c>
      <c r="F122" s="595">
        <v>15</v>
      </c>
    </row>
    <row r="123" spans="1:6" ht="24">
      <c r="A123" s="595">
        <v>51</v>
      </c>
      <c r="B123" s="3931"/>
      <c r="C123" s="595" t="s">
        <v>2296</v>
      </c>
      <c r="D123" s="571" t="s">
        <v>2297</v>
      </c>
      <c r="E123" s="595">
        <v>0.1</v>
      </c>
      <c r="F123" s="595">
        <v>15</v>
      </c>
    </row>
    <row r="124" spans="1:6" ht="24">
      <c r="A124" s="595">
        <v>52</v>
      </c>
      <c r="B124" s="3931" t="s">
        <v>2298</v>
      </c>
      <c r="C124" s="595" t="s">
        <v>2299</v>
      </c>
      <c r="D124" s="571" t="s">
        <v>2300</v>
      </c>
      <c r="E124" s="595">
        <v>0.1</v>
      </c>
      <c r="F124" s="595">
        <v>15</v>
      </c>
    </row>
    <row r="125" spans="1:6" ht="24">
      <c r="A125" s="595">
        <v>53</v>
      </c>
      <c r="B125" s="3931"/>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31" t="s">
        <v>2306</v>
      </c>
      <c r="C127" s="595" t="s">
        <v>2307</v>
      </c>
      <c r="D127" s="571" t="s">
        <v>2308</v>
      </c>
      <c r="E127" s="595">
        <v>0.1</v>
      </c>
      <c r="F127" s="595">
        <v>15</v>
      </c>
    </row>
    <row r="128" spans="1:6" ht="13.5">
      <c r="A128" s="595">
        <v>56</v>
      </c>
      <c r="B128" s="3931"/>
      <c r="C128" s="595" t="s">
        <v>2309</v>
      </c>
      <c r="D128" s="571" t="s">
        <v>2310</v>
      </c>
      <c r="E128" s="595">
        <v>0.1</v>
      </c>
      <c r="F128" s="595">
        <v>15</v>
      </c>
    </row>
    <row r="129" spans="1:6" ht="24">
      <c r="A129" s="595">
        <v>57</v>
      </c>
      <c r="B129" s="3931"/>
      <c r="C129" s="595" t="s">
        <v>2311</v>
      </c>
      <c r="D129" s="571" t="s">
        <v>2312</v>
      </c>
      <c r="E129" s="595">
        <v>0.1</v>
      </c>
      <c r="F129" s="595">
        <v>15</v>
      </c>
    </row>
    <row r="130" spans="1:6" ht="24">
      <c r="A130" s="595">
        <v>58</v>
      </c>
      <c r="B130" s="3931" t="s">
        <v>2313</v>
      </c>
      <c r="C130" s="595" t="s">
        <v>2314</v>
      </c>
      <c r="D130" s="571" t="s">
        <v>2315</v>
      </c>
      <c r="E130" s="595">
        <v>0.1</v>
      </c>
      <c r="F130" s="595">
        <v>15</v>
      </c>
    </row>
    <row r="131" spans="1:6" ht="13.5">
      <c r="A131" s="595">
        <v>59</v>
      </c>
      <c r="B131" s="3931"/>
      <c r="C131" s="595" t="s">
        <v>2316</v>
      </c>
      <c r="D131" s="571" t="s">
        <v>2317</v>
      </c>
      <c r="E131" s="595">
        <v>0.1</v>
      </c>
      <c r="F131" s="595">
        <v>15</v>
      </c>
    </row>
    <row r="132" spans="1:6" ht="13.5">
      <c r="A132" s="595">
        <v>60</v>
      </c>
      <c r="B132" s="3932" t="s">
        <v>2318</v>
      </c>
      <c r="C132" s="595" t="s">
        <v>2319</v>
      </c>
      <c r="D132" s="571" t="s">
        <v>2320</v>
      </c>
      <c r="E132" s="595">
        <v>0.1</v>
      </c>
      <c r="F132" s="595">
        <v>15</v>
      </c>
    </row>
    <row r="133" spans="1:6" ht="13.5">
      <c r="A133" s="595">
        <v>61</v>
      </c>
      <c r="B133" s="3933"/>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31" t="s">
        <v>2326</v>
      </c>
      <c r="C135" s="595" t="s">
        <v>2327</v>
      </c>
      <c r="D135" s="571" t="s">
        <v>2328</v>
      </c>
      <c r="E135" s="595">
        <v>0.1</v>
      </c>
      <c r="F135" s="595">
        <v>15</v>
      </c>
    </row>
    <row r="136" spans="1:6" ht="13.5">
      <c r="A136" s="595">
        <v>64</v>
      </c>
      <c r="B136" s="3931"/>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8">
      <c r="A3" s="3630" t="str">
        <f>IF(项目基本情况!B9="房地产市场价值","估价结果一览表（市场价值不需“结果表-1”）","估价结果一览表")</f>
        <v>估价结果一览表（市场价值不需“结果表-1”）</v>
      </c>
      <c r="B3" s="3630"/>
      <c r="C3" s="3630"/>
      <c r="D3" s="3630"/>
      <c r="E3" s="3630"/>
    </row>
    <row r="4" spans="1:5" ht="18.75">
      <c r="A4" s="3499"/>
      <c r="B4" s="3631" t="s">
        <v>95</v>
      </c>
      <c r="C4" s="3631"/>
      <c r="D4" s="3631"/>
      <c r="E4" s="3499"/>
    </row>
    <row r="5" spans="1:5" ht="15.75">
      <c r="A5" s="3498"/>
      <c r="B5" s="3623" t="s">
        <v>96</v>
      </c>
      <c r="C5" s="3500" t="s">
        <v>97</v>
      </c>
      <c r="D5" s="3501" t="e">
        <f ca="1">结果表!H101</f>
        <v>#REF!</v>
      </c>
      <c r="E5" s="3498"/>
    </row>
    <row r="6" spans="1:5" ht="15.75">
      <c r="A6" s="3498"/>
      <c r="B6" s="3623"/>
      <c r="C6" s="3500" t="s">
        <v>98</v>
      </c>
      <c r="D6" s="3501" t="e">
        <f ca="1">NUMBERSTRING(INT(D5*10000),2)&amp;"元整"</f>
        <v>#REF!</v>
      </c>
      <c r="E6" s="3498"/>
    </row>
    <row r="7" spans="1:5" ht="15.75">
      <c r="A7" s="3498"/>
      <c r="B7" s="3624"/>
      <c r="C7" s="3502" t="s">
        <v>99</v>
      </c>
      <c r="D7" s="3503" t="e">
        <f ca="1">结果表!H102</f>
        <v>#REF!</v>
      </c>
      <c r="E7" s="3498"/>
    </row>
    <row r="8" spans="1:5" ht="15.75">
      <c r="A8" s="3498"/>
      <c r="B8" s="3625" t="str">
        <f>结果表!E103</f>
        <v>2.估价师知悉的法定优先受偿款</v>
      </c>
      <c r="C8" s="3504" t="s">
        <v>100</v>
      </c>
      <c r="D8" s="3503">
        <f>结果表!H103</f>
        <v>0</v>
      </c>
      <c r="E8" s="3498"/>
    </row>
    <row r="9" spans="1:5" ht="15.75">
      <c r="A9" s="3498"/>
      <c r="B9" s="3627"/>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622" t="str">
        <f>结果表!E107</f>
        <v>——</v>
      </c>
      <c r="C13" s="3508" t="s">
        <v>97</v>
      </c>
      <c r="D13" s="3509" t="str">
        <f>结果表!H107</f>
        <v>——</v>
      </c>
      <c r="E13" s="3498"/>
    </row>
    <row r="14" spans="1:5" ht="15.75">
      <c r="A14" s="3498"/>
      <c r="B14" s="3623"/>
      <c r="C14" s="3500" t="s">
        <v>98</v>
      </c>
      <c r="D14" s="3501" t="e">
        <f>NUMBERSTRING(INT(D13*10000),2)&amp;"元整"</f>
        <v>#VALUE!</v>
      </c>
      <c r="E14" s="3498"/>
    </row>
    <row r="15" spans="1:5" ht="15">
      <c r="A15" s="3498"/>
      <c r="B15" s="3624"/>
      <c r="C15" s="3502" t="s">
        <v>99</v>
      </c>
      <c r="D15" s="3510" t="e">
        <f ca="1">结果表!H108</f>
        <v>#REF!</v>
      </c>
      <c r="E15" s="3498"/>
    </row>
    <row r="16" spans="1:5" ht="15">
      <c r="A16" s="3498"/>
      <c r="B16" s="3625" t="str">
        <f>结果表!E109</f>
        <v>3.抵押担保权已注销时的房地产抵押价值</v>
      </c>
      <c r="C16" s="3508" t="s">
        <v>97</v>
      </c>
      <c r="D16" s="3511" t="str">
        <f ca="1">结果表!H109</f>
        <v>——</v>
      </c>
      <c r="E16" s="3498"/>
    </row>
    <row r="17" spans="1:5" ht="15.75">
      <c r="A17" s="3498"/>
      <c r="B17" s="3626"/>
      <c r="C17" s="3500" t="s">
        <v>98</v>
      </c>
      <c r="D17" s="3501" t="e">
        <f ca="1">NUMBERSTRING(INT(D16*10000),2)&amp;"元整"</f>
        <v>#VALUE!</v>
      </c>
      <c r="E17" s="3498"/>
    </row>
    <row r="18" spans="1:5" ht="15">
      <c r="A18" s="3498"/>
      <c r="B18" s="3627"/>
      <c r="C18" s="3502" t="s">
        <v>99</v>
      </c>
      <c r="D18" s="3510" t="str">
        <f ca="1">结果表!H110</f>
        <v>——</v>
      </c>
      <c r="E18" s="3498"/>
    </row>
    <row r="19" spans="1:5" ht="15.75">
      <c r="A19" s="3498"/>
      <c r="B19" s="3622" t="str">
        <f>结果表!E111</f>
        <v>——</v>
      </c>
      <c r="C19" s="3508" t="s">
        <v>97</v>
      </c>
      <c r="D19" s="3503" t="str">
        <f>结果表!H111</f>
        <v>——</v>
      </c>
      <c r="E19" s="3498"/>
    </row>
    <row r="20" spans="1:5" ht="15.75">
      <c r="A20" s="3498"/>
      <c r="B20" s="3623"/>
      <c r="C20" s="3500" t="s">
        <v>98</v>
      </c>
      <c r="D20" s="3501" t="e">
        <f>NUMBERSTRING(INT(D19*10000),2)&amp;"元整"</f>
        <v>#VALUE!</v>
      </c>
      <c r="E20" s="3498"/>
    </row>
    <row r="21" spans="1:5" ht="15">
      <c r="A21" s="3498"/>
      <c r="B21" s="3628"/>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27801</v>
      </c>
      <c r="C2" s="455" t="s">
        <v>1336</v>
      </c>
      <c r="D2" s="452"/>
      <c r="E2" s="452"/>
      <c r="F2" s="452"/>
      <c r="G2" s="452"/>
    </row>
    <row r="3" spans="1:7" s="441" customFormat="1" ht="18" customHeight="1">
      <c r="A3" s="456" t="s">
        <v>2348</v>
      </c>
      <c r="B3" s="457">
        <f>ROUND(B2*10000/'数据-汇总表'!E3,0)</f>
        <v>4407261</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63.08</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63.08</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2692</v>
      </c>
      <c r="D22" s="492">
        <f>C26</f>
        <v>5.9999999999999995E-4</v>
      </c>
      <c r="E22" s="493" t="s">
        <v>2372</v>
      </c>
      <c r="F22" s="496">
        <f>'数据-取费表'!B40</f>
        <v>6.3E-2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2679</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13</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2498</v>
      </c>
      <c r="D27" s="492">
        <f>C29</f>
        <v>1.1999999999999999E-3</v>
      </c>
      <c r="E27" s="493" t="s">
        <v>2372</v>
      </c>
      <c r="F27" s="507">
        <f>'数据-取费表'!Q16</f>
        <v>0.12</v>
      </c>
      <c r="G27" s="508" t="s">
        <v>2383</v>
      </c>
    </row>
    <row r="28" spans="1:7" s="443" customFormat="1" ht="13.5" customHeight="1">
      <c r="A28" s="497" t="s">
        <v>994</v>
      </c>
      <c r="B28" s="509" t="s">
        <v>2384</v>
      </c>
      <c r="C28" s="510">
        <f>ROUND((C5+C19+C20)*F27*'数据-取费表'!B21/'数据-取费表'!B20,0)</f>
        <v>2498</v>
      </c>
      <c r="D28" s="492"/>
      <c r="E28" s="493"/>
      <c r="F28" s="507"/>
      <c r="G28" s="508"/>
    </row>
    <row r="29" spans="1:7" s="443" customFormat="1" ht="13.5" customHeight="1">
      <c r="A29" s="497" t="s">
        <v>996</v>
      </c>
      <c r="B29" s="509" t="s">
        <v>2385</v>
      </c>
      <c r="C29" s="499">
        <f>ROUND(C21*F27*'数据-取费表'!B21/'数据-取费表'!B20,4)</f>
        <v>1.1999999999999999E-3</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27791</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10</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9</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63.08</v>
      </c>
      <c r="E37" s="510">
        <f>'数据-取费表'!B35</f>
        <v>120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804" t="s">
        <v>2405</v>
      </c>
    </row>
    <row r="43" spans="1:7" ht="13.5" customHeight="1">
      <c r="A43" s="497" t="s">
        <v>996</v>
      </c>
      <c r="B43" s="467" t="s">
        <v>2377</v>
      </c>
      <c r="C43" s="499">
        <f>ROUND(IF('数据-取费表'!B22&lt;=1,C39*F22*'数据-取费表'!B21/2,C39*(POWER((1+F22),'数据-取费表'!B21/2)-1)),0)</f>
        <v>0</v>
      </c>
      <c r="D43" s="499"/>
      <c r="E43" s="499"/>
      <c r="F43" s="500"/>
      <c r="G43" s="3805"/>
    </row>
    <row r="44" spans="1:7" ht="13.5" customHeight="1">
      <c r="A44" s="497" t="s">
        <v>998</v>
      </c>
      <c r="B44" s="467" t="s">
        <v>2379</v>
      </c>
      <c r="C44" s="499">
        <f>ROUND(IF('数据-取费表'!B22&lt;=1,C40*F22*'数据-取费表'!B21/2,C40*(POWER((1+F22),'数据-取费表'!B21/2)-1)),4)</f>
        <v>5.9999999999999995E-4</v>
      </c>
      <c r="D44" s="499"/>
      <c r="E44" s="499"/>
      <c r="F44" s="500"/>
      <c r="G44" s="3806"/>
    </row>
    <row r="45" spans="1:7" s="443" customFormat="1" ht="13.5" customHeight="1">
      <c r="A45" s="486" t="s">
        <v>1972</v>
      </c>
      <c r="B45" s="505" t="s">
        <v>2382</v>
      </c>
      <c r="C45" s="506">
        <f>C46</f>
        <v>1</v>
      </c>
      <c r="D45" s="492">
        <f>C47</f>
        <v>1.1999999999999999E-3</v>
      </c>
      <c r="E45" s="493" t="s">
        <v>2403</v>
      </c>
      <c r="F45" s="507"/>
      <c r="G45" s="508" t="s">
        <v>2406</v>
      </c>
    </row>
    <row r="46" spans="1:7" s="443" customFormat="1" ht="13.5" customHeight="1">
      <c r="A46" s="497" t="s">
        <v>994</v>
      </c>
      <c r="B46" s="509" t="s">
        <v>2407</v>
      </c>
      <c r="C46" s="510">
        <f>ROUND((C33+C39)*F27,0)</f>
        <v>1</v>
      </c>
      <c r="D46" s="523"/>
      <c r="E46" s="493"/>
      <c r="F46" s="507"/>
      <c r="G46" s="508"/>
    </row>
    <row r="47" spans="1:7" s="443" customFormat="1" ht="13.5" customHeight="1">
      <c r="A47" s="497" t="s">
        <v>996</v>
      </c>
      <c r="B47" s="509" t="s">
        <v>2408</v>
      </c>
      <c r="C47" s="499">
        <f>ROUND(C40*F27,4)</f>
        <v>1.1999999999999999E-3</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13</v>
      </c>
      <c r="D49" s="489"/>
      <c r="E49" s="489"/>
      <c r="F49" s="524"/>
      <c r="G49" s="494" t="s">
        <v>2412</v>
      </c>
    </row>
    <row r="50" spans="1:7" s="445" customFormat="1" ht="24">
      <c r="A50" s="486" t="s">
        <v>2413</v>
      </c>
      <c r="B50" s="462" t="s">
        <v>2414</v>
      </c>
      <c r="C50" s="489"/>
      <c r="D50" s="489"/>
      <c r="E50" s="489"/>
      <c r="F50" s="524">
        <f>IF('数据-取费表'!B24=0,'数据-取费表'!N16,1)</f>
        <v>0.75</v>
      </c>
      <c r="G50" s="508" t="s">
        <v>2415</v>
      </c>
    </row>
    <row r="51" spans="1:7" ht="16.5" customHeight="1">
      <c r="A51" s="486" t="s">
        <v>2416</v>
      </c>
      <c r="B51" s="462" t="s">
        <v>2417</v>
      </c>
      <c r="C51" s="489">
        <f>ROUND(C49*F50,0)</f>
        <v>10</v>
      </c>
      <c r="D51" s="489"/>
      <c r="E51" s="489"/>
      <c r="F51" s="524"/>
      <c r="G51" s="494" t="s">
        <v>2418</v>
      </c>
    </row>
    <row r="52" spans="1:7" s="442" customFormat="1" ht="15.75">
      <c r="A52" s="525" t="s">
        <v>2419</v>
      </c>
      <c r="B52" s="526"/>
      <c r="C52" s="527">
        <f>C31+C51</f>
        <v>27801</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43" t="s">
        <v>2423</v>
      </c>
      <c r="B1" s="3943"/>
      <c r="C1" s="3943"/>
      <c r="D1" s="3943"/>
      <c r="E1" s="3943"/>
      <c r="F1" s="3943"/>
      <c r="G1" s="3944"/>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45"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46"/>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47" t="s">
        <v>2809</v>
      </c>
      <c r="B1" s="3947"/>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48" t="s">
        <v>2814</v>
      </c>
      <c r="B1" s="3948"/>
      <c r="C1" s="3948"/>
      <c r="D1" s="3948"/>
      <c r="E1" s="3948"/>
      <c r="F1" s="3949"/>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39779</v>
      </c>
      <c r="B1" s="293" t="s">
        <v>2819</v>
      </c>
      <c r="C1" s="294"/>
      <c r="D1" s="294"/>
      <c r="E1" s="294"/>
      <c r="F1" s="294"/>
      <c r="G1" s="294"/>
      <c r="H1" s="294"/>
      <c r="I1" s="294"/>
      <c r="J1" s="320"/>
      <c r="K1" s="294" t="s">
        <v>2820</v>
      </c>
      <c r="L1" s="294"/>
      <c r="M1" s="294"/>
      <c r="N1" s="294"/>
      <c r="O1" s="294"/>
      <c r="P1" s="294"/>
      <c r="Q1" s="320"/>
      <c r="R1" s="3950" t="s">
        <v>2821</v>
      </c>
      <c r="S1" s="3951"/>
      <c r="T1" s="3951"/>
      <c r="U1" s="3951"/>
      <c r="V1" s="3951"/>
      <c r="W1" s="3951"/>
      <c r="X1" s="320"/>
      <c r="Y1" s="3950" t="s">
        <v>2822</v>
      </c>
      <c r="Z1" s="3951"/>
      <c r="AA1" s="3951"/>
      <c r="AB1" s="3951"/>
      <c r="AC1" s="3951"/>
      <c r="AD1" s="3951"/>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ROUND(IF([3]项目基本情况!B8="出让",SUMPRODUCT(PRODUCT(1+K9:K16)),SUMPRODUCT(PRODUCT(1+K9:K15))),4)</f>
        <v>1.0565</v>
      </c>
      <c r="S9" s="346">
        <f>ROUND(IF([3]项目基本情况!B8="出让",SUMPRODUCT(PRODUCT(1+L9:L16)),SUMPRODUCT(PRODUCT(1+L9:L15))),4)</f>
        <v>1.0250999999999999</v>
      </c>
      <c r="T9" s="346">
        <f>ROUND(IF([3]项目基本情况!B8="出让",SUMPRODUCT(PRODUCT(1+M9:M16)),SUMPRODUCT(PRODUCT(1+M9:M15))),4)</f>
        <v>1.0145</v>
      </c>
      <c r="U9" s="346">
        <f>ROUND(IF([3]项目基本情况!B8="出让",SUMPRODUCT(PRODUCT(1+N9:N16)),SUMPRODUCT(PRODUCT(1+N9:N15))),4)</f>
        <v>1.0618000000000001</v>
      </c>
      <c r="V9" s="346">
        <f>ROUND(IF([3]项目基本情况!B8="出让",SUMPRODUCT(PRODUCT(1+O9:O16)),SUMPRODUCT(PRODUCT(1+O9:O15))),4)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ROUND(IF([3]项目基本情况!B8="出让",SUMPRODUCT(PRODUCT(1+K10:K16)),SUMPRODUCT(PRODUCT(1+K10:K15))),4)</f>
        <v>1.05</v>
      </c>
      <c r="S10" s="346">
        <f>ROUND(IF([3]项目基本情况!B8="出让",SUMPRODUCT(PRODUCT(1+L10:L16)),SUMPRODUCT(PRODUCT(1+L10:L15))),4)</f>
        <v>1.0229999999999999</v>
      </c>
      <c r="T10" s="346">
        <f>ROUND(IF([3]项目基本情况!B8="出让",SUMPRODUCT(PRODUCT(1+M10:M16)),SUMPRODUCT(PRODUCT(1+M10:M15))),4)</f>
        <v>1.0134000000000001</v>
      </c>
      <c r="U10" s="346">
        <f>ROUND(IF([3]项目基本情况!B8="出让",SUMPRODUCT(PRODUCT(1+N10:N16)),SUMPRODUCT(PRODUCT(1+N10:N15))),4)</f>
        <v>1.0545</v>
      </c>
      <c r="V10" s="346">
        <f>ROUND(IF([3]项目基本情况!B8="出让",SUMPRODUCT(PRODUCT(1+O10:O16)),SUMPRODUCT(PRODUCT(1+O10:O15))),4)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ROUND(IF([3]项目基本情况!B8="出让",SUMPRODUCT(PRODUCT(1+K11:K16)),SUMPRODUCT(PRODUCT(1+K11:K15))),4)</f>
        <v>1.0430999999999999</v>
      </c>
      <c r="S11" s="346">
        <f>ROUND(IF([3]项目基本情况!B8="出让",SUMPRODUCT(PRODUCT(1+L11:L16)),SUMPRODUCT(PRODUCT(1+L11:L15))),4)</f>
        <v>1.0197000000000001</v>
      </c>
      <c r="T11" s="346">
        <f>ROUND(IF([3]项目基本情况!B8="出让",SUMPRODUCT(PRODUCT(1+M11:M16)),SUMPRODUCT(PRODUCT(1+M11:M15))),4)</f>
        <v>1.0109999999999999</v>
      </c>
      <c r="U11" s="346">
        <f>ROUND(IF([3]项目基本情况!B8="出让",SUMPRODUCT(PRODUCT(1+N11:N16)),SUMPRODUCT(PRODUCT(1+N11:N15))),4)</f>
        <v>1.0468999999999999</v>
      </c>
      <c r="V11" s="346">
        <f>ROUND(IF([3]项目基本情况!B8="出让",SUMPRODUCT(PRODUCT(1+O11:O16)),SUMPRODUCT(PRODUCT(1+O11:O15))),4)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ROUND(IF([3]项目基本情况!B8="出让",SUMPRODUCT(PRODUCT(1+K12:K16)),SUMPRODUCT(PRODUCT(1+K12:K15))),4)</f>
        <v>1.0335000000000001</v>
      </c>
      <c r="S12" s="346">
        <f>ROUND(IF([3]项目基本情况!B8="出让",SUMPRODUCT(PRODUCT(1+L12:L16)),SUMPRODUCT(PRODUCT(1+L12:L15))),4)</f>
        <v>1.0182</v>
      </c>
      <c r="T12" s="346">
        <f>ROUND(IF([3]项目基本情况!B8="出让",SUMPRODUCT(PRODUCT(1+M12:M16)),SUMPRODUCT(PRODUCT(1+M12:M15))),4)</f>
        <v>1.0108999999999999</v>
      </c>
      <c r="U12" s="346">
        <f>ROUND(IF([3]项目基本情况!B8="出让",SUMPRODUCT(PRODUCT(1+N12:N16)),SUMPRODUCT(PRODUCT(1+N12:N15))),4)</f>
        <v>1.0361</v>
      </c>
      <c r="V12" s="346">
        <f>ROUND(IF([3]项目基本情况!B8="出让",SUMPRODUCT(PRODUCT(1+O12:O16)),SUMPRODUCT(PRODUCT(1+O12:O15))),4)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ROUND(IF([3]项目基本情况!B8="出让",SUMPRODUCT(PRODUCT(1+K13:K16)),SUMPRODUCT(PRODUCT(1+K13:K15))),4)</f>
        <v>1.0244</v>
      </c>
      <c r="S13" s="346">
        <f>ROUND(IF([3]项目基本情况!B8="出让",SUMPRODUCT(PRODUCT(1+L13:L16)),SUMPRODUCT(PRODUCT(1+L13:L15))),4)</f>
        <v>1.0138</v>
      </c>
      <c r="T13" s="346">
        <f>ROUND(IF([3]项目基本情况!B8="出让",SUMPRODUCT(PRODUCT(1+M13:M16)),SUMPRODUCT(PRODUCT(1+M13:M15))),4)</f>
        <v>1.0072000000000001</v>
      </c>
      <c r="U13" s="346">
        <f>ROUND(IF([3]项目基本情况!B8="出让",SUMPRODUCT(PRODUCT(1+N13:N16)),SUMPRODUCT(PRODUCT(1+N13:N15))),4)</f>
        <v>1.0262</v>
      </c>
      <c r="V13" s="346">
        <f>ROUND(IF([3]项目基本情况!B8="出让",SUMPRODUCT(PRODUCT(1+O13:O16)),SUMPRODUCT(PRODUCT(1+O13:O15))),4)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ROUND(IF([3]项目基本情况!B8="出让",SUMPRODUCT(PRODUCT(1+K14:K16)),SUMPRODUCT(PRODUCT(1+K14:K15))),4)</f>
        <v>1.0139</v>
      </c>
      <c r="S14" s="346">
        <f>ROUND(IF([3]项目基本情况!B8="出让",SUMPRODUCT(PRODUCT(1+L14:L16)),SUMPRODUCT(PRODUCT(1+L14:L15))),4)</f>
        <v>1.0113000000000001</v>
      </c>
      <c r="T14" s="346">
        <f>ROUND(IF([3]项目基本情况!B8="出让",SUMPRODUCT(PRODUCT(1+M14:M16)),SUMPRODUCT(PRODUCT(1+M14:M15))),4)</f>
        <v>1.0065</v>
      </c>
      <c r="U14" s="346">
        <f>ROUND(IF([3]项目基本情况!B8="出让",SUMPRODUCT(PRODUCT(1+N14:N16)),SUMPRODUCT(PRODUCT(1+N14:N15))),4)</f>
        <v>1.0143</v>
      </c>
      <c r="V14" s="346">
        <f>ROUND(IF([3]项目基本情况!B8="出让",SUMPRODUCT(PRODUCT(1+O14:O16)),SUMPRODUCT(PRODUCT(1+O14:O15))),4)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ROUND(IF([3]项目基本情况!B8="出让",SUMPRODUCT(PRODUCT(1+K15:K16)),SUMPRODUCT(PRODUCT(1+K15:K15))),4)</f>
        <v>1.0092000000000001</v>
      </c>
      <c r="S15" s="346">
        <f>ROUND(IF([3]项目基本情况!B8="出让",SUMPRODUCT(PRODUCT(1+L15:L16)),SUMPRODUCT(PRODUCT(1+L15:L15))),4)</f>
        <v>1.0072000000000001</v>
      </c>
      <c r="T15" s="346">
        <f>ROUND(IF([3]项目基本情况!B8="出让",SUMPRODUCT(PRODUCT(1+M15:M16)),SUMPRODUCT(PRODUCT(1+M15:M15))),4)</f>
        <v>1.0041</v>
      </c>
      <c r="U15" s="346">
        <f>ROUND(IF([3]项目基本情况!B8="出让",SUMPRODUCT(PRODUCT(1+N15:N16)),SUMPRODUCT(PRODUCT(1+N15:N15))),4)</f>
        <v>1.0095000000000001</v>
      </c>
      <c r="V15" s="346">
        <f>ROUND(IF([3]项目基本情况!B8="出让",SUMPRODUCT(PRODUCT(1+O15:O16)),SUMPRODUCT(PRODUCT(1+O15:O15))),4)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50" t="s">
        <v>2821</v>
      </c>
      <c r="S21" s="3951"/>
      <c r="T21" s="3951"/>
      <c r="U21" s="3951"/>
      <c r="V21" s="3951"/>
      <c r="W21" s="3951"/>
      <c r="X21" s="320"/>
      <c r="Y21" s="3950" t="s">
        <v>2822</v>
      </c>
      <c r="Z21" s="3951"/>
      <c r="AA21" s="3951"/>
      <c r="AB21" s="3951"/>
      <c r="AC21" s="3951"/>
      <c r="AD21" s="3951"/>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ROUND(IF([3]项目基本情况!$B$8="出让",SUMPRODUCT(PRODUCT(1+L25:L$36)),SUMPRODUCT(PRODUCT(1+L25:L$35))),4)</f>
        <v>1.0396000000000001</v>
      </c>
      <c r="T25" s="346">
        <f>ROUND(IF([3]项目基本情况!$B$8="出让",SUMPRODUCT(PRODUCT(1+M25:M$36)),SUMPRODUCT(PRODUCT(1+M25:M$35))),4)</f>
        <v>1.0269999999999999</v>
      </c>
      <c r="U25" s="346">
        <f>ROUND(IF([3]项目基本情况!$B$8="出让",SUMPRODUCT(PRODUCT(1+N25:N$36)),SUMPRODUCT(PRODUCT(1+N25:N$35))),4)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ROUND(IF([3]项目基本情况!$B$8="出让",SUMPRODUCT(PRODUCT(1+L26:L$36)),SUMPRODUCT(PRODUCT(1+L26:L$35))),4)</f>
        <v>1.0396000000000001</v>
      </c>
      <c r="T26" s="346">
        <f>ROUND(IF([3]项目基本情况!$B$8="出让",SUMPRODUCT(PRODUCT(1+M26:M$36)),SUMPRODUCT(PRODUCT(1+M26:M$35))),4)</f>
        <v>1.0269999999999999</v>
      </c>
      <c r="U26" s="346">
        <f>ROUND(IF([3]项目基本情况!$B$8="出让",SUMPRODUCT(PRODUCT(1+N26:N$36)),SUMPRODUCT(PRODUCT(1+N26:N$35))),4)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ROUND(IF([3]项目基本情况!$B$8="出让",SUMPRODUCT(PRODUCT(1+L27:L$36)),SUMPRODUCT(PRODUCT(1+L27:L$35))),4)</f>
        <v>1.0396000000000001</v>
      </c>
      <c r="T27" s="332">
        <f>ROUND(IF([3]项目基本情况!$B$8="出让",SUMPRODUCT(PRODUCT(1+M27:M$36)),SUMPRODUCT(PRODUCT(1+M27:M$35))),4)</f>
        <v>1.0269999999999999</v>
      </c>
      <c r="U27" s="332">
        <f>ROUND(IF([3]项目基本情况!$B$8="出让",SUMPRODUCT(PRODUCT(1+N27:N$36)),SUMPRODUCT(PRODUCT(1+N27:N$35))),4)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ROUND(IF([3]项目基本情况!$B$8="出让",SUMPRODUCT(PRODUCT(1+L28:L$36)),SUMPRODUCT(PRODUCT(1+L28:L$35))),4)</f>
        <v>1.0344</v>
      </c>
      <c r="T28" s="346">
        <f>ROUND(IF([3]项目基本情况!$B$8="出让",SUMPRODUCT(PRODUCT(1+M28:M$36)),SUMPRODUCT(PRODUCT(1+M28:M$35))),4)</f>
        <v>1.0224</v>
      </c>
      <c r="U28" s="346">
        <f>ROUND(IF([3]项目基本情况!$B$8="出让",SUMPRODUCT(PRODUCT(1+N28:N$36)),SUMPRODUCT(PRODUCT(1+N28:N$35))),4)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ROUND(IF([3]项目基本情况!$B$8="出让",SUMPRODUCT(PRODUCT(1+L29:L$36)),SUMPRODUCT(PRODUCT(1+L29:L$35))),4)</f>
        <v>1.0286999999999999</v>
      </c>
      <c r="T29" s="346">
        <f>ROUND(IF([3]项目基本情况!$B$8="出让",SUMPRODUCT(PRODUCT(1+M29:M$36)),SUMPRODUCT(PRODUCT(1+M29:M$35))),4)</f>
        <v>1.0164</v>
      </c>
      <c r="U29" s="346">
        <f>ROUND(IF([3]项目基本情况!$B$8="出让",SUMPRODUCT(PRODUCT(1+N29:N$36)),SUMPRODUCT(PRODUCT(1+N29:N$35))),4)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ROUND(IF([3]项目基本情况!$B$8="出让",SUMPRODUCT(PRODUCT(1+L30:L$36)),SUMPRODUCT(PRODUCT(1+L30:L$35))),4)</f>
        <v>1.0241</v>
      </c>
      <c r="T30" s="346">
        <f>ROUND(IF([3]项目基本情况!$B$8="出让",SUMPRODUCT(PRODUCT(1+M30:M$36)),SUMPRODUCT(PRODUCT(1+M30:M$35))),4)</f>
        <v>1.0144</v>
      </c>
      <c r="U30" s="346">
        <f>ROUND(IF([3]项目基本情况!$B$8="出让",SUMPRODUCT(PRODUCT(1+N30:N$36)),SUMPRODUCT(PRODUCT(1+N30:N$35))),4)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ROUND(IF([3]项目基本情况!$B$8="出让",SUMPRODUCT(PRODUCT(1+L31:L$36)),SUMPRODUCT(PRODUCT(1+L31:L$35))),4)</f>
        <v>1.0210999999999999</v>
      </c>
      <c r="T31" s="346">
        <f>ROUND(IF([3]项目基本情况!$B$8="出让",SUMPRODUCT(PRODUCT(1+M31:M$36)),SUMPRODUCT(PRODUCT(1+M31:M$35))),4)</f>
        <v>1.0114000000000001</v>
      </c>
      <c r="U31" s="346">
        <f>ROUND(IF([3]项目基本情况!$B$8="出让",SUMPRODUCT(PRODUCT(1+N31:N$36)),SUMPRODUCT(PRODUCT(1+N31:N$35))),4)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ROUND(IF([3]项目基本情况!$B$8="出让",SUMPRODUCT(PRODUCT(1+L32:L$36)),SUMPRODUCT(PRODUCT(1+L32:L$35))),4)</f>
        <v>1.0222</v>
      </c>
      <c r="T32" s="346">
        <f>ROUND(IF([3]项目基本情况!$B$8="出让",SUMPRODUCT(PRODUCT(1+M32:M$36)),SUMPRODUCT(PRODUCT(1+M32:M$35))),4)</f>
        <v>1.0127999999999999</v>
      </c>
      <c r="U32" s="346">
        <f>ROUND(IF([3]项目基本情况!$B$8="出让",SUMPRODUCT(PRODUCT(1+N32:N$36)),SUMPRODUCT(PRODUCT(1+N32:N$35))),4)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ROUND(IF([3]项目基本情况!$B$8="出让",SUMPRODUCT(PRODUCT(1+L33:L$36)),SUMPRODUCT(PRODUCT(1+L33:L$35))),4)</f>
        <v>1.0161</v>
      </c>
      <c r="T33" s="346">
        <f>ROUND(IF([3]项目基本情况!$B$8="出让",SUMPRODUCT(PRODUCT(1+M33:M$36)),SUMPRODUCT(PRODUCT(1+M33:M$35))),4)</f>
        <v>1.0082</v>
      </c>
      <c r="U33" s="346">
        <f>ROUND(IF([3]项目基本情况!$B$8="出让",SUMPRODUCT(PRODUCT(1+N33:N$36)),SUMPRODUCT(PRODUCT(1+N33:N$35))),4)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ROUND(IF([3]项目基本情况!$B$8="出让",SUMPRODUCT(PRODUCT(1+L34:L$36)),SUMPRODUCT(PRODUCT(1+L34:L$35))),4)</f>
        <v>1.0102</v>
      </c>
      <c r="T34" s="346">
        <f>ROUND(IF([3]项目基本情况!$B$8="出让",SUMPRODUCT(PRODUCT(1+M34:M$36)),SUMPRODUCT(PRODUCT(1+M34:M$35))),4)</f>
        <v>1.0074000000000001</v>
      </c>
      <c r="U34" s="346">
        <f>ROUND(IF([3]项目基本情况!$B$8="出让",SUMPRODUCT(PRODUCT(1+N34:N$36)),SUMPRODUCT(PRODUCT(1+N34:N$35))),4)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ROUND(IF([3]项目基本情况!$B$8="出让",SUMPRODUCT(PRODUCT(1+L35:L$36)),SUMPRODUCT(PRODUCT(1+L35:L$35))),4)</f>
        <v>1.0055000000000001</v>
      </c>
      <c r="T35" s="346">
        <f>ROUND(IF([3]项目基本情况!$B$8="出让",SUMPRODUCT(PRODUCT(1+M35:M$36)),SUMPRODUCT(PRODUCT(1+M35:M$35))),4)</f>
        <v>1.0045999999999999</v>
      </c>
      <c r="U35" s="346">
        <f>ROUND(IF([3]项目基本情况!$B$8="出让",SUMPRODUCT(PRODUCT(1+N35:N$36)),SUMPRODUCT(PRODUCT(1+N35:N$35))),4)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62" t="s">
        <v>2840</v>
      </c>
      <c r="C1" s="3962"/>
      <c r="D1" s="3962"/>
      <c r="E1" s="3962"/>
      <c r="F1" s="3962"/>
      <c r="G1" s="3959" t="s">
        <v>2841</v>
      </c>
      <c r="H1" s="3959"/>
      <c r="I1" s="3959"/>
      <c r="J1" s="3959"/>
      <c r="K1" s="3959"/>
      <c r="L1" s="3959"/>
      <c r="N1" s="3959" t="s">
        <v>2820</v>
      </c>
      <c r="O1" s="3959"/>
      <c r="P1" s="3959"/>
      <c r="Q1" s="3959"/>
      <c r="S1" s="3959" t="s">
        <v>2842</v>
      </c>
      <c r="T1" s="3959"/>
      <c r="U1" s="3959"/>
      <c r="V1" s="3959"/>
      <c r="X1" s="3958" t="s">
        <v>2821</v>
      </c>
      <c r="Y1" s="3959"/>
      <c r="Z1" s="3959"/>
      <c r="AA1" s="3959"/>
      <c r="AB1" s="3959"/>
      <c r="AD1" s="3958" t="s">
        <v>2822</v>
      </c>
      <c r="AE1" s="3959"/>
      <c r="AF1" s="3959"/>
      <c r="AG1" s="3959"/>
      <c r="AH1" s="3959"/>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53">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53"/>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53"/>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60"/>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61">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53"/>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53"/>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60"/>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61">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53"/>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53"/>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54"/>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52">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53"/>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53"/>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54"/>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52">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53"/>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53"/>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54"/>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55">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56"/>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56"/>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57"/>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52">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53"/>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53"/>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54"/>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52">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53">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53">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54">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52">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53">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53">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54">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52">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53">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53">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54">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52">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53">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53">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54">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52">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53">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53">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54">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52">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53">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53">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54">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52">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53">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53">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54">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52">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53">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53">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54">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52">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53">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53">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54">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52">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53">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53">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54">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0"/>
  <sheetViews>
    <sheetView topLeftCell="AE1" workbookViewId="0">
      <selection activeCell="AW5" sqref="AW5"/>
    </sheetView>
  </sheetViews>
  <sheetFormatPr defaultRowHeight="13.5"/>
  <cols>
    <col min="1" max="1" width="21.25" customWidth="1"/>
  </cols>
  <sheetData>
    <row r="1" spans="1:73" s="3592"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582"/>
      <c r="AE1" s="3554"/>
      <c r="AF1" s="3551"/>
      <c r="AG1" s="3551"/>
      <c r="AH1" s="3583"/>
      <c r="AI1" s="3551"/>
      <c r="AJ1" s="3584"/>
      <c r="AK1" s="3551"/>
      <c r="AL1" s="1759"/>
      <c r="AM1" s="3585"/>
      <c r="AN1" s="3558" t="s">
        <v>3103</v>
      </c>
      <c r="AO1" s="3558" t="s">
        <v>3104</v>
      </c>
      <c r="AP1" s="3558"/>
      <c r="AQ1" s="3558"/>
      <c r="AR1" s="3559"/>
      <c r="AS1" s="3559" t="s">
        <v>3105</v>
      </c>
      <c r="AT1" s="3559"/>
      <c r="AU1" s="3559"/>
      <c r="AV1" s="3558"/>
      <c r="AW1" s="3586"/>
      <c r="AX1" s="3586"/>
      <c r="AY1" s="3587"/>
      <c r="AZ1" s="3586"/>
      <c r="BA1" s="3586"/>
      <c r="BB1" s="3587"/>
      <c r="BC1" s="3586"/>
      <c r="BD1" s="3588"/>
      <c r="BE1" s="3586"/>
      <c r="BF1" s="3589"/>
      <c r="BG1" s="3590"/>
      <c r="BH1" s="3586"/>
      <c r="BI1" s="3586"/>
      <c r="BJ1" s="3564" t="s">
        <v>3106</v>
      </c>
      <c r="BK1" s="3560" t="s">
        <v>3107</v>
      </c>
      <c r="BL1" s="3553"/>
      <c r="BM1" s="3591"/>
      <c r="BN1" s="3591"/>
      <c r="BO1" s="3591"/>
      <c r="BP1" s="3591"/>
      <c r="BQ1" s="3559"/>
      <c r="BR1" s="3559"/>
    </row>
    <row r="2" spans="1:73" s="3593" customFormat="1" ht="15.75">
      <c r="A2" s="3562" t="s">
        <v>3108</v>
      </c>
      <c r="B2" s="3558" t="s">
        <v>3109</v>
      </c>
      <c r="C2" s="3562" t="s">
        <v>3110</v>
      </c>
      <c r="D2" s="3562" t="s">
        <v>1629</v>
      </c>
      <c r="E2" s="3562" t="s">
        <v>1579</v>
      </c>
      <c r="F2" s="3562" t="s">
        <v>3111</v>
      </c>
      <c r="G2" s="3562" t="s">
        <v>3112</v>
      </c>
      <c r="H2" s="3562" t="s">
        <v>3113</v>
      </c>
      <c r="I2" s="3562" t="s">
        <v>3114</v>
      </c>
      <c r="J2" s="3562" t="s">
        <v>3115</v>
      </c>
      <c r="K2" s="3558" t="s">
        <v>1585</v>
      </c>
      <c r="L2" s="3558" t="s">
        <v>1586</v>
      </c>
      <c r="M2" s="3558" t="s">
        <v>3116</v>
      </c>
      <c r="N2" s="3558" t="s">
        <v>3117</v>
      </c>
      <c r="O2" s="3558" t="s">
        <v>3118</v>
      </c>
      <c r="P2" s="3558" t="s">
        <v>3119</v>
      </c>
      <c r="Q2" s="3558" t="s">
        <v>3120</v>
      </c>
      <c r="R2" s="3558" t="s">
        <v>3121</v>
      </c>
      <c r="S2" s="3558" t="s">
        <v>1593</v>
      </c>
      <c r="T2" s="3563" t="s">
        <v>1594</v>
      </c>
      <c r="U2" s="3558" t="s">
        <v>3122</v>
      </c>
      <c r="V2" s="3558" t="s">
        <v>1596</v>
      </c>
      <c r="W2" s="3558" t="s">
        <v>1597</v>
      </c>
      <c r="X2" s="3563" t="s">
        <v>1598</v>
      </c>
      <c r="Y2" s="3558" t="s">
        <v>3123</v>
      </c>
      <c r="Z2" s="3558" t="s">
        <v>3124</v>
      </c>
      <c r="AA2" s="3558" t="s">
        <v>3125</v>
      </c>
      <c r="AB2" s="3558" t="s">
        <v>1602</v>
      </c>
      <c r="AC2" s="3558" t="s">
        <v>3126</v>
      </c>
      <c r="AD2" s="1759" t="s">
        <v>3269</v>
      </c>
      <c r="AE2" s="3558" t="s">
        <v>1605</v>
      </c>
      <c r="AF2" s="3558" t="s">
        <v>1606</v>
      </c>
      <c r="AG2" s="3558" t="s">
        <v>1607</v>
      </c>
      <c r="AH2" s="3558" t="s">
        <v>3270</v>
      </c>
      <c r="AI2" s="3558" t="s">
        <v>3127</v>
      </c>
      <c r="AJ2" s="3565" t="s">
        <v>3128</v>
      </c>
      <c r="AK2" s="3558" t="s">
        <v>3129</v>
      </c>
      <c r="AL2" s="1759" t="s">
        <v>3271</v>
      </c>
      <c r="AM2" s="3585" t="s">
        <v>3272</v>
      </c>
      <c r="AN2" s="3558" t="s">
        <v>3130</v>
      </c>
      <c r="AO2" s="3558" t="s">
        <v>3131</v>
      </c>
      <c r="AP2" s="3558" t="s">
        <v>3132</v>
      </c>
      <c r="AQ2" s="3558" t="s">
        <v>3133</v>
      </c>
      <c r="AR2" s="3559" t="s">
        <v>3134</v>
      </c>
      <c r="AS2" s="3559" t="s">
        <v>3124</v>
      </c>
      <c r="AT2" s="3559" t="s">
        <v>3125</v>
      </c>
      <c r="AU2" s="3559" t="s">
        <v>3135</v>
      </c>
      <c r="AV2" s="1759" t="s">
        <v>3136</v>
      </c>
      <c r="AW2" s="1760" t="s">
        <v>3137</v>
      </c>
      <c r="AX2" s="1761" t="s">
        <v>3138</v>
      </c>
      <c r="AY2" s="1762" t="s">
        <v>3139</v>
      </c>
      <c r="AZ2" s="1760" t="s">
        <v>3140</v>
      </c>
      <c r="BA2" s="1760" t="s">
        <v>3141</v>
      </c>
      <c r="BB2" s="1762" t="s">
        <v>3142</v>
      </c>
      <c r="BC2" s="1760" t="s">
        <v>3143</v>
      </c>
      <c r="BD2" s="1771" t="s">
        <v>3144</v>
      </c>
      <c r="BE2" s="1760" t="s">
        <v>3145</v>
      </c>
      <c r="BF2" s="1772" t="s">
        <v>3146</v>
      </c>
      <c r="BG2" s="1773" t="s">
        <v>3147</v>
      </c>
      <c r="BH2" s="1773" t="s">
        <v>3148</v>
      </c>
      <c r="BI2" s="1773" t="s">
        <v>3149</v>
      </c>
      <c r="BJ2" s="3564" t="s">
        <v>3150</v>
      </c>
      <c r="BK2" s="3560" t="s">
        <v>3151</v>
      </c>
      <c r="BL2" s="3559" t="s">
        <v>3152</v>
      </c>
      <c r="BM2" s="3591" t="s">
        <v>3153</v>
      </c>
      <c r="BN2" s="3591" t="s">
        <v>3154</v>
      </c>
      <c r="BO2" s="3591" t="s">
        <v>3155</v>
      </c>
      <c r="BP2" s="3591"/>
      <c r="BQ2" s="3559" t="s">
        <v>3156</v>
      </c>
      <c r="BR2" s="3559" t="s">
        <v>3157</v>
      </c>
    </row>
    <row r="3" spans="1:73" s="3575" customFormat="1" ht="12" customHeight="1">
      <c r="A3" s="3594" t="s">
        <v>3316</v>
      </c>
      <c r="B3" s="3594" t="s">
        <v>3274</v>
      </c>
      <c r="C3" s="3595" t="s">
        <v>3275</v>
      </c>
      <c r="D3" s="3596">
        <v>15801530728</v>
      </c>
      <c r="E3" s="3594" t="s">
        <v>2293</v>
      </c>
      <c r="F3" s="3597" t="s">
        <v>3276</v>
      </c>
      <c r="G3" s="3594"/>
      <c r="H3" s="3594" t="s">
        <v>3277</v>
      </c>
      <c r="I3" s="3596"/>
      <c r="J3" s="3596" t="s">
        <v>3278</v>
      </c>
      <c r="K3" s="3594" t="s">
        <v>3279</v>
      </c>
      <c r="L3" s="3594">
        <v>60.71</v>
      </c>
      <c r="M3" s="3594">
        <v>5</v>
      </c>
      <c r="N3" s="3594" t="s">
        <v>3280</v>
      </c>
      <c r="O3" s="3594"/>
      <c r="P3" s="3594" t="s">
        <v>3281</v>
      </c>
      <c r="Q3" s="3598">
        <v>395000</v>
      </c>
      <c r="R3" s="3594">
        <v>6506</v>
      </c>
      <c r="S3" s="3599">
        <v>32.04</v>
      </c>
      <c r="T3" s="3600">
        <v>320400</v>
      </c>
      <c r="U3" s="3594">
        <v>5279</v>
      </c>
      <c r="V3" s="3601">
        <v>0.2</v>
      </c>
      <c r="W3" s="3602">
        <v>25.63</v>
      </c>
      <c r="X3" s="3603">
        <v>256300</v>
      </c>
      <c r="Y3" s="3594">
        <v>2008</v>
      </c>
      <c r="Z3" s="3592">
        <v>4</v>
      </c>
      <c r="AA3" s="3592">
        <v>22</v>
      </c>
      <c r="AB3" s="3594">
        <v>960</v>
      </c>
      <c r="AC3" s="3594" t="s">
        <v>3282</v>
      </c>
      <c r="AD3" s="3604">
        <v>91092008040009</v>
      </c>
      <c r="AE3" s="3594" t="s">
        <v>192</v>
      </c>
      <c r="AF3" s="3594" t="s">
        <v>1719</v>
      </c>
      <c r="AG3" s="3605" t="s">
        <v>1720</v>
      </c>
      <c r="AH3" s="3594"/>
      <c r="AI3" s="3594" t="s">
        <v>2963</v>
      </c>
      <c r="AJ3" s="3594"/>
      <c r="AK3" s="3606" t="s">
        <v>3229</v>
      </c>
      <c r="AL3" s="3592">
        <v>31</v>
      </c>
      <c r="AM3" s="3592" t="s">
        <v>3283</v>
      </c>
      <c r="AN3" s="3605" t="s">
        <v>3229</v>
      </c>
      <c r="AO3" s="3594"/>
      <c r="AP3" s="3594" t="s">
        <v>3284</v>
      </c>
      <c r="AQ3" s="3594" t="s">
        <v>3285</v>
      </c>
      <c r="AR3" s="3592">
        <v>2008</v>
      </c>
      <c r="AS3" s="3592">
        <v>4</v>
      </c>
      <c r="AT3" s="3592">
        <v>22</v>
      </c>
      <c r="AU3" s="3592"/>
      <c r="AV3" s="3592"/>
      <c r="AW3" s="3592" t="s">
        <v>2978</v>
      </c>
      <c r="AX3" s="3594"/>
      <c r="AY3" s="3607"/>
      <c r="AZ3" s="3594" t="s">
        <v>3286</v>
      </c>
      <c r="BA3" s="3592"/>
      <c r="BB3" s="3608"/>
      <c r="BC3" s="3592"/>
      <c r="BD3" s="3609"/>
      <c r="BE3" s="3592"/>
      <c r="BF3" s="3610"/>
      <c r="BG3" s="3611">
        <v>39541</v>
      </c>
      <c r="BH3" s="3592"/>
      <c r="BI3" s="3592" t="s">
        <v>3284</v>
      </c>
      <c r="BJ3" s="3612">
        <v>39541</v>
      </c>
      <c r="BK3" s="3611"/>
      <c r="BL3" s="3594" t="s">
        <v>2953</v>
      </c>
      <c r="BM3" s="3592" t="s">
        <v>1483</v>
      </c>
      <c r="BN3" s="3592" t="s">
        <v>2966</v>
      </c>
      <c r="BO3" s="3592" t="s">
        <v>2957</v>
      </c>
      <c r="BP3" s="3592"/>
      <c r="BQ3" s="3592" t="e">
        <v>#DIV/0!</v>
      </c>
      <c r="BR3" s="3592" t="e">
        <v>#DIV/0!</v>
      </c>
      <c r="BS3" s="3613" t="s">
        <v>3287</v>
      </c>
      <c r="BT3" s="3613" t="s">
        <v>3282</v>
      </c>
      <c r="BU3" s="3561"/>
    </row>
    <row r="4" spans="1:73" s="3575" customFormat="1" ht="12" customHeight="1">
      <c r="A4" s="3594" t="s">
        <v>3317</v>
      </c>
      <c r="B4" s="3594" t="s">
        <v>3289</v>
      </c>
      <c r="C4" s="3596" t="s">
        <v>3290</v>
      </c>
      <c r="D4" s="3596">
        <v>13910719760</v>
      </c>
      <c r="E4" s="3594" t="s">
        <v>2293</v>
      </c>
      <c r="F4" s="3597" t="s">
        <v>3276</v>
      </c>
      <c r="G4" s="3594"/>
      <c r="H4" s="3594" t="s">
        <v>3291</v>
      </c>
      <c r="I4" s="3596"/>
      <c r="J4" s="3596" t="s">
        <v>3278</v>
      </c>
      <c r="K4" s="3594" t="s">
        <v>3292</v>
      </c>
      <c r="L4" s="3594">
        <v>58.18</v>
      </c>
      <c r="M4" s="3594">
        <v>5</v>
      </c>
      <c r="N4" s="3594" t="s">
        <v>3293</v>
      </c>
      <c r="O4" s="3594"/>
      <c r="P4" s="3594" t="s">
        <v>3281</v>
      </c>
      <c r="Q4" s="3598">
        <v>395000</v>
      </c>
      <c r="R4" s="3594">
        <v>6789</v>
      </c>
      <c r="S4" s="3599">
        <v>30.71</v>
      </c>
      <c r="T4" s="3600">
        <v>307100</v>
      </c>
      <c r="U4" s="3594">
        <v>5280</v>
      </c>
      <c r="V4" s="3601">
        <v>0.2</v>
      </c>
      <c r="W4" s="3602">
        <v>24.56</v>
      </c>
      <c r="X4" s="3603">
        <v>245600</v>
      </c>
      <c r="Y4" s="3594">
        <v>2008</v>
      </c>
      <c r="Z4" s="3592">
        <v>4</v>
      </c>
      <c r="AA4" s="3592">
        <v>11</v>
      </c>
      <c r="AB4" s="3594">
        <v>920</v>
      </c>
      <c r="AC4" s="3594" t="s">
        <v>3282</v>
      </c>
      <c r="AD4" s="3604"/>
      <c r="AE4" s="3594" t="s">
        <v>192</v>
      </c>
      <c r="AF4" s="3594" t="s">
        <v>1719</v>
      </c>
      <c r="AG4" s="3605" t="s">
        <v>1720</v>
      </c>
      <c r="AH4" s="3594"/>
      <c r="AI4" s="3594" t="s">
        <v>2963</v>
      </c>
      <c r="AJ4" s="3594"/>
      <c r="AK4" s="3606" t="s">
        <v>3229</v>
      </c>
      <c r="AL4" s="3592">
        <v>31</v>
      </c>
      <c r="AM4" s="3592"/>
      <c r="AN4" s="3605" t="s">
        <v>3220</v>
      </c>
      <c r="AO4" s="3594"/>
      <c r="AP4" s="3594" t="s">
        <v>3294</v>
      </c>
      <c r="AQ4" s="3594" t="s">
        <v>3295</v>
      </c>
      <c r="AR4" s="3592"/>
      <c r="AS4" s="3592"/>
      <c r="AT4" s="3592"/>
      <c r="AU4" s="3592"/>
      <c r="AV4" s="3592"/>
      <c r="AW4" s="3592" t="s">
        <v>2978</v>
      </c>
      <c r="AX4" s="3594"/>
      <c r="AY4" s="3607"/>
      <c r="AZ4" s="3594"/>
      <c r="BA4" s="3592"/>
      <c r="BB4" s="3608"/>
      <c r="BC4" s="3592"/>
      <c r="BD4" s="3609"/>
      <c r="BE4" s="3592"/>
      <c r="BF4" s="3610"/>
      <c r="BG4" s="3611">
        <v>39546</v>
      </c>
      <c r="BH4" s="3592"/>
      <c r="BI4" s="3594" t="s">
        <v>3294</v>
      </c>
      <c r="BJ4" s="3612"/>
      <c r="BK4" s="3611"/>
      <c r="BL4" s="3594" t="s">
        <v>2953</v>
      </c>
      <c r="BM4" s="3592" t="s">
        <v>1483</v>
      </c>
      <c r="BN4" s="3592" t="s">
        <v>2966</v>
      </c>
      <c r="BO4" s="3592" t="s">
        <v>2957</v>
      </c>
      <c r="BP4" s="3592"/>
      <c r="BQ4" s="3592" t="e">
        <v>#DIV/0!</v>
      </c>
      <c r="BR4" s="3592" t="e">
        <v>#DIV/0!</v>
      </c>
      <c r="BS4" s="3613" t="s">
        <v>3056</v>
      </c>
      <c r="BT4" s="3613" t="s">
        <v>3282</v>
      </c>
      <c r="BU4" s="3561"/>
    </row>
    <row r="5" spans="1:73" s="3575" customFormat="1" ht="12" customHeight="1">
      <c r="A5" s="3604" t="s">
        <v>3318</v>
      </c>
      <c r="B5" s="3594" t="s">
        <v>3297</v>
      </c>
      <c r="C5" s="3596" t="s">
        <v>3298</v>
      </c>
      <c r="D5" s="3596">
        <v>15910397509</v>
      </c>
      <c r="E5" s="3594" t="s">
        <v>2293</v>
      </c>
      <c r="F5" s="3597" t="s">
        <v>3276</v>
      </c>
      <c r="G5" s="3594"/>
      <c r="H5" s="3594" t="s">
        <v>3299</v>
      </c>
      <c r="I5" s="3596"/>
      <c r="J5" s="3596" t="s">
        <v>3300</v>
      </c>
      <c r="K5" s="3596" t="s">
        <v>3301</v>
      </c>
      <c r="L5" s="3594">
        <v>53.72</v>
      </c>
      <c r="M5" s="3594">
        <v>2</v>
      </c>
      <c r="N5" s="3594" t="s">
        <v>3293</v>
      </c>
      <c r="O5" s="3594"/>
      <c r="P5" s="3594" t="s">
        <v>3281</v>
      </c>
      <c r="Q5" s="3598">
        <v>302000</v>
      </c>
      <c r="R5" s="3594">
        <v>5622</v>
      </c>
      <c r="S5" s="3599">
        <v>30.02</v>
      </c>
      <c r="T5" s="3600">
        <v>300200</v>
      </c>
      <c r="U5" s="3594">
        <v>5590</v>
      </c>
      <c r="V5" s="3601">
        <v>0.2</v>
      </c>
      <c r="W5" s="3602">
        <v>24.01</v>
      </c>
      <c r="X5" s="3603">
        <v>240100.00000000003</v>
      </c>
      <c r="Y5" s="3592">
        <v>2008</v>
      </c>
      <c r="Z5" s="3592">
        <v>5</v>
      </c>
      <c r="AA5" s="3594">
        <v>27</v>
      </c>
      <c r="AB5" s="3594">
        <v>900</v>
      </c>
      <c r="AC5" s="3594" t="s">
        <v>3282</v>
      </c>
      <c r="AD5" s="3604">
        <v>91092008050003</v>
      </c>
      <c r="AE5" s="3592" t="s">
        <v>192</v>
      </c>
      <c r="AF5" s="3594" t="s">
        <v>1719</v>
      </c>
      <c r="AG5" s="1745" t="s">
        <v>1720</v>
      </c>
      <c r="AH5" s="3604"/>
      <c r="AI5" s="3594" t="s">
        <v>2963</v>
      </c>
      <c r="AJ5" s="3594"/>
      <c r="AK5" s="3606" t="s">
        <v>3302</v>
      </c>
      <c r="AL5" s="3592">
        <v>29</v>
      </c>
      <c r="AM5" s="3592" t="s">
        <v>3303</v>
      </c>
      <c r="AN5" s="3605" t="s">
        <v>3302</v>
      </c>
      <c r="AO5" s="3592" t="s">
        <v>1439</v>
      </c>
      <c r="AP5" s="3592" t="s">
        <v>3294</v>
      </c>
      <c r="AQ5" s="3594" t="s">
        <v>3285</v>
      </c>
      <c r="AR5" s="3594">
        <v>2008</v>
      </c>
      <c r="AS5" s="3592">
        <v>5</v>
      </c>
      <c r="AT5" s="3594">
        <v>27</v>
      </c>
      <c r="AU5" s="3594"/>
      <c r="AV5" s="3592"/>
      <c r="AW5" s="3594" t="s">
        <v>3304</v>
      </c>
      <c r="AX5" s="3594"/>
      <c r="AY5" s="3607"/>
      <c r="AZ5" s="3594"/>
      <c r="BA5" s="3592"/>
      <c r="BB5" s="3608"/>
      <c r="BC5" s="3592"/>
      <c r="BD5" s="3609"/>
      <c r="BE5" s="3592"/>
      <c r="BF5" s="3610"/>
      <c r="BG5" s="3611">
        <v>39572</v>
      </c>
      <c r="BH5" s="3592"/>
      <c r="BI5" s="3592" t="s">
        <v>3294</v>
      </c>
      <c r="BJ5" s="3612">
        <v>39572</v>
      </c>
      <c r="BK5" s="3611"/>
      <c r="BL5" s="3594" t="s">
        <v>2953</v>
      </c>
      <c r="BM5" s="3592" t="s">
        <v>1483</v>
      </c>
      <c r="BN5" s="3592" t="s">
        <v>2966</v>
      </c>
      <c r="BO5" s="3592" t="s">
        <v>2957</v>
      </c>
      <c r="BP5" s="3592"/>
      <c r="BQ5" s="3592" t="e">
        <v>#DIV/0!</v>
      </c>
      <c r="BR5" s="3592" t="e">
        <v>#DIV/0!</v>
      </c>
      <c r="BS5" s="3613" t="s">
        <v>3056</v>
      </c>
      <c r="BT5" s="3613" t="s">
        <v>3282</v>
      </c>
      <c r="BU5" s="3561"/>
    </row>
    <row r="6" spans="1:73" s="3575" customFormat="1" ht="12" customHeight="1">
      <c r="A6" s="3604" t="s">
        <v>3305</v>
      </c>
      <c r="B6" s="3594" t="s">
        <v>3306</v>
      </c>
      <c r="C6" s="3596" t="s">
        <v>3307</v>
      </c>
      <c r="D6" s="3596" t="s">
        <v>3308</v>
      </c>
      <c r="E6" s="3594" t="s">
        <v>2293</v>
      </c>
      <c r="F6" s="3597" t="s">
        <v>3276</v>
      </c>
      <c r="G6" s="3594"/>
      <c r="H6" s="3594" t="s">
        <v>3309</v>
      </c>
      <c r="I6" s="3596"/>
      <c r="J6" s="3596" t="s">
        <v>3310</v>
      </c>
      <c r="K6" s="3594" t="s">
        <v>3311</v>
      </c>
      <c r="L6" s="3594">
        <v>63.08</v>
      </c>
      <c r="M6" s="3594">
        <v>2</v>
      </c>
      <c r="N6" s="3594" t="s">
        <v>3293</v>
      </c>
      <c r="O6" s="3594"/>
      <c r="P6" s="3594" t="s">
        <v>3281</v>
      </c>
      <c r="Q6" s="3598">
        <v>305000</v>
      </c>
      <c r="R6" s="3594">
        <v>4835</v>
      </c>
      <c r="S6" s="3599">
        <v>33.43</v>
      </c>
      <c r="T6" s="3600">
        <v>334300</v>
      </c>
      <c r="U6" s="3594">
        <v>5300</v>
      </c>
      <c r="V6" s="3601">
        <v>0.2</v>
      </c>
      <c r="W6" s="3602">
        <v>26.74</v>
      </c>
      <c r="X6" s="3603">
        <v>267400</v>
      </c>
      <c r="Y6" s="3594">
        <v>2008</v>
      </c>
      <c r="Z6" s="3592">
        <v>12</v>
      </c>
      <c r="AA6" s="3594">
        <v>2</v>
      </c>
      <c r="AB6" s="3592">
        <v>1000</v>
      </c>
      <c r="AC6" s="3594" t="s">
        <v>3312</v>
      </c>
      <c r="AD6" s="3604"/>
      <c r="AE6" s="3592" t="s">
        <v>3294</v>
      </c>
      <c r="AF6" s="3594" t="s">
        <v>1719</v>
      </c>
      <c r="AG6" s="1745" t="s">
        <v>1720</v>
      </c>
      <c r="AH6" s="3604"/>
      <c r="AI6" s="3594" t="s">
        <v>2963</v>
      </c>
      <c r="AJ6" s="3594"/>
      <c r="AK6" s="3594" t="s">
        <v>3313</v>
      </c>
      <c r="AL6" s="3592">
        <v>35</v>
      </c>
      <c r="AM6" s="3592" t="s">
        <v>3314</v>
      </c>
      <c r="AN6" s="3605" t="s">
        <v>3233</v>
      </c>
      <c r="AO6" s="3594"/>
      <c r="AP6" s="3594" t="s">
        <v>3294</v>
      </c>
      <c r="AQ6" s="3594" t="s">
        <v>3285</v>
      </c>
      <c r="AR6" s="3592"/>
      <c r="AS6" s="3592"/>
      <c r="AT6" s="3592"/>
      <c r="AU6" s="3592"/>
      <c r="AV6" s="3592"/>
      <c r="AW6" s="3592" t="s">
        <v>2978</v>
      </c>
      <c r="AX6" s="3594"/>
      <c r="AY6" s="3607"/>
      <c r="AZ6" s="3594" t="s">
        <v>3311</v>
      </c>
      <c r="BA6" s="3592"/>
      <c r="BB6" s="3608"/>
      <c r="BC6" s="3592"/>
      <c r="BD6" s="3609"/>
      <c r="BE6" s="3592"/>
      <c r="BF6" s="3610"/>
      <c r="BG6" s="3611">
        <v>39779</v>
      </c>
      <c r="BH6" s="3592"/>
      <c r="BI6" s="3592" t="s">
        <v>3294</v>
      </c>
      <c r="BJ6" s="3612"/>
      <c r="BK6" s="3611"/>
      <c r="BL6" s="3594" t="s">
        <v>2953</v>
      </c>
      <c r="BM6" s="3592" t="s">
        <v>1483</v>
      </c>
      <c r="BN6" s="3592" t="s">
        <v>2966</v>
      </c>
      <c r="BO6" s="3592" t="s">
        <v>2957</v>
      </c>
      <c r="BP6" s="3592"/>
      <c r="BQ6" s="3592" t="e">
        <v>#DIV/0!</v>
      </c>
      <c r="BR6" s="3592" t="e">
        <v>#DIV/0!</v>
      </c>
      <c r="BS6" s="3613" t="s">
        <v>3056</v>
      </c>
      <c r="BT6" s="3613" t="s">
        <v>3315</v>
      </c>
      <c r="BU6" s="3561"/>
    </row>
    <row r="8" spans="1:73" s="3568" customFormat="1" ht="12">
      <c r="A8" s="3559"/>
      <c r="B8" s="3566"/>
      <c r="C8" s="3559"/>
      <c r="D8" s="3559"/>
      <c r="E8" s="3559"/>
      <c r="F8" s="3559"/>
      <c r="G8" s="3559"/>
      <c r="H8" s="3559"/>
      <c r="I8" s="3559" t="s">
        <v>3161</v>
      </c>
      <c r="J8" s="3559" t="s">
        <v>3162</v>
      </c>
      <c r="K8" s="3559" t="s">
        <v>3163</v>
      </c>
      <c r="L8" s="3559" t="s">
        <v>3161</v>
      </c>
      <c r="M8" s="3559" t="s">
        <v>3162</v>
      </c>
      <c r="N8" s="3559" t="s">
        <v>3163</v>
      </c>
      <c r="O8" s="3559" t="s">
        <v>3161</v>
      </c>
      <c r="P8" s="3559" t="s">
        <v>3162</v>
      </c>
      <c r="Q8" s="3559" t="s">
        <v>3163</v>
      </c>
      <c r="R8" s="3559"/>
      <c r="S8" s="3559" t="s">
        <v>3161</v>
      </c>
      <c r="T8" s="3559" t="s">
        <v>3162</v>
      </c>
      <c r="U8" s="3559" t="s">
        <v>3163</v>
      </c>
      <c r="V8" s="3559"/>
      <c r="W8" s="3559" t="s">
        <v>3164</v>
      </c>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67"/>
      <c r="AT8" s="3559"/>
      <c r="AU8" s="3559"/>
      <c r="AV8" s="3559"/>
      <c r="AW8" s="3559"/>
      <c r="AX8" s="3559"/>
      <c r="AY8" s="3559"/>
      <c r="AZ8" s="3559"/>
      <c r="BA8" s="3559"/>
      <c r="BB8" s="3559"/>
      <c r="BC8" s="3559" t="s">
        <v>3165</v>
      </c>
      <c r="BD8" s="3559"/>
      <c r="BE8" s="3559"/>
      <c r="BF8" s="3559"/>
      <c r="BG8" s="3559"/>
      <c r="BH8" s="3559"/>
      <c r="BI8" s="3559"/>
      <c r="BJ8" s="3559"/>
      <c r="BK8" s="3559"/>
    </row>
    <row r="9" spans="1:73" s="3568" customFormat="1" ht="12">
      <c r="A9" s="3569" t="s">
        <v>2182</v>
      </c>
      <c r="B9" s="3570" t="s">
        <v>3166</v>
      </c>
      <c r="C9" s="3569" t="s">
        <v>1579</v>
      </c>
      <c r="D9" s="3569" t="s">
        <v>1582</v>
      </c>
      <c r="E9" s="3569" t="s">
        <v>3167</v>
      </c>
      <c r="F9" s="3569" t="s">
        <v>3168</v>
      </c>
      <c r="G9" s="3569" t="s">
        <v>3169</v>
      </c>
      <c r="H9" s="3569" t="s">
        <v>3170</v>
      </c>
      <c r="I9" s="3569" t="s">
        <v>3171</v>
      </c>
      <c r="J9" s="3569" t="s">
        <v>3171</v>
      </c>
      <c r="K9" s="3569" t="s">
        <v>3171</v>
      </c>
      <c r="L9" s="3569" t="s">
        <v>3172</v>
      </c>
      <c r="M9" s="3569" t="s">
        <v>3172</v>
      </c>
      <c r="N9" s="3569" t="s">
        <v>3172</v>
      </c>
      <c r="O9" s="3569" t="s">
        <v>3173</v>
      </c>
      <c r="P9" s="3569" t="s">
        <v>3173</v>
      </c>
      <c r="Q9" s="3569" t="s">
        <v>3173</v>
      </c>
      <c r="R9" s="3569" t="s">
        <v>3174</v>
      </c>
      <c r="S9" s="3569" t="s">
        <v>3175</v>
      </c>
      <c r="T9" s="3569" t="s">
        <v>3175</v>
      </c>
      <c r="U9" s="3569" t="s">
        <v>3175</v>
      </c>
      <c r="V9" s="3569" t="s">
        <v>3176</v>
      </c>
      <c r="W9" s="3569" t="s">
        <v>3177</v>
      </c>
      <c r="X9" s="3569" t="s">
        <v>3178</v>
      </c>
      <c r="Y9" s="3569" t="s">
        <v>3179</v>
      </c>
      <c r="Z9" s="3569" t="s">
        <v>3180</v>
      </c>
      <c r="AA9" s="3569" t="s">
        <v>3181</v>
      </c>
      <c r="AB9" s="3569" t="s">
        <v>3182</v>
      </c>
      <c r="AC9" s="3569" t="s">
        <v>3183</v>
      </c>
      <c r="AD9" s="3569" t="s">
        <v>2104</v>
      </c>
      <c r="AE9" s="3569" t="s">
        <v>344</v>
      </c>
      <c r="AF9" s="3569" t="s">
        <v>3184</v>
      </c>
      <c r="AG9" s="3569" t="s">
        <v>3185</v>
      </c>
      <c r="AH9" s="3569" t="s">
        <v>3186</v>
      </c>
      <c r="AI9" s="3569" t="s">
        <v>3187</v>
      </c>
      <c r="AJ9" s="3569" t="s">
        <v>1524</v>
      </c>
      <c r="AK9" s="3569" t="s">
        <v>3188</v>
      </c>
      <c r="AL9" s="3569" t="s">
        <v>3189</v>
      </c>
      <c r="AM9" s="3569" t="s">
        <v>3190</v>
      </c>
      <c r="AN9" s="3569" t="s">
        <v>3191</v>
      </c>
      <c r="AO9" s="3569" t="s">
        <v>3192</v>
      </c>
      <c r="AP9" s="3569" t="s">
        <v>3193</v>
      </c>
      <c r="AQ9" s="3569" t="s">
        <v>3194</v>
      </c>
      <c r="AR9" s="3569" t="s">
        <v>3195</v>
      </c>
      <c r="AS9" s="3571" t="s">
        <v>3196</v>
      </c>
      <c r="AT9" s="3569" t="s">
        <v>3197</v>
      </c>
      <c r="AU9" s="3569" t="s">
        <v>3198</v>
      </c>
      <c r="AV9" s="3569" t="s">
        <v>3199</v>
      </c>
      <c r="AW9" s="3569" t="s">
        <v>3200</v>
      </c>
      <c r="AX9" s="3569" t="s">
        <v>3201</v>
      </c>
      <c r="AY9" s="3569" t="s">
        <v>3202</v>
      </c>
      <c r="AZ9" s="3569" t="s">
        <v>3203</v>
      </c>
      <c r="BA9" s="3569" t="s">
        <v>3204</v>
      </c>
      <c r="BB9" s="3569" t="s">
        <v>3205</v>
      </c>
      <c r="BC9" s="3569" t="s">
        <v>1618</v>
      </c>
      <c r="BD9" s="3569" t="s">
        <v>1600</v>
      </c>
      <c r="BE9" s="3569" t="s">
        <v>1601</v>
      </c>
      <c r="BF9" s="3569" t="s">
        <v>1614</v>
      </c>
      <c r="BG9" s="3569" t="s">
        <v>3206</v>
      </c>
      <c r="BH9" s="3569" t="s">
        <v>3319</v>
      </c>
      <c r="BI9" s="3569" t="s">
        <v>3320</v>
      </c>
      <c r="BJ9" s="3569" t="s">
        <v>3207</v>
      </c>
      <c r="BK9" s="3569" t="s">
        <v>3321</v>
      </c>
    </row>
    <row r="10" spans="1:73" s="3575" customFormat="1" ht="12" customHeight="1">
      <c r="A10" s="3574" t="s">
        <v>3273</v>
      </c>
      <c r="B10" s="3573" t="s">
        <v>3322</v>
      </c>
      <c r="C10" s="3574" t="s">
        <v>2293</v>
      </c>
      <c r="D10" s="3574" t="s">
        <v>3323</v>
      </c>
      <c r="E10" s="3574"/>
      <c r="F10" s="3572" t="s">
        <v>3221</v>
      </c>
      <c r="G10" s="3572" t="s">
        <v>3324</v>
      </c>
      <c r="H10" s="3574" t="s">
        <v>3325</v>
      </c>
      <c r="I10" s="3574" t="s">
        <v>3208</v>
      </c>
      <c r="J10" s="3572" t="s">
        <v>3326</v>
      </c>
      <c r="K10" s="3572" t="s">
        <v>3231</v>
      </c>
      <c r="L10" s="3574" t="s">
        <v>3327</v>
      </c>
      <c r="M10" s="3574" t="s">
        <v>3222</v>
      </c>
      <c r="N10" s="3574" t="s">
        <v>3222</v>
      </c>
      <c r="O10" s="3572" t="s">
        <v>3328</v>
      </c>
      <c r="P10" s="3574" t="s">
        <v>3329</v>
      </c>
      <c r="Q10" s="3572" t="s">
        <v>3329</v>
      </c>
      <c r="R10" s="3572" t="s">
        <v>3223</v>
      </c>
      <c r="S10" s="3574"/>
      <c r="T10" s="3572" t="s">
        <v>3330</v>
      </c>
      <c r="U10" s="3572" t="s">
        <v>3331</v>
      </c>
      <c r="V10" s="3574"/>
      <c r="W10" s="3574"/>
      <c r="X10" s="3572" t="s">
        <v>3224</v>
      </c>
      <c r="Y10" s="3574"/>
      <c r="Z10" s="3572" t="s">
        <v>3225</v>
      </c>
      <c r="AA10" s="3572" t="s">
        <v>3210</v>
      </c>
      <c r="AB10" s="3572" t="s">
        <v>3226</v>
      </c>
      <c r="AC10" s="3574" t="s">
        <v>3211</v>
      </c>
      <c r="AD10" s="3572" t="s">
        <v>3227</v>
      </c>
      <c r="AE10" s="3572" t="s">
        <v>3332</v>
      </c>
      <c r="AF10" s="3574"/>
      <c r="AG10" s="3574" t="s">
        <v>3333</v>
      </c>
      <c r="AH10" s="3572" t="s">
        <v>3334</v>
      </c>
      <c r="AI10" s="3572" t="s">
        <v>3335</v>
      </c>
      <c r="AJ10" s="3574" t="s">
        <v>3336</v>
      </c>
      <c r="AK10" s="3572" t="s">
        <v>3337</v>
      </c>
      <c r="AL10" s="3574" t="s">
        <v>3338</v>
      </c>
      <c r="AM10" s="3572" t="s">
        <v>3339</v>
      </c>
      <c r="AN10" s="3572" t="s">
        <v>3340</v>
      </c>
      <c r="AO10" s="3572" t="s">
        <v>3341</v>
      </c>
      <c r="AP10" s="3574" t="s">
        <v>3342</v>
      </c>
      <c r="AQ10" s="3572" t="s">
        <v>3216</v>
      </c>
      <c r="AR10" s="3572" t="s">
        <v>3217</v>
      </c>
      <c r="AS10" s="3574"/>
      <c r="AT10" s="3574"/>
      <c r="AU10" s="3572" t="s">
        <v>3343</v>
      </c>
      <c r="AV10" s="3572" t="s">
        <v>1496</v>
      </c>
      <c r="AW10" s="3572" t="s">
        <v>3228</v>
      </c>
      <c r="AX10" s="3572" t="s">
        <v>236</v>
      </c>
      <c r="AY10" s="3572" t="s">
        <v>3218</v>
      </c>
      <c r="AZ10" s="3572" t="s">
        <v>1496</v>
      </c>
      <c r="BA10" s="3572" t="s">
        <v>3344</v>
      </c>
      <c r="BB10" s="3572"/>
      <c r="BC10" s="3572">
        <v>2008</v>
      </c>
      <c r="BD10" s="3572">
        <v>4</v>
      </c>
      <c r="BE10" s="3572">
        <v>8</v>
      </c>
      <c r="BF10" s="3572" t="s">
        <v>3345</v>
      </c>
      <c r="BG10" s="3572" t="s">
        <v>3285</v>
      </c>
      <c r="BH10" s="3572">
        <v>1989</v>
      </c>
      <c r="BI10" s="3574" t="s">
        <v>3230</v>
      </c>
      <c r="BJ10" s="3574" t="s">
        <v>3346</v>
      </c>
      <c r="BK10" s="3574" t="s">
        <v>3347</v>
      </c>
    </row>
    <row r="11" spans="1:73" s="3575" customFormat="1" ht="12" customHeight="1">
      <c r="A11" s="3574" t="s">
        <v>3288</v>
      </c>
      <c r="B11" s="3573" t="s">
        <v>3348</v>
      </c>
      <c r="C11" s="3574" t="s">
        <v>2293</v>
      </c>
      <c r="D11" s="3574" t="s">
        <v>3349</v>
      </c>
      <c r="E11" s="3574"/>
      <c r="F11" s="3572" t="s">
        <v>3221</v>
      </c>
      <c r="G11" s="3572" t="s">
        <v>3350</v>
      </c>
      <c r="H11" s="3574" t="s">
        <v>3351</v>
      </c>
      <c r="I11" s="3574" t="s">
        <v>3352</v>
      </c>
      <c r="J11" s="3574" t="s">
        <v>3232</v>
      </c>
      <c r="K11" s="3574" t="s">
        <v>3353</v>
      </c>
      <c r="L11" s="3574" t="s">
        <v>3352</v>
      </c>
      <c r="M11" s="3574" t="s">
        <v>3222</v>
      </c>
      <c r="N11" s="3574" t="s">
        <v>3222</v>
      </c>
      <c r="O11" s="3572" t="s">
        <v>3354</v>
      </c>
      <c r="P11" s="3574" t="s">
        <v>3329</v>
      </c>
      <c r="Q11" s="3572" t="s">
        <v>3329</v>
      </c>
      <c r="R11" s="3572" t="s">
        <v>3223</v>
      </c>
      <c r="S11" s="3574"/>
      <c r="T11" s="3572" t="s">
        <v>3330</v>
      </c>
      <c r="U11" s="3572" t="s">
        <v>3331</v>
      </c>
      <c r="V11" s="3574"/>
      <c r="W11" s="3574"/>
      <c r="X11" s="3572" t="s">
        <v>3224</v>
      </c>
      <c r="Y11" s="3574"/>
      <c r="Z11" s="3572" t="s">
        <v>3225</v>
      </c>
      <c r="AA11" s="3572" t="s">
        <v>3210</v>
      </c>
      <c r="AB11" s="3572" t="s">
        <v>3226</v>
      </c>
      <c r="AC11" s="3574" t="s">
        <v>3211</v>
      </c>
      <c r="AD11" s="3572" t="s">
        <v>3227</v>
      </c>
      <c r="AE11" s="3572" t="s">
        <v>3332</v>
      </c>
      <c r="AF11" s="3574"/>
      <c r="AG11" s="3574" t="s">
        <v>3212</v>
      </c>
      <c r="AH11" s="3572" t="s">
        <v>3355</v>
      </c>
      <c r="AI11" s="3572" t="s">
        <v>3214</v>
      </c>
      <c r="AJ11" s="3574" t="s">
        <v>3336</v>
      </c>
      <c r="AK11" s="3572" t="s">
        <v>3337</v>
      </c>
      <c r="AL11" s="3574" t="s">
        <v>3356</v>
      </c>
      <c r="AM11" s="3572" t="s">
        <v>3357</v>
      </c>
      <c r="AN11" s="3572" t="s">
        <v>3340</v>
      </c>
      <c r="AO11" s="3572" t="s">
        <v>3341</v>
      </c>
      <c r="AP11" s="3574" t="s">
        <v>3358</v>
      </c>
      <c r="AQ11" s="3572" t="s">
        <v>3216</v>
      </c>
      <c r="AR11" s="3572" t="s">
        <v>3217</v>
      </c>
      <c r="AS11" s="3574"/>
      <c r="AT11" s="3574"/>
      <c r="AU11" s="3572" t="s">
        <v>3343</v>
      </c>
      <c r="AV11" s="3572" t="s">
        <v>1496</v>
      </c>
      <c r="AW11" s="3572" t="s">
        <v>3228</v>
      </c>
      <c r="AX11" s="3572" t="s">
        <v>236</v>
      </c>
      <c r="AY11" s="3572" t="s">
        <v>3218</v>
      </c>
      <c r="AZ11" s="3572" t="s">
        <v>1496</v>
      </c>
      <c r="BA11" s="3572" t="s">
        <v>3294</v>
      </c>
      <c r="BB11" s="3572"/>
      <c r="BC11" s="3572">
        <v>2008</v>
      </c>
      <c r="BD11" s="3572">
        <v>4</v>
      </c>
      <c r="BE11" s="3572">
        <v>11</v>
      </c>
      <c r="BF11" s="3572" t="s">
        <v>3359</v>
      </c>
      <c r="BG11" s="3572" t="s">
        <v>3285</v>
      </c>
      <c r="BH11" s="3572">
        <v>1989</v>
      </c>
      <c r="BI11" s="3574" t="s">
        <v>3230</v>
      </c>
      <c r="BJ11" s="3574" t="s">
        <v>3360</v>
      </c>
      <c r="BK11" s="3574" t="s">
        <v>3361</v>
      </c>
    </row>
    <row r="12" spans="1:73" s="3575" customFormat="1" ht="12" customHeight="1">
      <c r="A12" s="3576" t="s">
        <v>3296</v>
      </c>
      <c r="B12" s="3573" t="s">
        <v>3322</v>
      </c>
      <c r="C12" s="3574" t="s">
        <v>2293</v>
      </c>
      <c r="D12" s="3574" t="s">
        <v>3362</v>
      </c>
      <c r="E12" s="3574"/>
      <c r="F12" s="3572" t="s">
        <v>3221</v>
      </c>
      <c r="G12" s="3572" t="s">
        <v>3363</v>
      </c>
      <c r="H12" s="3574" t="s">
        <v>3364</v>
      </c>
      <c r="I12" s="3574" t="s">
        <v>3208</v>
      </c>
      <c r="J12" s="3572" t="s">
        <v>3365</v>
      </c>
      <c r="K12" s="3572" t="s">
        <v>3365</v>
      </c>
      <c r="L12" s="3574" t="s">
        <v>3209</v>
      </c>
      <c r="M12" s="3574" t="s">
        <v>3222</v>
      </c>
      <c r="N12" s="3574" t="s">
        <v>3222</v>
      </c>
      <c r="O12" s="3574" t="s">
        <v>3329</v>
      </c>
      <c r="P12" s="3574" t="s">
        <v>3329</v>
      </c>
      <c r="Q12" s="3572" t="s">
        <v>3329</v>
      </c>
      <c r="R12" s="3572" t="s">
        <v>3223</v>
      </c>
      <c r="S12" s="3574"/>
      <c r="T12" s="3574" t="s">
        <v>3366</v>
      </c>
      <c r="U12" s="3572" t="s">
        <v>3331</v>
      </c>
      <c r="V12" s="3574"/>
      <c r="W12" s="3574"/>
      <c r="X12" s="3572" t="s">
        <v>3224</v>
      </c>
      <c r="Y12" s="3574"/>
      <c r="Z12" s="3572" t="s">
        <v>3225</v>
      </c>
      <c r="AA12" s="3572" t="s">
        <v>3210</v>
      </c>
      <c r="AB12" s="3572" t="s">
        <v>3226</v>
      </c>
      <c r="AC12" s="3574" t="s">
        <v>3211</v>
      </c>
      <c r="AD12" s="3572" t="s">
        <v>3227</v>
      </c>
      <c r="AE12" s="3572" t="s">
        <v>3332</v>
      </c>
      <c r="AF12" s="3572"/>
      <c r="AG12" s="3574" t="s">
        <v>3212</v>
      </c>
      <c r="AH12" s="3572" t="s">
        <v>3213</v>
      </c>
      <c r="AI12" s="3572" t="s">
        <v>3214</v>
      </c>
      <c r="AJ12" s="3574" t="s">
        <v>3336</v>
      </c>
      <c r="AK12" s="3572" t="s">
        <v>3215</v>
      </c>
      <c r="AL12" s="3574" t="s">
        <v>3367</v>
      </c>
      <c r="AM12" s="3572" t="s">
        <v>3368</v>
      </c>
      <c r="AN12" s="3572" t="s">
        <v>3369</v>
      </c>
      <c r="AO12" s="3572" t="s">
        <v>3370</v>
      </c>
      <c r="AP12" s="3574" t="s">
        <v>3358</v>
      </c>
      <c r="AQ12" s="3572" t="s">
        <v>3216</v>
      </c>
      <c r="AR12" s="3572" t="s">
        <v>3217</v>
      </c>
      <c r="AS12" s="3574"/>
      <c r="AT12" s="3574"/>
      <c r="AU12" s="3572" t="s">
        <v>3343</v>
      </c>
      <c r="AV12" s="3572" t="s">
        <v>3371</v>
      </c>
      <c r="AW12" s="3572" t="s">
        <v>3371</v>
      </c>
      <c r="AX12" s="3572" t="s">
        <v>3219</v>
      </c>
      <c r="AY12" s="3572" t="s">
        <v>3371</v>
      </c>
      <c r="AZ12" s="3572" t="s">
        <v>3372</v>
      </c>
      <c r="BA12" s="3572" t="s">
        <v>3294</v>
      </c>
      <c r="BB12" s="3572"/>
      <c r="BC12" s="3572">
        <v>2008</v>
      </c>
      <c r="BD12" s="3572">
        <v>5</v>
      </c>
      <c r="BE12" s="3572">
        <v>6</v>
      </c>
      <c r="BF12" s="3572" t="s">
        <v>3233</v>
      </c>
      <c r="BG12" s="3572" t="s">
        <v>2965</v>
      </c>
      <c r="BH12" s="3572">
        <v>1987</v>
      </c>
      <c r="BI12" s="3574" t="s">
        <v>3230</v>
      </c>
      <c r="BJ12" s="3574" t="s">
        <v>3373</v>
      </c>
      <c r="BK12" s="3574" t="s">
        <v>3374</v>
      </c>
    </row>
    <row r="13" spans="1:73" s="3575" customFormat="1" ht="12.75" customHeight="1">
      <c r="A13" s="3576" t="s">
        <v>3393</v>
      </c>
      <c r="B13" s="3573" t="s">
        <v>3394</v>
      </c>
      <c r="C13" s="3574" t="s">
        <v>2293</v>
      </c>
      <c r="D13" s="3574" t="s">
        <v>3395</v>
      </c>
      <c r="E13" s="3574"/>
      <c r="F13" s="3572" t="s">
        <v>3221</v>
      </c>
      <c r="G13" s="3572" t="s">
        <v>3396</v>
      </c>
      <c r="H13" s="3574" t="s">
        <v>3397</v>
      </c>
      <c r="I13" s="3574" t="s">
        <v>3398</v>
      </c>
      <c r="J13" s="3574" t="s">
        <v>3399</v>
      </c>
      <c r="K13" s="3574" t="s">
        <v>3398</v>
      </c>
      <c r="L13" s="3574" t="s">
        <v>3400</v>
      </c>
      <c r="M13" s="3574" t="s">
        <v>3222</v>
      </c>
      <c r="N13" s="3574" t="s">
        <v>3222</v>
      </c>
      <c r="O13" s="3572" t="s">
        <v>3401</v>
      </c>
      <c r="P13" s="3574" t="s">
        <v>3329</v>
      </c>
      <c r="Q13" s="3572" t="s">
        <v>3329</v>
      </c>
      <c r="R13" s="3572" t="s">
        <v>3223</v>
      </c>
      <c r="S13" s="3574"/>
      <c r="T13" s="3572" t="s">
        <v>3402</v>
      </c>
      <c r="U13" s="3572" t="s">
        <v>3331</v>
      </c>
      <c r="V13" s="3574"/>
      <c r="W13" s="3574"/>
      <c r="X13" s="3572" t="s">
        <v>3224</v>
      </c>
      <c r="Y13" s="3574"/>
      <c r="Z13" s="3572" t="s">
        <v>3225</v>
      </c>
      <c r="AA13" s="3572" t="s">
        <v>3210</v>
      </c>
      <c r="AB13" s="3572" t="s">
        <v>3226</v>
      </c>
      <c r="AC13" s="3574" t="s">
        <v>3211</v>
      </c>
      <c r="AD13" s="3572" t="s">
        <v>3227</v>
      </c>
      <c r="AE13" s="3572" t="s">
        <v>3332</v>
      </c>
      <c r="AF13" s="3574"/>
      <c r="AG13" s="3574" t="s">
        <v>3403</v>
      </c>
      <c r="AH13" s="3572" t="s">
        <v>3404</v>
      </c>
      <c r="AI13" s="3572" t="s">
        <v>3405</v>
      </c>
      <c r="AJ13" s="3574" t="s">
        <v>3336</v>
      </c>
      <c r="AK13" s="3572" t="s">
        <v>3337</v>
      </c>
      <c r="AL13" s="3574" t="s">
        <v>3406</v>
      </c>
      <c r="AM13" s="3572" t="s">
        <v>3407</v>
      </c>
      <c r="AN13" s="3572" t="s">
        <v>3408</v>
      </c>
      <c r="AO13" s="3572" t="s">
        <v>3409</v>
      </c>
      <c r="AP13" s="3574" t="s">
        <v>3410</v>
      </c>
      <c r="AQ13" s="3572" t="s">
        <v>3216</v>
      </c>
      <c r="AR13" s="3572" t="s">
        <v>3217</v>
      </c>
      <c r="AS13" s="3574"/>
      <c r="AT13" s="3574"/>
      <c r="AU13" s="3572" t="s">
        <v>3343</v>
      </c>
      <c r="AV13" s="3572" t="s">
        <v>1496</v>
      </c>
      <c r="AW13" s="3572" t="s">
        <v>3228</v>
      </c>
      <c r="AX13" s="3572" t="s">
        <v>236</v>
      </c>
      <c r="AY13" s="3572" t="s">
        <v>3218</v>
      </c>
      <c r="AZ13" s="3572" t="s">
        <v>1496</v>
      </c>
      <c r="BA13" s="3572" t="s">
        <v>3411</v>
      </c>
      <c r="BB13" s="3572"/>
      <c r="BC13" s="3572">
        <v>2008</v>
      </c>
      <c r="BD13" s="3572">
        <v>12</v>
      </c>
      <c r="BE13" s="3572">
        <v>2</v>
      </c>
      <c r="BF13" s="3572" t="s">
        <v>3412</v>
      </c>
      <c r="BG13" s="3572" t="s">
        <v>3413</v>
      </c>
      <c r="BH13" s="3572">
        <v>1993</v>
      </c>
      <c r="BI13" s="3574" t="s">
        <v>3414</v>
      </c>
      <c r="BJ13" s="3574" t="s">
        <v>3415</v>
      </c>
      <c r="BK13" s="3574" t="s">
        <v>3416</v>
      </c>
    </row>
    <row r="14" spans="1:73" s="3575" customFormat="1" ht="12" customHeight="1">
      <c r="A14" s="3604"/>
      <c r="B14" s="3595"/>
      <c r="C14" s="3594"/>
      <c r="D14" s="3594"/>
      <c r="E14" s="3594"/>
      <c r="F14" s="3596"/>
      <c r="G14" s="3596"/>
      <c r="H14" s="3594"/>
      <c r="I14" s="3594"/>
      <c r="J14" s="3594"/>
      <c r="K14" s="3594"/>
      <c r="L14" s="3594"/>
      <c r="M14" s="3594"/>
      <c r="N14" s="3594"/>
      <c r="O14" s="3614"/>
      <c r="P14" s="3615"/>
      <c r="Q14" s="3616"/>
      <c r="R14" s="3617"/>
      <c r="S14" s="3594"/>
      <c r="T14" s="3596"/>
      <c r="U14" s="3596"/>
      <c r="V14" s="3594"/>
      <c r="W14" s="3594"/>
      <c r="X14" s="3596"/>
      <c r="Y14" s="3594"/>
      <c r="Z14" s="3596"/>
      <c r="AA14" s="3596"/>
      <c r="AB14" s="3596"/>
      <c r="AC14" s="3594"/>
      <c r="AD14" s="3596"/>
      <c r="AE14" s="3596"/>
      <c r="AF14" s="3594"/>
      <c r="AG14" s="3594"/>
      <c r="AH14" s="3596"/>
      <c r="AI14" s="3596"/>
      <c r="AJ14" s="3594"/>
      <c r="AK14" s="3596"/>
      <c r="AM14" s="3618"/>
      <c r="AN14" s="3618"/>
      <c r="AO14" s="3618"/>
      <c r="AQ14" s="3618"/>
      <c r="AR14" s="3618"/>
      <c r="AU14" s="3618"/>
      <c r="AV14" s="3618"/>
      <c r="AW14" s="3618"/>
      <c r="AX14" s="3618"/>
      <c r="AY14" s="3618"/>
      <c r="AZ14" s="3618"/>
      <c r="BA14" s="3618"/>
      <c r="BB14" s="3618"/>
      <c r="BC14" s="3618"/>
      <c r="BD14" s="3618"/>
      <c r="BE14" s="3618"/>
      <c r="BF14" s="3618"/>
      <c r="BG14" s="3618"/>
      <c r="BH14" s="3618"/>
    </row>
    <row r="15" spans="1:73" s="3579" customFormat="1" ht="12">
      <c r="A15" s="3559"/>
      <c r="B15" s="3559"/>
      <c r="C15" s="3566"/>
      <c r="D15" s="3559"/>
      <c r="E15" s="3559"/>
      <c r="F15" s="3559" t="s">
        <v>3234</v>
      </c>
      <c r="G15" s="3559"/>
      <c r="H15" s="3559"/>
      <c r="I15" s="3559"/>
      <c r="J15" s="3559"/>
      <c r="K15" s="3559"/>
      <c r="L15" s="3559"/>
      <c r="M15" s="3559"/>
      <c r="N15" s="3577"/>
      <c r="O15" s="3963" t="s">
        <v>3235</v>
      </c>
      <c r="P15" s="3964"/>
      <c r="Q15" s="3964"/>
      <c r="R15" s="3965"/>
      <c r="S15" s="3559"/>
      <c r="T15" s="3559"/>
      <c r="U15" s="3559"/>
      <c r="V15" s="3559"/>
      <c r="W15" s="3559" t="s">
        <v>3236</v>
      </c>
      <c r="X15" s="3559"/>
      <c r="Y15" s="3559"/>
      <c r="Z15" s="3559"/>
      <c r="AA15" s="3559"/>
      <c r="AB15" s="3559"/>
      <c r="AC15" s="3559"/>
      <c r="AD15" s="3559"/>
      <c r="AE15" s="3559"/>
      <c r="AF15" s="3559" t="s">
        <v>3165</v>
      </c>
      <c r="AG15" s="3559"/>
      <c r="AH15" s="3559"/>
      <c r="AI15" s="3559"/>
      <c r="AJ15" s="3578"/>
      <c r="AK15" s="3578"/>
    </row>
    <row r="16" spans="1:73" s="3579" customFormat="1" ht="12">
      <c r="A16" s="3569" t="s">
        <v>1615</v>
      </c>
      <c r="B16" s="3569" t="s">
        <v>3237</v>
      </c>
      <c r="C16" s="3570" t="s">
        <v>3238</v>
      </c>
      <c r="D16" s="3569" t="s">
        <v>3239</v>
      </c>
      <c r="E16" s="3569" t="s">
        <v>3240</v>
      </c>
      <c r="F16" s="3569" t="s">
        <v>3241</v>
      </c>
      <c r="G16" s="3569" t="s">
        <v>3242</v>
      </c>
      <c r="H16" s="3569" t="s">
        <v>3243</v>
      </c>
      <c r="I16" s="3569" t="s">
        <v>3244</v>
      </c>
      <c r="J16" s="3569" t="s">
        <v>3245</v>
      </c>
      <c r="K16" s="3569" t="s">
        <v>3158</v>
      </c>
      <c r="L16" s="3569" t="s">
        <v>3246</v>
      </c>
      <c r="M16" s="3569" t="s">
        <v>1608</v>
      </c>
      <c r="N16" s="3577" t="s">
        <v>3247</v>
      </c>
      <c r="O16" s="3577" t="s">
        <v>3248</v>
      </c>
      <c r="P16" s="3577" t="s">
        <v>3249</v>
      </c>
      <c r="Q16" s="3580" t="s">
        <v>3250</v>
      </c>
      <c r="R16" s="3558" t="s">
        <v>3251</v>
      </c>
      <c r="S16" s="3569" t="s">
        <v>1601</v>
      </c>
      <c r="T16" s="3569" t="s">
        <v>3252</v>
      </c>
      <c r="U16" s="3569" t="s">
        <v>1600</v>
      </c>
      <c r="V16" s="3569" t="s">
        <v>1601</v>
      </c>
      <c r="W16" s="3569" t="s">
        <v>3253</v>
      </c>
      <c r="X16" s="3569" t="s">
        <v>3254</v>
      </c>
      <c r="Y16" s="3569" t="s">
        <v>3255</v>
      </c>
      <c r="Z16" s="3569" t="s">
        <v>3256</v>
      </c>
      <c r="AA16" s="3569" t="s">
        <v>3257</v>
      </c>
      <c r="AB16" s="3569" t="s">
        <v>3258</v>
      </c>
      <c r="AC16" s="3569" t="s">
        <v>3259</v>
      </c>
      <c r="AD16" s="3569" t="s">
        <v>3260</v>
      </c>
      <c r="AE16" s="3569" t="s">
        <v>3261</v>
      </c>
      <c r="AF16" s="3569" t="s">
        <v>1618</v>
      </c>
      <c r="AG16" s="3569" t="s">
        <v>1600</v>
      </c>
      <c r="AH16" s="3569" t="s">
        <v>1601</v>
      </c>
      <c r="AI16" s="3569" t="s">
        <v>1614</v>
      </c>
      <c r="AJ16" s="3581" t="s">
        <v>3262</v>
      </c>
      <c r="AK16" s="3581" t="s">
        <v>3263</v>
      </c>
    </row>
    <row r="17" spans="1:37" s="3575" customFormat="1" ht="12" customHeight="1">
      <c r="A17" s="3574" t="s">
        <v>3273</v>
      </c>
      <c r="B17" s="3574" t="s">
        <v>3283</v>
      </c>
      <c r="C17" s="3573" t="s">
        <v>3375</v>
      </c>
      <c r="D17" s="3574"/>
      <c r="E17" s="3574" t="s">
        <v>3266</v>
      </c>
      <c r="F17" s="3574" t="s">
        <v>3376</v>
      </c>
      <c r="G17" s="3572" t="s">
        <v>3377</v>
      </c>
      <c r="H17" s="3574" t="s">
        <v>3264</v>
      </c>
      <c r="I17" s="3574">
        <v>6</v>
      </c>
      <c r="J17" s="3574" t="s">
        <v>3265</v>
      </c>
      <c r="K17" s="3574">
        <v>1989</v>
      </c>
      <c r="L17" s="3574"/>
      <c r="M17" s="3574"/>
      <c r="N17" s="3574"/>
      <c r="O17" s="3574"/>
      <c r="P17" s="3574"/>
      <c r="Q17" s="3574"/>
      <c r="R17" s="3574"/>
      <c r="S17" s="3574"/>
      <c r="T17" s="3574"/>
      <c r="U17" s="3574"/>
      <c r="V17" s="3574"/>
      <c r="W17" s="3574"/>
      <c r="X17" s="3574"/>
      <c r="Y17" s="3574"/>
      <c r="Z17" s="3574"/>
      <c r="AA17" s="3574"/>
      <c r="AB17" s="3574"/>
      <c r="AC17" s="3574"/>
      <c r="AD17" s="3574"/>
      <c r="AE17" s="3574" t="s">
        <v>3378</v>
      </c>
      <c r="AF17" s="3574">
        <v>2008</v>
      </c>
      <c r="AG17" s="3574">
        <v>4</v>
      </c>
      <c r="AH17" s="3574">
        <v>22</v>
      </c>
      <c r="AI17" s="3574" t="s">
        <v>3379</v>
      </c>
      <c r="AJ17" s="3574">
        <v>50</v>
      </c>
      <c r="AK17" s="3574">
        <f ca="1">AJ17-YEAR(TODAY())+K17</f>
        <v>15</v>
      </c>
    </row>
    <row r="18" spans="1:37" s="3575" customFormat="1" ht="12" customHeight="1">
      <c r="A18" s="3574" t="s">
        <v>3288</v>
      </c>
      <c r="B18" s="3574" t="s">
        <v>3380</v>
      </c>
      <c r="C18" s="3573" t="s">
        <v>3375</v>
      </c>
      <c r="D18" s="3574"/>
      <c r="E18" s="3574" t="s">
        <v>3266</v>
      </c>
      <c r="F18" s="3574" t="s">
        <v>3381</v>
      </c>
      <c r="G18" s="3574" t="s">
        <v>3382</v>
      </c>
      <c r="H18" s="3574" t="s">
        <v>3264</v>
      </c>
      <c r="I18" s="3574">
        <v>6</v>
      </c>
      <c r="J18" s="3574" t="s">
        <v>3265</v>
      </c>
      <c r="K18" s="3574">
        <v>1989</v>
      </c>
      <c r="L18" s="3574"/>
      <c r="M18" s="3574"/>
      <c r="N18" s="3574"/>
      <c r="O18" s="3574"/>
      <c r="P18" s="3574"/>
      <c r="Q18" s="3574"/>
      <c r="R18" s="3574"/>
      <c r="S18" s="3574"/>
      <c r="T18" s="3574"/>
      <c r="U18" s="3574"/>
      <c r="V18" s="3574"/>
      <c r="W18" s="3574"/>
      <c r="X18" s="3574"/>
      <c r="Y18" s="3574"/>
      <c r="Z18" s="3574"/>
      <c r="AA18" s="3574"/>
      <c r="AB18" s="3574"/>
      <c r="AC18" s="3574"/>
      <c r="AD18" s="3574"/>
      <c r="AE18" s="3574" t="s">
        <v>3378</v>
      </c>
      <c r="AF18" s="3574">
        <v>2008</v>
      </c>
      <c r="AG18" s="3574">
        <v>5</v>
      </c>
      <c r="AH18" s="3574">
        <v>4</v>
      </c>
      <c r="AI18" s="3574" t="s">
        <v>3383</v>
      </c>
      <c r="AJ18" s="3574">
        <v>50</v>
      </c>
      <c r="AK18" s="3574">
        <f ca="1">AJ18-YEAR(TODAY())+K18</f>
        <v>15</v>
      </c>
    </row>
    <row r="19" spans="1:37" s="3575" customFormat="1" ht="12" customHeight="1">
      <c r="A19" s="3576" t="s">
        <v>3296</v>
      </c>
      <c r="B19" s="3586" t="s">
        <v>3303</v>
      </c>
      <c r="C19" s="3573" t="s">
        <v>3384</v>
      </c>
      <c r="D19" s="3574"/>
      <c r="E19" s="3574" t="s">
        <v>3266</v>
      </c>
      <c r="F19" s="3574" t="s">
        <v>3385</v>
      </c>
      <c r="G19" s="3572" t="s">
        <v>3386</v>
      </c>
      <c r="H19" s="3574" t="s">
        <v>3264</v>
      </c>
      <c r="I19" s="3574">
        <v>6</v>
      </c>
      <c r="J19" s="3574" t="s">
        <v>3265</v>
      </c>
      <c r="K19" s="3574"/>
      <c r="L19" s="3574"/>
      <c r="M19" s="3574"/>
      <c r="N19" s="3574"/>
      <c r="O19" s="3574"/>
      <c r="P19" s="3574"/>
      <c r="Q19" s="3574"/>
      <c r="R19" s="3574"/>
      <c r="S19" s="3574"/>
      <c r="T19" s="3574"/>
      <c r="U19" s="3574"/>
      <c r="V19" s="3574"/>
      <c r="W19" s="3574"/>
      <c r="X19" s="3574"/>
      <c r="Y19" s="3574"/>
      <c r="Z19" s="3574"/>
      <c r="AA19" s="3574"/>
      <c r="AB19" s="3574"/>
      <c r="AC19" s="3574"/>
      <c r="AD19" s="3574"/>
      <c r="AE19" s="3574" t="s">
        <v>3387</v>
      </c>
      <c r="AF19" s="3574">
        <v>2008</v>
      </c>
      <c r="AG19" s="3574">
        <v>5</v>
      </c>
      <c r="AH19" s="3574">
        <v>27</v>
      </c>
      <c r="AI19" s="3574" t="s">
        <v>3388</v>
      </c>
      <c r="AJ19" s="3574">
        <v>50</v>
      </c>
      <c r="AK19" s="3574">
        <v>29</v>
      </c>
    </row>
    <row r="20" spans="1:37" s="3575" customFormat="1" ht="12" customHeight="1">
      <c r="A20" s="3576" t="s">
        <v>3417</v>
      </c>
      <c r="B20" s="3586" t="s">
        <v>3418</v>
      </c>
      <c r="C20" s="3573" t="s">
        <v>3419</v>
      </c>
      <c r="D20" s="3574"/>
      <c r="E20" s="3574" t="s">
        <v>3266</v>
      </c>
      <c r="F20" s="3574" t="s">
        <v>3420</v>
      </c>
      <c r="G20" s="3572" t="s">
        <v>3421</v>
      </c>
      <c r="H20" s="3574" t="s">
        <v>3422</v>
      </c>
      <c r="I20" s="3574">
        <v>6</v>
      </c>
      <c r="J20" s="3574" t="s">
        <v>3423</v>
      </c>
      <c r="K20" s="3574">
        <v>1993</v>
      </c>
      <c r="L20" s="3574"/>
      <c r="M20" s="3574"/>
      <c r="N20" s="3574"/>
      <c r="O20" s="3574"/>
      <c r="P20" s="3574"/>
      <c r="Q20" s="3574"/>
      <c r="R20" s="3574"/>
      <c r="S20" s="3574"/>
      <c r="T20" s="3574"/>
      <c r="U20" s="3574"/>
      <c r="V20" s="3574"/>
      <c r="W20" s="3574"/>
      <c r="X20" s="3574"/>
      <c r="Y20" s="3574"/>
      <c r="Z20" s="3574"/>
      <c r="AA20" s="3574"/>
      <c r="AB20" s="3574"/>
      <c r="AC20" s="3574"/>
      <c r="AD20" s="3574"/>
      <c r="AE20" s="3574" t="s">
        <v>3424</v>
      </c>
      <c r="AF20" s="3574">
        <v>2008</v>
      </c>
      <c r="AG20" s="3574">
        <v>12</v>
      </c>
      <c r="AH20" s="3574">
        <v>2</v>
      </c>
      <c r="AI20" s="3574" t="s">
        <v>3425</v>
      </c>
      <c r="AJ20" s="3574">
        <v>50</v>
      </c>
      <c r="AK20" s="3574">
        <f ca="1">AJ20-YEAR(TODAY())+K20</f>
        <v>19</v>
      </c>
    </row>
  </sheetData>
  <mergeCells count="1">
    <mergeCell ref="O15:R15"/>
  </mergeCells>
  <phoneticPr fontId="225"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5" workbookViewId="0">
      <selection activeCell="F48" sqref="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39779</v>
      </c>
      <c r="D1" s="7" t="s">
        <v>3073</v>
      </c>
      <c r="E1" s="9">
        <f>'数据-取费表'!B22</f>
        <v>2</v>
      </c>
      <c r="F1" s="7" t="s">
        <v>3074</v>
      </c>
      <c r="G1" s="10">
        <f ca="1">INDIRECT("d"&amp;$K$1)/100</f>
        <v>5.67E-2</v>
      </c>
      <c r="H1" s="7" t="s">
        <v>3075</v>
      </c>
      <c r="I1" s="10">
        <f ca="1">F4/100</f>
        <v>2.52E-2</v>
      </c>
      <c r="J1" s="59">
        <f>IF(C1&gt;C13,0,MATCH(C1,C$13:C$110,-1))+IF(SUMIF(C13:C110,C1,D13:D110)=0,13,12)</f>
        <v>37</v>
      </c>
      <c r="K1" s="59">
        <f>MATCH(E1,C3:C7,1)+IF(SUMIF(C3:C7,E1,D3:D7)=0,2,1)</f>
        <v>5</v>
      </c>
      <c r="L1" s="59">
        <f>IF(C1&gt;M13,0,MATCH(C1,M$13:M$100,-1))+IF(SUMIF(M13:M100,C1,N13:N100)=0,13,12)</f>
        <v>27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5.04</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5.58</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5.67</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5.94</v>
      </c>
      <c r="E6" s="21">
        <v>3</v>
      </c>
      <c r="F6" s="22">
        <f ca="1">INDIRECT("s"&amp;$L$1)</f>
        <v>3.6</v>
      </c>
      <c r="G6" s="3"/>
      <c r="H6" s="3"/>
      <c r="I6" s="3"/>
      <c r="J6" s="3"/>
      <c r="L6" s="3"/>
      <c r="M6" s="3"/>
      <c r="N6" s="3"/>
      <c r="O6" s="3"/>
      <c r="P6" s="3"/>
      <c r="Q6" s="3"/>
      <c r="R6" s="3"/>
      <c r="S6" s="3"/>
      <c r="T6" s="3"/>
      <c r="U6" s="3"/>
      <c r="V6" s="3"/>
      <c r="W6" s="3"/>
      <c r="X6" s="3"/>
      <c r="Y6" s="3"/>
      <c r="Z6" s="3"/>
    </row>
    <row r="7" spans="1:257">
      <c r="B7" s="23" t="s">
        <v>3081</v>
      </c>
      <c r="C7" s="24">
        <v>5</v>
      </c>
      <c r="D7" s="25">
        <f ca="1">INDIRECT("h"&amp;$J$1)</f>
        <v>6.12</v>
      </c>
      <c r="E7" s="26">
        <v>5</v>
      </c>
      <c r="F7" s="27">
        <f ca="1">INDIRECT("t"&amp;$L$1)</f>
        <v>3.87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639" t="str">
        <f>IF(项目基本情况!B9="房地产市场价值","估价结果一览表","结果表-2")</f>
        <v>估价结果一览表</v>
      </c>
      <c r="B1" s="3639"/>
      <c r="C1" s="3639"/>
      <c r="D1" s="3639"/>
      <c r="E1" s="3639"/>
      <c r="F1" s="3639"/>
      <c r="G1" s="3639"/>
      <c r="H1" s="3639"/>
      <c r="I1" s="3639"/>
    </row>
    <row r="2" spans="1:9" ht="30" customHeight="1">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spans="1:9" ht="15">
      <c r="A3" s="3635"/>
      <c r="B3" s="3635"/>
      <c r="C3" s="3635"/>
      <c r="D3" s="3493" t="s">
        <v>110</v>
      </c>
      <c r="E3" s="3493" t="s">
        <v>111</v>
      </c>
      <c r="F3" s="3493" t="s">
        <v>110</v>
      </c>
      <c r="G3" s="3493" t="s">
        <v>111</v>
      </c>
      <c r="H3" s="3493" t="s">
        <v>110</v>
      </c>
      <c r="I3" s="3493" t="s">
        <v>111</v>
      </c>
    </row>
    <row r="4" spans="1:9" ht="15">
      <c r="A4" s="3494" t="str">
        <f>项目基本情况!S2</f>
        <v>北京市房地产</v>
      </c>
      <c r="B4" s="3493">
        <f>项目基本情况!C17</f>
        <v>63.08</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635" t="s">
        <v>112</v>
      </c>
      <c r="B5" s="3635"/>
      <c r="C5" s="3635"/>
      <c r="D5" s="3635" t="e">
        <f ca="1">结果表!D119</f>
        <v>#REF!</v>
      </c>
      <c r="E5" s="3635"/>
      <c r="F5" s="3635" t="e">
        <f ca="1">结果表!F119</f>
        <v>#REF!</v>
      </c>
      <c r="G5" s="3635"/>
      <c r="H5" s="3635" t="e">
        <f ca="1">结果表!H119</f>
        <v>#REF!</v>
      </c>
      <c r="I5" s="3635"/>
    </row>
    <row r="6" spans="1:9" ht="15.75">
      <c r="A6" s="3632" t="str">
        <f>结果表!A120</f>
        <v/>
      </c>
      <c r="B6" s="3632"/>
      <c r="C6" s="3632"/>
      <c r="D6" s="3632">
        <f>结果表!D120</f>
        <v>0</v>
      </c>
      <c r="E6" s="3632"/>
      <c r="F6" s="3632"/>
      <c r="G6" s="3632"/>
      <c r="H6" s="3632"/>
      <c r="I6" s="3632"/>
    </row>
    <row r="7" spans="1:9" ht="15">
      <c r="A7" s="3635" t="s">
        <v>112</v>
      </c>
      <c r="B7" s="3635"/>
      <c r="C7" s="3635"/>
      <c r="D7" s="3636" t="str">
        <f>结果表!D121</f>
        <v>零元整</v>
      </c>
      <c r="E7" s="3637"/>
      <c r="F7" s="3637"/>
      <c r="G7" s="3637"/>
      <c r="H7" s="3637"/>
      <c r="I7" s="3638"/>
    </row>
    <row r="8" spans="1:9" ht="15.75">
      <c r="A8" s="3632" t="str">
        <f>结果表!A122</f>
        <v/>
      </c>
      <c r="B8" s="3632"/>
      <c r="C8" s="3632"/>
      <c r="D8" s="3632" t="str">
        <f>结果表!D122</f>
        <v>——</v>
      </c>
      <c r="E8" s="3632"/>
      <c r="F8" s="3632"/>
      <c r="G8" s="3632"/>
      <c r="H8" s="3632"/>
      <c r="I8" s="3632"/>
    </row>
    <row r="9" spans="1:9" ht="15">
      <c r="A9" s="3635" t="s">
        <v>112</v>
      </c>
      <c r="B9" s="3635"/>
      <c r="C9" s="3635"/>
      <c r="D9" s="3635" t="e">
        <f>结果表!D123</f>
        <v>#VALUE!</v>
      </c>
      <c r="E9" s="3635"/>
      <c r="F9" s="3635"/>
      <c r="G9" s="3635"/>
      <c r="H9" s="3635"/>
      <c r="I9" s="3635"/>
    </row>
    <row r="10" spans="1:9" ht="15.75">
      <c r="A10" s="3632" t="str">
        <f>结果表!A124</f>
        <v/>
      </c>
      <c r="B10" s="3632"/>
      <c r="C10" s="3632"/>
      <c r="D10" s="3632" t="str">
        <f ca="1">结果表!D124</f>
        <v>——</v>
      </c>
      <c r="E10" s="3632"/>
      <c r="F10" s="3632"/>
      <c r="G10" s="3632"/>
      <c r="H10" s="3632"/>
      <c r="I10" s="3632"/>
    </row>
    <row r="11" spans="1:9" ht="15">
      <c r="A11" s="3635" t="s">
        <v>112</v>
      </c>
      <c r="B11" s="3635"/>
      <c r="C11" s="3635"/>
      <c r="D11" s="3635" t="e">
        <f ca="1">结果表!D125</f>
        <v>#VALUE!</v>
      </c>
      <c r="E11" s="3635"/>
      <c r="F11" s="3635"/>
      <c r="G11" s="3635"/>
      <c r="H11" s="3635"/>
      <c r="I11" s="3635"/>
    </row>
    <row r="12" spans="1:9" ht="15.75">
      <c r="A12" s="3632" t="str">
        <f>结果表!A126</f>
        <v/>
      </c>
      <c r="B12" s="3632"/>
      <c r="C12" s="3632"/>
      <c r="D12" s="3632" t="str">
        <f>结果表!D126</f>
        <v>——</v>
      </c>
      <c r="E12" s="3632"/>
      <c r="F12" s="3632"/>
      <c r="G12" s="3632"/>
      <c r="H12" s="3632"/>
      <c r="I12" s="3632"/>
    </row>
    <row r="13" spans="1:9" ht="15">
      <c r="A13" s="3633" t="s">
        <v>112</v>
      </c>
      <c r="B13" s="3633"/>
      <c r="C13" s="3633"/>
      <c r="D13" s="3633" t="e">
        <f>结果表!D127</f>
        <v>#VALUE!</v>
      </c>
      <c r="E13" s="3633"/>
      <c r="F13" s="3633"/>
      <c r="G13" s="3633"/>
      <c r="H13" s="3633"/>
      <c r="I13" s="3633"/>
    </row>
    <row r="14" spans="1:9">
      <c r="A14" s="3634" t="s">
        <v>113</v>
      </c>
      <c r="B14" s="3634"/>
      <c r="C14" s="3634"/>
      <c r="D14" s="3634"/>
      <c r="E14" s="3634"/>
      <c r="F14" s="3634"/>
      <c r="G14" s="3634"/>
      <c r="H14" s="3634"/>
      <c r="I14" s="3634"/>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47" t="s">
        <v>114</v>
      </c>
      <c r="B1" s="3647"/>
      <c r="C1" s="3647"/>
      <c r="D1" s="3647"/>
    </row>
    <row r="2" spans="1:4" ht="18">
      <c r="A2" s="3648" t="s">
        <v>115</v>
      </c>
      <c r="B2" s="3648"/>
      <c r="C2" s="3648"/>
      <c r="D2" s="3648"/>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48" t="s">
        <v>121</v>
      </c>
      <c r="B6" s="3648"/>
      <c r="C6" s="3648"/>
      <c r="D6" s="3648"/>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49" t="s">
        <v>126</v>
      </c>
      <c r="B11" s="3642"/>
      <c r="C11" s="3642"/>
      <c r="D11" s="3642"/>
    </row>
    <row r="12" spans="1:4" ht="15.75">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spans="1:4" ht="30" customHeight="1">
      <c r="A13" s="3642" t="str">
        <f>IF(项目基本情况!B8="抵押","3.抵押双方在办理抵押登记手续时，应使用本公司出具的正式《房地产评估报告》，特提醒报告使用者注意。","——")</f>
        <v>——</v>
      </c>
      <c r="B13" s="3645"/>
      <c r="C13" s="3645"/>
      <c r="D13" s="3645"/>
    </row>
    <row r="14" spans="1:4" ht="15.75" customHeight="1">
      <c r="A14" s="3642" t="str">
        <f>IF(项目基本情况!B8="抵押","4.本次评估估价师所知悉的法定优先受偿款情况说明如下：","——")</f>
        <v>——</v>
      </c>
      <c r="B14" s="3645"/>
      <c r="C14" s="3645"/>
      <c r="D14" s="3645"/>
    </row>
    <row r="15" spans="1:4" ht="42" customHeight="1">
      <c r="A15" s="3642" t="str">
        <f>IF(项目基本情况!B8="抵押","（1）"&amp;CONCATENATE(项目基本情况!L20,项目基本情况!L21,项目基本情况!L22),"——")</f>
        <v>——</v>
      </c>
      <c r="B15" s="3642"/>
      <c r="C15" s="3642"/>
      <c r="D15" s="3642"/>
    </row>
    <row r="16" spans="1:4" ht="30" customHeight="1">
      <c r="A16" s="3646" t="s">
        <v>127</v>
      </c>
      <c r="B16" s="3646"/>
      <c r="C16" s="3646"/>
      <c r="D16" s="3646"/>
    </row>
    <row r="17" spans="1:4" ht="144" customHeight="1">
      <c r="A17" s="3646" t="s">
        <v>128</v>
      </c>
      <c r="B17" s="3646"/>
      <c r="C17" s="3646"/>
      <c r="D17" s="3646"/>
    </row>
    <row r="18" spans="1:4" ht="15.75" customHeight="1">
      <c r="A18" s="3642" t="str">
        <f>IF(项目基本情况!B8="抵押",结果表!K120,"——")</f>
        <v>——</v>
      </c>
      <c r="B18" s="3642"/>
      <c r="C18" s="3642"/>
      <c r="D18" s="3642"/>
    </row>
    <row r="19" spans="1:4" ht="46.5" customHeight="1">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spans="1:4" ht="57.75" customHeight="1">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spans="1:4" ht="57.75" customHeight="1">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spans="1:4" ht="18.75" customHeight="1">
      <c r="A22" s="3644" t="s">
        <v>129</v>
      </c>
      <c r="B22" s="3644"/>
      <c r="C22" s="3644"/>
      <c r="D22" s="3644"/>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41">
        <v>42551</v>
      </c>
      <c r="D31" s="36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52" t="s">
        <v>146</v>
      </c>
      <c r="B15" s="3657" t="s">
        <v>147</v>
      </c>
      <c r="C15" s="3651"/>
    </row>
    <row r="16" spans="1:7" ht="13.5">
      <c r="A16" s="3653"/>
      <c r="B16" s="3657" t="s">
        <v>148</v>
      </c>
      <c r="C16" s="3651"/>
    </row>
    <row r="17" spans="1:3" ht="13.5">
      <c r="A17" s="3653"/>
      <c r="B17" s="3656" t="s">
        <v>149</v>
      </c>
      <c r="C17" s="3470" t="s">
        <v>146</v>
      </c>
    </row>
    <row r="18" spans="1:3" ht="13.5">
      <c r="A18" s="3653"/>
      <c r="B18" s="3656"/>
      <c r="C18" s="3470" t="s">
        <v>150</v>
      </c>
    </row>
    <row r="19" spans="1:3" ht="13.5">
      <c r="A19" s="3653"/>
      <c r="B19" s="3656"/>
      <c r="C19" s="3470" t="s">
        <v>151</v>
      </c>
    </row>
    <row r="20" spans="1:3" ht="13.5">
      <c r="A20" s="3654"/>
      <c r="B20" s="3650" t="s">
        <v>152</v>
      </c>
      <c r="C20" s="3651"/>
    </row>
    <row r="21" spans="1:3" ht="13.5">
      <c r="A21" s="3471" t="s">
        <v>153</v>
      </c>
      <c r="B21" s="3472"/>
      <c r="C21" s="3473"/>
    </row>
    <row r="22" spans="1:3" ht="13.5">
      <c r="A22" s="3655" t="s">
        <v>154</v>
      </c>
      <c r="B22" s="3650" t="s">
        <v>155</v>
      </c>
      <c r="C22" s="3651"/>
    </row>
    <row r="23" spans="1:3" ht="13.5">
      <c r="A23" s="3655"/>
      <c r="B23" s="3650" t="s">
        <v>156</v>
      </c>
      <c r="C23" s="3651"/>
    </row>
    <row r="24" spans="1:3" ht="13.5">
      <c r="A24" s="3655"/>
      <c r="B24" s="3650" t="s">
        <v>157</v>
      </c>
      <c r="C24" s="3651"/>
    </row>
    <row r="25" spans="1:3" ht="13.5">
      <c r="A25" s="3655"/>
      <c r="B25" s="3656" t="s">
        <v>158</v>
      </c>
      <c r="C25" s="3470" t="s">
        <v>159</v>
      </c>
    </row>
    <row r="26" spans="1:3" ht="13.5">
      <c r="A26" s="3655"/>
      <c r="B26" s="3656"/>
      <c r="C26" s="3470" t="s">
        <v>160</v>
      </c>
    </row>
    <row r="27" spans="1:3" ht="13.5">
      <c r="A27" s="3655"/>
      <c r="B27" s="3656"/>
      <c r="C27" s="3470" t="s">
        <v>161</v>
      </c>
    </row>
    <row r="28" spans="1:3" ht="13.5">
      <c r="A28" s="3655"/>
      <c r="B28" s="3656"/>
      <c r="C28" s="3470" t="s">
        <v>162</v>
      </c>
    </row>
    <row r="29" spans="1:3" ht="13.5">
      <c r="A29" s="3655"/>
      <c r="B29" s="3656"/>
      <c r="C29" s="3470" t="s">
        <v>163</v>
      </c>
    </row>
    <row r="30" spans="1:3" ht="13.5">
      <c r="A30" s="3655"/>
      <c r="B30" s="3656"/>
      <c r="C30" s="3470" t="s">
        <v>164</v>
      </c>
    </row>
    <row r="31" spans="1:3" ht="13.5">
      <c r="A31" s="3655"/>
      <c r="B31" s="3656"/>
      <c r="C31" s="3470" t="s">
        <v>165</v>
      </c>
    </row>
    <row r="32" spans="1:3" ht="13.5">
      <c r="A32" s="3655"/>
      <c r="B32" s="3656"/>
      <c r="C32" s="3470" t="s">
        <v>166</v>
      </c>
    </row>
    <row r="33" spans="1:3" ht="13.5">
      <c r="A33" s="3655"/>
      <c r="B33" s="3656"/>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45307</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58" t="s">
        <v>197</v>
      </c>
      <c r="B17" s="3658"/>
      <c r="C17" s="3658"/>
      <c r="D17" s="3658"/>
      <c r="E17" s="3658"/>
      <c r="F17" s="3658"/>
      <c r="G17" s="3658"/>
      <c r="H17" s="3658"/>
    </row>
    <row r="18" spans="1:8" ht="24" customHeight="1">
      <c r="A18" s="3659" t="s">
        <v>198</v>
      </c>
      <c r="B18" s="3659"/>
      <c r="C18" s="3659"/>
      <c r="D18" s="3437"/>
      <c r="E18" s="3660" t="s">
        <v>199</v>
      </c>
      <c r="F18" s="3659"/>
      <c r="G18" s="3659"/>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宜春里</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2024-01-16T09:28:24Z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